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comments1.xml" ContentType="application/vnd.openxmlformats-officedocument.spreadsheetml.comments+xml"/>
  <Override PartName="/xl/drawings/drawing45.xml" ContentType="application/vnd.openxmlformats-officedocument.drawing+xml"/>
  <Override PartName="/xl/drawings/drawing46.xml" ContentType="application/vnd.openxmlformats-officedocument.drawing+xml"/>
  <Override PartName="/xl/embeddings/oleObject1.bin" ContentType="application/vnd.openxmlformats-officedocument.oleObject"/>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26"/>
  <workbookPr showInkAnnotation="0" updateLinks="never" codeName="ThisWorkbook" defaultThemeVersion="124226"/>
  <mc:AlternateContent xmlns:mc="http://schemas.openxmlformats.org/markup-compatibility/2006">
    <mc:Choice Requires="x15">
      <x15ac:absPath xmlns:x15ac="http://schemas.microsoft.com/office/spreadsheetml/2010/11/ac" url="/Users/yazan/Desktop/Efficiency/UKCS/templates/excel/"/>
    </mc:Choice>
  </mc:AlternateContent>
  <xr:revisionPtr revIDLastSave="0" documentId="13_ncr:1_{B32FA94A-D91D-4A43-B7E8-D34CD712F938}" xr6:coauthVersionLast="47" xr6:coauthVersionMax="47" xr10:uidLastSave="{00000000-0000-0000-0000-000000000000}"/>
  <bookViews>
    <workbookView xWindow="4080" yWindow="-17300" windowWidth="29040" windowHeight="15720" tabRatio="845" xr2:uid="{00000000-000D-0000-FFFF-FFFF00000000}"/>
  </bookViews>
  <sheets>
    <sheet name="JOB TOTAL" sheetId="104" r:id="rId1"/>
    <sheet name="CANOPY (6)" sheetId="143" state="hidden" r:id="rId2"/>
    <sheet name="FIRE SUPPRESSION (5)" sheetId="144" state="hidden" r:id="rId3"/>
    <sheet name="SDU (6)" sheetId="145" state="hidden" r:id="rId4"/>
    <sheet name="EDGE BOX (5)" sheetId="146" state="hidden" r:id="rId5"/>
    <sheet name="RECOAIR (5)" sheetId="147" state="hidden" r:id="rId6"/>
    <sheet name="CANOPY (7)" sheetId="148" state="hidden" r:id="rId7"/>
    <sheet name="FIRE SUPPRESSION (6)" sheetId="149" state="hidden" r:id="rId8"/>
    <sheet name="SDU (7)" sheetId="150" state="hidden" r:id="rId9"/>
    <sheet name="EDGE BOX (6)" sheetId="151" state="hidden" r:id="rId10"/>
    <sheet name="RECOAIR (6)" sheetId="152" state="hidden" r:id="rId11"/>
    <sheet name="CANOPY (8)" sheetId="153" state="hidden" r:id="rId12"/>
    <sheet name="FIRE SUPPRESSION (7)" sheetId="154" state="hidden" r:id="rId13"/>
    <sheet name="SDU (8)" sheetId="155" state="hidden" r:id="rId14"/>
    <sheet name="EDGE BOX (7)" sheetId="156" state="hidden" r:id="rId15"/>
    <sheet name="RECOAIR (7)" sheetId="157" state="hidden" r:id="rId16"/>
    <sheet name="CANOPY (9)" sheetId="158" state="hidden" r:id="rId17"/>
    <sheet name="FIRE SUPPRESSION (8)" sheetId="159" state="hidden" r:id="rId18"/>
    <sheet name="SDU (9)" sheetId="160" state="hidden" r:id="rId19"/>
    <sheet name="EDGE BOX (8)" sheetId="161" state="hidden" r:id="rId20"/>
    <sheet name="RECOAIR (8)" sheetId="162" state="hidden" r:id="rId21"/>
    <sheet name="CANOPY (4)" sheetId="132" state="hidden" r:id="rId22"/>
    <sheet name="FIRE SUPPRESSION (3)" sheetId="133" state="hidden" r:id="rId23"/>
    <sheet name="SDU (4)" sheetId="134" state="hidden" r:id="rId24"/>
    <sheet name="Sheet38" sheetId="163" state="hidden" r:id="rId25"/>
    <sheet name="EDGE BOX (3)" sheetId="135" state="hidden" r:id="rId26"/>
    <sheet name="RECOAIR (3)" sheetId="136" state="hidden" r:id="rId27"/>
    <sheet name="CANOPY (5)" sheetId="137" state="hidden" r:id="rId28"/>
    <sheet name="FIRE SUPPRESSION (4)" sheetId="138" state="hidden" r:id="rId29"/>
    <sheet name="SDU (5)" sheetId="139" state="hidden" r:id="rId30"/>
    <sheet name="EDGE BOX (4)" sheetId="140" state="hidden" r:id="rId31"/>
    <sheet name="RECOAIR (4)" sheetId="141" state="hidden" r:id="rId32"/>
    <sheet name="Quote Price Schedule" sheetId="109" state="hidden" r:id="rId33"/>
    <sheet name="SPIRAL DUCT" sheetId="116" state="hidden" r:id="rId34"/>
    <sheet name="SUPPLY DUCT " sheetId="115" state="hidden" r:id="rId35"/>
    <sheet name="EXTRACT DUCT" sheetId="111" state="hidden" r:id="rId36"/>
    <sheet name="AHU TEST" sheetId="118" state="hidden" r:id="rId37"/>
    <sheet name="CONTRACT" sheetId="71" state="hidden" r:id="rId38"/>
    <sheet name="CANOPY (3)" sheetId="127" state="hidden" r:id="rId39"/>
    <sheet name="FIRE SUPPRESSION (2)" sheetId="128" state="hidden" r:id="rId40"/>
    <sheet name="SDU (3)" sheetId="129" state="hidden" r:id="rId41"/>
    <sheet name="EDGE BOX (2)" sheetId="130" state="hidden" r:id="rId42"/>
    <sheet name="RECOAIR (2)" sheetId="131" state="hidden" r:id="rId43"/>
    <sheet name="CANOPY (2)" sheetId="126" state="hidden" r:id="rId44"/>
    <sheet name="FIRE SUPPRESSION" sheetId="123" state="hidden" r:id="rId45"/>
    <sheet name="SDU" sheetId="96" state="hidden" r:id="rId46"/>
    <sheet name="SDU (2)" sheetId="112" state="hidden" r:id="rId47"/>
    <sheet name="VENT CLG" sheetId="72" state="hidden" r:id="rId48"/>
    <sheet name="MARVEL" sheetId="95" state="hidden" r:id="rId49"/>
    <sheet name="EDGE BOX" sheetId="122" state="hidden" r:id="rId50"/>
    <sheet name="AEROLYS" sheetId="117" state="hidden" r:id="rId51"/>
    <sheet name="POLLUSTOP" sheetId="101" state="hidden" r:id="rId52"/>
    <sheet name="POLLU-LITE" sheetId="125" state="hidden" r:id="rId53"/>
    <sheet name="RECOAIR" sheetId="121" state="hidden" r:id="rId54"/>
    <sheet name="REACTAWAY " sheetId="120" state="hidden" r:id="rId55"/>
    <sheet name="INFECTAWAY" sheetId="97" state="hidden" r:id="rId56"/>
    <sheet name="Base Costs" sheetId="90" state="hidden" r:id="rId57"/>
    <sheet name="CC" sheetId="92" state="hidden" r:id="rId58"/>
    <sheet name="CCBASE" sheetId="98" state="hidden" r:id="rId59"/>
  </sheets>
  <externalReferences>
    <externalReference r:id="rId60"/>
    <externalReference r:id="rId61"/>
  </externalReferences>
  <definedNames>
    <definedName name="_xlnm._FilterDatabase" localSheetId="50" hidden="1">AEROLYS!$B$11:$H$81</definedName>
    <definedName name="_xlnm._FilterDatabase" localSheetId="51" hidden="1">POLLUSTOP!$B$11:$H$82</definedName>
    <definedName name="FanSize">'Base Costs'!$I$4:$I$10</definedName>
    <definedName name="_xlnm.Print_Area" localSheetId="50">AEROLYS!$A$1:$L$69</definedName>
    <definedName name="_xlnm.Print_Area" localSheetId="36">'AHU TEST'!$B$1:$K$74</definedName>
    <definedName name="_xlnm.Print_Area" localSheetId="43">'CANOPY (2)'!$A$1:$O$206</definedName>
    <definedName name="_xlnm.Print_Area" localSheetId="38">'CANOPY (3)'!$A$1:$O$206</definedName>
    <definedName name="_xlnm.Print_Area" localSheetId="21">'CANOPY (4)'!$A$1:$O$206</definedName>
    <definedName name="_xlnm.Print_Area" localSheetId="27">'CANOPY (5)'!$A$1:$O$206</definedName>
    <definedName name="_xlnm.Print_Area" localSheetId="1">'CANOPY (6)'!$A$1:$O$206</definedName>
    <definedName name="_xlnm.Print_Area" localSheetId="6">'CANOPY (7)'!$A$1:$O$206</definedName>
    <definedName name="_xlnm.Print_Area" localSheetId="11">'CANOPY (8)'!$A$1:$O$206</definedName>
    <definedName name="_xlnm.Print_Area" localSheetId="16">'CANOPY (9)'!$A$1:$O$206</definedName>
    <definedName name="_xlnm.Print_Area" localSheetId="37">CONTRACT!$B$1:$K$74</definedName>
    <definedName name="_xlnm.Print_Area" localSheetId="49">'EDGE BOX'!$C$1:$O$49</definedName>
    <definedName name="_xlnm.Print_Area" localSheetId="41">'EDGE BOX (2)'!$C$1:$O$49</definedName>
    <definedName name="_xlnm.Print_Area" localSheetId="25">'EDGE BOX (3)'!$C$1:$O$49</definedName>
    <definedName name="_xlnm.Print_Area" localSheetId="30">'EDGE BOX (4)'!$C$1:$O$49</definedName>
    <definedName name="_xlnm.Print_Area" localSheetId="4">'EDGE BOX (5)'!$C$1:$O$49</definedName>
    <definedName name="_xlnm.Print_Area" localSheetId="9">'EDGE BOX (6)'!$C$1:$O$49</definedName>
    <definedName name="_xlnm.Print_Area" localSheetId="14">'EDGE BOX (7)'!$C$1:$O$49</definedName>
    <definedName name="_xlnm.Print_Area" localSheetId="19">'EDGE BOX (8)'!$C$1:$O$49</definedName>
    <definedName name="_xlnm.Print_Area" localSheetId="44">'FIRE SUPPRESSION'!$A$1:$O$206</definedName>
    <definedName name="_xlnm.Print_Area" localSheetId="39">'FIRE SUPPRESSION (2)'!$A$1:$O$206</definedName>
    <definedName name="_xlnm.Print_Area" localSheetId="22">'FIRE SUPPRESSION (3)'!$A$1:$O$206</definedName>
    <definedName name="_xlnm.Print_Area" localSheetId="28">'FIRE SUPPRESSION (4)'!$A$1:$O$206</definedName>
    <definedName name="_xlnm.Print_Area" localSheetId="2">'FIRE SUPPRESSION (5)'!$A$1:$O$206</definedName>
    <definedName name="_xlnm.Print_Area" localSheetId="7">'FIRE SUPPRESSION (6)'!$A$1:$O$206</definedName>
    <definedName name="_xlnm.Print_Area" localSheetId="12">'FIRE SUPPRESSION (7)'!$A$1:$O$206</definedName>
    <definedName name="_xlnm.Print_Area" localSheetId="17">'FIRE SUPPRESSION (8)'!$A$1:$O$206</definedName>
    <definedName name="_xlnm.Print_Area" localSheetId="55">INFECTAWAY!$D$1:$P$47</definedName>
    <definedName name="_xlnm.Print_Area" localSheetId="0">'JOB TOTAL'!$B$1:$O$28</definedName>
    <definedName name="_xlnm.Print_Area" localSheetId="48">MARVEL!$B$1:$K$68</definedName>
    <definedName name="_xlnm.Print_Area" localSheetId="52">'POLLU-LITE'!$C$1:$O$38</definedName>
    <definedName name="_xlnm.Print_Area" localSheetId="51">POLLUSTOP!$B$1:$L$90</definedName>
    <definedName name="_xlnm.Print_Area" localSheetId="54">'REACTAWAY '!$C$1:$O$47</definedName>
    <definedName name="_xlnm.Print_Area" localSheetId="53">RECOAIR!$C$1:$O$48</definedName>
    <definedName name="_xlnm.Print_Area" localSheetId="42">'RECOAIR (2)'!$C$1:$O$48</definedName>
    <definedName name="_xlnm.Print_Area" localSheetId="26">'RECOAIR (3)'!$C$1:$O$48</definedName>
    <definedName name="_xlnm.Print_Area" localSheetId="31">'RECOAIR (4)'!$C$1:$O$48</definedName>
    <definedName name="_xlnm.Print_Area" localSheetId="5">'RECOAIR (5)'!$C$1:$O$48</definedName>
    <definedName name="_xlnm.Print_Area" localSheetId="10">'RECOAIR (6)'!$C$1:$O$48</definedName>
    <definedName name="_xlnm.Print_Area" localSheetId="15">'RECOAIR (7)'!$C$1:$O$48</definedName>
    <definedName name="_xlnm.Print_Area" localSheetId="20">'RECOAIR (8)'!$C$1:$O$48</definedName>
    <definedName name="_xlnm.Print_Area" localSheetId="45">SDU!$B$1:$AD$110</definedName>
    <definedName name="_xlnm.Print_Area" localSheetId="46">'SDU (2)'!$B$1:$K$96</definedName>
    <definedName name="_xlnm.Print_Area" localSheetId="40">'SDU (3)'!$B$1:$AD$110</definedName>
    <definedName name="_xlnm.Print_Area" localSheetId="23">'SDU (4)'!$B$1:$AD$110</definedName>
    <definedName name="_xlnm.Print_Area" localSheetId="29">'SDU (5)'!$B$1:$AD$110</definedName>
    <definedName name="_xlnm.Print_Area" localSheetId="3">'SDU (6)'!$B$1:$AD$110</definedName>
    <definedName name="_xlnm.Print_Area" localSheetId="8">'SDU (7)'!$B$1:$AD$110</definedName>
    <definedName name="_xlnm.Print_Area" localSheetId="13">'SDU (8)'!$B$1:$AD$110</definedName>
    <definedName name="_xlnm.Print_Area" localSheetId="18">'SDU (9)'!$B$1:$AD$110</definedName>
    <definedName name="_xlnm.Print_Area" localSheetId="47">'VENT CLG'!$B$1:$K$63</definedName>
    <definedName name="SELECTPLANTHIRE" localSheetId="43">'CANOPY (2)'!$Q$1:$Q$8</definedName>
    <definedName name="SELECTPLANTHIRE" localSheetId="38">'CANOPY (3)'!$Q$1:$Q$8</definedName>
    <definedName name="SELECTPLANTHIRE" localSheetId="21">'CANOPY (4)'!$Q$1:$Q$8</definedName>
    <definedName name="SELECTPLANTHIRE" localSheetId="27">'CANOPY (5)'!$Q$1:$Q$8</definedName>
    <definedName name="SELECTPLANTHIRE" localSheetId="1">'CANOPY (6)'!$Q$1:$Q$8</definedName>
    <definedName name="SELECTPLANTHIRE" localSheetId="6">'CANOPY (7)'!$Q$1:$Q$8</definedName>
    <definedName name="SELECTPLANTHIRE" localSheetId="11">'CANOPY (8)'!$Q$1:$Q$8</definedName>
    <definedName name="SELECTPLANTHIRE" localSheetId="16">'CANOPY (9)'!$Q$1:$Q$8</definedName>
    <definedName name="SELECTPLANTHIRE" localSheetId="49">'EDGE BOX'!$S$1:$S$8</definedName>
    <definedName name="SELECTPLANTHIRE" localSheetId="41">'EDGE BOX (2)'!$S$1:$S$8</definedName>
    <definedName name="SELECTPLANTHIRE" localSheetId="25">'EDGE BOX (3)'!$S$1:$S$8</definedName>
    <definedName name="SELECTPLANTHIRE" localSheetId="30">'EDGE BOX (4)'!$S$1:$S$8</definedName>
    <definedName name="SELECTPLANTHIRE" localSheetId="4">'EDGE BOX (5)'!$S$1:$S$8</definedName>
    <definedName name="SELECTPLANTHIRE" localSheetId="9">'EDGE BOX (6)'!$S$1:$S$8</definedName>
    <definedName name="SELECTPLANTHIRE" localSheetId="14">'EDGE BOX (7)'!$S$1:$S$8</definedName>
    <definedName name="SELECTPLANTHIRE" localSheetId="19">'EDGE BOX (8)'!$S$1:$S$8</definedName>
    <definedName name="SELECTPLANTHIRE" localSheetId="44">'FIRE SUPPRESSION'!$Q$1:$Q$8</definedName>
    <definedName name="SELECTPLANTHIRE" localSheetId="39">'FIRE SUPPRESSION (2)'!$Q$1:$Q$8</definedName>
    <definedName name="SELECTPLANTHIRE" localSheetId="22">'FIRE SUPPRESSION (3)'!$Q$1:$Q$8</definedName>
    <definedName name="SELECTPLANTHIRE" localSheetId="28">'FIRE SUPPRESSION (4)'!$Q$1:$Q$8</definedName>
    <definedName name="SELECTPLANTHIRE" localSheetId="2">'FIRE SUPPRESSION (5)'!$Q$1:$Q$8</definedName>
    <definedName name="SELECTPLANTHIRE" localSheetId="7">'FIRE SUPPRESSION (6)'!$Q$1:$Q$8</definedName>
    <definedName name="SELECTPLANTHIRE" localSheetId="12">'FIRE SUPPRESSION (7)'!$Q$1:$Q$8</definedName>
    <definedName name="SELECTPLANTHIRE" localSheetId="17">'FIRE SUPPRESSION (8)'!$Q$1:$Q$8</definedName>
    <definedName name="SELECTPLANTHIRE" localSheetId="55">INFECTAWAY!$T$1:$T$8</definedName>
    <definedName name="SELECTPLANTHIRE" localSheetId="0">'JOB TOTAL'!$S$1:$S$8</definedName>
    <definedName name="SELECTPLANTHIRE" localSheetId="52">'POLLU-LITE'!$S$1:$S$8</definedName>
    <definedName name="SELECTPLANTHIRE" localSheetId="54">'REACTAWAY '!$S$1:$S$8</definedName>
    <definedName name="SELECTPLANTHIRE" localSheetId="53">RECOAIR!$S$1:$S$8</definedName>
    <definedName name="SELECTPLANTHIRE" localSheetId="42">'RECOAIR (2)'!$S$1:$S$8</definedName>
    <definedName name="SELECTPLANTHIRE" localSheetId="26">'RECOAIR (3)'!$S$1:$S$8</definedName>
    <definedName name="SELECTPLANTHIRE" localSheetId="31">'RECOAIR (4)'!$S$1:$S$8</definedName>
    <definedName name="SELECTPLANTHIRE" localSheetId="5">'RECOAIR (5)'!$S$1:$S$8</definedName>
    <definedName name="SELECTPLANTHIRE" localSheetId="10">'RECOAIR (6)'!$S$1:$S$8</definedName>
    <definedName name="SELECTPLANTHIRE" localSheetId="15">'RECOAIR (7)'!$S$1:$S$8</definedName>
    <definedName name="SELECTPLANTHIRE" localSheetId="20">'RECOAIR (8)'!$S$1:$S$8</definedName>
    <definedName name="SELECTPLANTHIRE" localSheetId="45">'[1]UV CANOPY'!$T$1:$T$13</definedName>
    <definedName name="SELECTPLANTHIRE" localSheetId="46">'[1]UV CANOPY'!$T$1:$T$13</definedName>
    <definedName name="SELECTPLANTHIRE" localSheetId="40">'[1]UV CANOPY'!$T$1:$T$13</definedName>
    <definedName name="SELECTPLANTHIRE" localSheetId="23">'[1]UV CANOPY'!$T$1:$T$13</definedName>
    <definedName name="SELECTPLANTHIRE" localSheetId="29">'[1]UV CANOPY'!$T$1:$T$13</definedName>
    <definedName name="SELECTPLANTHIRE" localSheetId="3">'[1]UV CANOPY'!$T$1:$T$13</definedName>
    <definedName name="SELECTPLANTHIRE" localSheetId="8">'[1]UV CANOPY'!$T$1:$T$13</definedName>
    <definedName name="SELECTPLANTHIRE" localSheetId="13">'[1]UV CANOPY'!$T$1:$T$13</definedName>
    <definedName name="SELECTPLANTHIRE" localSheetId="18">'[1]UV CANOPY'!$T$1:$T$13</definedName>
    <definedName name="SIZE">'Base Costs'!$I$4:$I$10</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7" i="104" l="1"/>
  <c r="U18" i="104"/>
  <c r="U19" i="104"/>
  <c r="U20" i="104"/>
  <c r="U21" i="104"/>
  <c r="U22" i="104"/>
  <c r="U23" i="104"/>
  <c r="U24" i="104"/>
  <c r="U25" i="104"/>
  <c r="U26" i="104"/>
  <c r="U27" i="104"/>
  <c r="U28" i="104"/>
  <c r="U16" i="104"/>
  <c r="K47" i="162"/>
  <c r="M47" i="162" s="1"/>
  <c r="M46" i="162"/>
  <c r="O46" i="162" s="1"/>
  <c r="K46" i="162"/>
  <c r="K45" i="162"/>
  <c r="M45" i="162" s="1"/>
  <c r="O45" i="162" s="1"/>
  <c r="K44" i="162"/>
  <c r="M44" i="162" s="1"/>
  <c r="N43" i="162"/>
  <c r="M43" i="162"/>
  <c r="O43" i="162" s="1"/>
  <c r="K43" i="162"/>
  <c r="O42" i="162"/>
  <c r="N42" i="162"/>
  <c r="K42" i="162"/>
  <c r="M42" i="162" s="1"/>
  <c r="K41" i="162"/>
  <c r="M41" i="162" s="1"/>
  <c r="M40" i="162"/>
  <c r="O40" i="162" s="1"/>
  <c r="K40" i="162"/>
  <c r="N39" i="162"/>
  <c r="K39" i="162"/>
  <c r="M39" i="162" s="1"/>
  <c r="O39" i="162" s="1"/>
  <c r="J39" i="162"/>
  <c r="J38" i="162"/>
  <c r="K38" i="162" s="1"/>
  <c r="M38" i="162" s="1"/>
  <c r="O37" i="162"/>
  <c r="M37" i="162"/>
  <c r="K37" i="162"/>
  <c r="J37" i="162"/>
  <c r="M33" i="162"/>
  <c r="O33" i="162" s="1"/>
  <c r="K33" i="162"/>
  <c r="N32" i="162"/>
  <c r="K32" i="162"/>
  <c r="M32" i="162" s="1"/>
  <c r="O32" i="162" s="1"/>
  <c r="K31" i="162"/>
  <c r="M31" i="162" s="1"/>
  <c r="M30" i="162"/>
  <c r="O30" i="162" s="1"/>
  <c r="K30" i="162"/>
  <c r="K29" i="162"/>
  <c r="M29" i="162" s="1"/>
  <c r="O29" i="162" s="1"/>
  <c r="K28" i="162"/>
  <c r="M28" i="162" s="1"/>
  <c r="M27" i="162"/>
  <c r="O27" i="162" s="1"/>
  <c r="K27" i="162"/>
  <c r="O26" i="162"/>
  <c r="K26" i="162"/>
  <c r="M26" i="162" s="1"/>
  <c r="N26" i="162" s="1"/>
  <c r="K25" i="162"/>
  <c r="M25" i="162" s="1"/>
  <c r="N24" i="162"/>
  <c r="M24" i="162"/>
  <c r="O24" i="162" s="1"/>
  <c r="K24" i="162"/>
  <c r="N23" i="162"/>
  <c r="K23" i="162"/>
  <c r="M23" i="162" s="1"/>
  <c r="O23" i="162" s="1"/>
  <c r="K22" i="162"/>
  <c r="M22" i="162" s="1"/>
  <c r="N21" i="162"/>
  <c r="M21" i="162"/>
  <c r="O21" i="162" s="1"/>
  <c r="K21" i="162"/>
  <c r="O20" i="162"/>
  <c r="N20" i="162"/>
  <c r="K20" i="162"/>
  <c r="M20" i="162" s="1"/>
  <c r="K19" i="162"/>
  <c r="M19" i="162" s="1"/>
  <c r="M18" i="162"/>
  <c r="O18" i="162" s="1"/>
  <c r="K18" i="162"/>
  <c r="K17" i="162"/>
  <c r="M17" i="162" s="1"/>
  <c r="K16" i="162"/>
  <c r="M16" i="162" s="1"/>
  <c r="M15" i="162"/>
  <c r="O15" i="162" s="1"/>
  <c r="K15" i="162"/>
  <c r="K12" i="162" s="1"/>
  <c r="O14" i="162"/>
  <c r="K14" i="162"/>
  <c r="M14" i="162" s="1"/>
  <c r="L12" i="162"/>
  <c r="I12" i="162"/>
  <c r="G12" i="162" s="1"/>
  <c r="E12" i="162"/>
  <c r="H12" i="162" s="1"/>
  <c r="E9" i="162"/>
  <c r="O7" i="162"/>
  <c r="H7" i="162"/>
  <c r="D7" i="162"/>
  <c r="H5" i="162"/>
  <c r="D5" i="162"/>
  <c r="H3" i="162"/>
  <c r="D3" i="162"/>
  <c r="O48" i="161"/>
  <c r="N48" i="161"/>
  <c r="M48" i="161"/>
  <c r="K48" i="161"/>
  <c r="K47" i="161"/>
  <c r="M47" i="161" s="1"/>
  <c r="K46" i="161"/>
  <c r="M46" i="161" s="1"/>
  <c r="O45" i="161"/>
  <c r="N45" i="161"/>
  <c r="M45" i="161"/>
  <c r="K45" i="161"/>
  <c r="K44" i="161"/>
  <c r="M44" i="161" s="1"/>
  <c r="K43" i="161"/>
  <c r="M43" i="161" s="1"/>
  <c r="O42" i="161"/>
  <c r="N42" i="161"/>
  <c r="M42" i="161"/>
  <c r="K42" i="161"/>
  <c r="K41" i="161"/>
  <c r="M41" i="161" s="1"/>
  <c r="K40" i="161"/>
  <c r="M40" i="161" s="1"/>
  <c r="J40" i="161"/>
  <c r="J39" i="161"/>
  <c r="K39" i="161" s="1"/>
  <c r="M39" i="161" s="1"/>
  <c r="M38" i="161"/>
  <c r="J38" i="161"/>
  <c r="K38" i="161" s="1"/>
  <c r="K34" i="161"/>
  <c r="M34" i="161" s="1"/>
  <c r="O33" i="161"/>
  <c r="M33" i="161"/>
  <c r="N33" i="161" s="1"/>
  <c r="K33" i="161"/>
  <c r="O32" i="161"/>
  <c r="N32" i="161"/>
  <c r="M32" i="161"/>
  <c r="K32" i="161"/>
  <c r="K31" i="161"/>
  <c r="M31" i="161" s="1"/>
  <c r="O30" i="161"/>
  <c r="M30" i="161"/>
  <c r="N30" i="161" s="1"/>
  <c r="K30" i="161"/>
  <c r="O29" i="161"/>
  <c r="N29" i="161"/>
  <c r="M29" i="161"/>
  <c r="K29" i="161"/>
  <c r="K28" i="161"/>
  <c r="M28" i="161" s="1"/>
  <c r="M27" i="161"/>
  <c r="N27" i="161" s="1"/>
  <c r="K27" i="161"/>
  <c r="O26" i="161"/>
  <c r="N26" i="161"/>
  <c r="M26" i="161"/>
  <c r="K26" i="161"/>
  <c r="K25" i="161"/>
  <c r="M25" i="161" s="1"/>
  <c r="O24" i="161"/>
  <c r="M24" i="161"/>
  <c r="N24" i="161" s="1"/>
  <c r="K24" i="161"/>
  <c r="O23" i="161"/>
  <c r="N23" i="161"/>
  <c r="M23" i="161"/>
  <c r="K23" i="161"/>
  <c r="K22" i="161"/>
  <c r="M22" i="161" s="1"/>
  <c r="O21" i="161"/>
  <c r="M21" i="161"/>
  <c r="N21" i="161" s="1"/>
  <c r="K21" i="161"/>
  <c r="O20" i="161"/>
  <c r="N20" i="161"/>
  <c r="M20" i="161"/>
  <c r="K20" i="161"/>
  <c r="K18" i="161"/>
  <c r="M18" i="161" s="1"/>
  <c r="M17" i="161"/>
  <c r="N17" i="161" s="1"/>
  <c r="K17" i="161"/>
  <c r="O16" i="161"/>
  <c r="N16" i="161"/>
  <c r="M16" i="161"/>
  <c r="K16" i="161"/>
  <c r="K15" i="161"/>
  <c r="M15" i="161" s="1"/>
  <c r="O14" i="161"/>
  <c r="M14" i="161"/>
  <c r="K14" i="161"/>
  <c r="I12" i="161"/>
  <c r="G12" i="161"/>
  <c r="E12" i="161"/>
  <c r="H12" i="161" s="1"/>
  <c r="E9" i="161"/>
  <c r="O7" i="161"/>
  <c r="H7" i="161"/>
  <c r="D7" i="161"/>
  <c r="H5" i="161"/>
  <c r="D5" i="161"/>
  <c r="H3" i="161"/>
  <c r="D3" i="161"/>
  <c r="I102" i="160"/>
  <c r="G102" i="160"/>
  <c r="K101" i="160"/>
  <c r="F101" i="160"/>
  <c r="G101" i="160" s="1"/>
  <c r="I101" i="160" s="1"/>
  <c r="J101" i="160" s="1"/>
  <c r="K100" i="160"/>
  <c r="J100" i="160"/>
  <c r="I100" i="160"/>
  <c r="G100" i="160"/>
  <c r="F100" i="160"/>
  <c r="G99" i="160"/>
  <c r="I99" i="160" s="1"/>
  <c r="J99" i="160" s="1"/>
  <c r="K98" i="160"/>
  <c r="I98" i="160"/>
  <c r="J98" i="160" s="1"/>
  <c r="G98" i="160"/>
  <c r="F97" i="160"/>
  <c r="G97" i="160" s="1"/>
  <c r="I97" i="160" s="1"/>
  <c r="F96" i="160"/>
  <c r="G96" i="160" s="1"/>
  <c r="G93" i="160"/>
  <c r="I93" i="160" s="1"/>
  <c r="F93" i="160"/>
  <c r="I92" i="160"/>
  <c r="F92" i="160"/>
  <c r="G92" i="160" s="1"/>
  <c r="G91" i="160"/>
  <c r="I91" i="160" s="1"/>
  <c r="F91" i="160"/>
  <c r="F90" i="160"/>
  <c r="G90" i="160" s="1"/>
  <c r="I90" i="160" s="1"/>
  <c r="K89" i="160"/>
  <c r="J89" i="160"/>
  <c r="I89" i="160"/>
  <c r="G89" i="160"/>
  <c r="F89" i="160"/>
  <c r="G88" i="160"/>
  <c r="I88" i="160" s="1"/>
  <c r="F88" i="160"/>
  <c r="J87" i="160"/>
  <c r="G87" i="160"/>
  <c r="I87" i="160" s="1"/>
  <c r="K87" i="160" s="1"/>
  <c r="F87" i="160"/>
  <c r="G86" i="160"/>
  <c r="I86" i="160" s="1"/>
  <c r="F86" i="160"/>
  <c r="G85" i="160"/>
  <c r="F85" i="160"/>
  <c r="G82" i="160"/>
  <c r="I82" i="160" s="1"/>
  <c r="F82" i="160"/>
  <c r="K81" i="160"/>
  <c r="I81" i="160"/>
  <c r="J81" i="160" s="1"/>
  <c r="G81" i="160"/>
  <c r="F81" i="160"/>
  <c r="G80" i="160"/>
  <c r="I80" i="160" s="1"/>
  <c r="K80" i="160" s="1"/>
  <c r="F80" i="160"/>
  <c r="I79" i="160"/>
  <c r="F79" i="160"/>
  <c r="G79" i="160" s="1"/>
  <c r="G78" i="160"/>
  <c r="I78" i="160" s="1"/>
  <c r="F78" i="160"/>
  <c r="I77" i="160"/>
  <c r="F77" i="160"/>
  <c r="G77" i="160" s="1"/>
  <c r="K76" i="160"/>
  <c r="J76" i="160"/>
  <c r="I76" i="160"/>
  <c r="G76" i="160"/>
  <c r="F76" i="160"/>
  <c r="F75" i="160"/>
  <c r="G75" i="160" s="1"/>
  <c r="I75" i="160" s="1"/>
  <c r="J74" i="160"/>
  <c r="G74" i="160"/>
  <c r="I74" i="160" s="1"/>
  <c r="K74" i="160" s="1"/>
  <c r="F74" i="160"/>
  <c r="G73" i="160"/>
  <c r="I73" i="160" s="1"/>
  <c r="F73" i="160"/>
  <c r="G72" i="160"/>
  <c r="I72" i="160" s="1"/>
  <c r="F72" i="160"/>
  <c r="F71" i="160"/>
  <c r="G71" i="160" s="1"/>
  <c r="K68" i="160"/>
  <c r="I68" i="160"/>
  <c r="J68" i="160" s="1"/>
  <c r="G68" i="160"/>
  <c r="F68" i="160"/>
  <c r="G67" i="160"/>
  <c r="I67" i="160" s="1"/>
  <c r="F67" i="160"/>
  <c r="I66" i="160"/>
  <c r="F66" i="160"/>
  <c r="G66" i="160" s="1"/>
  <c r="G65" i="160"/>
  <c r="I65" i="160" s="1"/>
  <c r="F65" i="160"/>
  <c r="F64" i="160"/>
  <c r="G64" i="160" s="1"/>
  <c r="I64" i="160" s="1"/>
  <c r="J63" i="160"/>
  <c r="F63" i="160"/>
  <c r="G63" i="160" s="1"/>
  <c r="I63" i="160" s="1"/>
  <c r="K63" i="160" s="1"/>
  <c r="J62" i="160"/>
  <c r="I62" i="160"/>
  <c r="K62" i="160" s="1"/>
  <c r="G62" i="160"/>
  <c r="F62" i="160"/>
  <c r="G61" i="160"/>
  <c r="I61" i="160" s="1"/>
  <c r="K61" i="160" s="1"/>
  <c r="F61" i="160"/>
  <c r="I60" i="160"/>
  <c r="G60" i="160"/>
  <c r="F60" i="160"/>
  <c r="J59" i="160"/>
  <c r="I59" i="160"/>
  <c r="K59" i="160" s="1"/>
  <c r="G59" i="160"/>
  <c r="F59" i="160"/>
  <c r="F58" i="160"/>
  <c r="G58" i="160" s="1"/>
  <c r="I58" i="160" s="1"/>
  <c r="I57" i="160"/>
  <c r="J57" i="160" s="1"/>
  <c r="G57" i="160"/>
  <c r="F57" i="160"/>
  <c r="M56" i="160"/>
  <c r="L56" i="160"/>
  <c r="F56" i="160"/>
  <c r="G56" i="160" s="1"/>
  <c r="I56" i="160" s="1"/>
  <c r="J56" i="160" s="1"/>
  <c r="M55" i="160"/>
  <c r="L55" i="160"/>
  <c r="J55" i="160"/>
  <c r="G55" i="160"/>
  <c r="I55" i="160" s="1"/>
  <c r="K55" i="160" s="1"/>
  <c r="F55" i="160"/>
  <c r="M54" i="160"/>
  <c r="L54" i="160"/>
  <c r="F54" i="160"/>
  <c r="G54" i="160" s="1"/>
  <c r="I54" i="160" s="1"/>
  <c r="M53" i="160"/>
  <c r="L53" i="160"/>
  <c r="K53" i="160"/>
  <c r="J53" i="160"/>
  <c r="G53" i="160"/>
  <c r="I53" i="160" s="1"/>
  <c r="F53" i="160"/>
  <c r="L52" i="160"/>
  <c r="M52" i="160" s="1"/>
  <c r="F52" i="160"/>
  <c r="G52" i="160" s="1"/>
  <c r="I52" i="160" s="1"/>
  <c r="M51" i="160"/>
  <c r="L51" i="160"/>
  <c r="F51" i="160"/>
  <c r="G51" i="160" s="1"/>
  <c r="I51" i="160" s="1"/>
  <c r="K51" i="160" s="1"/>
  <c r="L50" i="160"/>
  <c r="M50" i="160" s="1"/>
  <c r="G50" i="160"/>
  <c r="I50" i="160" s="1"/>
  <c r="F50" i="160"/>
  <c r="L49" i="160"/>
  <c r="M49" i="160" s="1"/>
  <c r="G49" i="160"/>
  <c r="I49" i="160" s="1"/>
  <c r="F49" i="160"/>
  <c r="G47" i="160"/>
  <c r="I47" i="160" s="1"/>
  <c r="K47" i="160" s="1"/>
  <c r="F47" i="160"/>
  <c r="F46" i="160"/>
  <c r="G46" i="160" s="1"/>
  <c r="I46" i="160" s="1"/>
  <c r="K46" i="160" s="1"/>
  <c r="K45" i="160"/>
  <c r="I45" i="160"/>
  <c r="J45" i="160" s="1"/>
  <c r="G45" i="160"/>
  <c r="F45" i="160"/>
  <c r="K44" i="160"/>
  <c r="J44" i="160"/>
  <c r="G44" i="160"/>
  <c r="I44" i="160" s="1"/>
  <c r="F44" i="160"/>
  <c r="F43" i="160"/>
  <c r="G43" i="160" s="1"/>
  <c r="I43" i="160" s="1"/>
  <c r="K42" i="160"/>
  <c r="I42" i="160"/>
  <c r="J42" i="160" s="1"/>
  <c r="G42" i="160"/>
  <c r="F42" i="160"/>
  <c r="F41" i="160"/>
  <c r="G41" i="160" s="1"/>
  <c r="I41" i="160" s="1"/>
  <c r="J41" i="160" s="1"/>
  <c r="F40" i="160"/>
  <c r="G40" i="160" s="1"/>
  <c r="I40" i="160" s="1"/>
  <c r="K40" i="160" s="1"/>
  <c r="K39" i="160"/>
  <c r="I39" i="160"/>
  <c r="J39" i="160" s="1"/>
  <c r="G39" i="160"/>
  <c r="F39" i="160"/>
  <c r="I38" i="160"/>
  <c r="G38" i="160"/>
  <c r="F38" i="160"/>
  <c r="F37" i="160"/>
  <c r="G37" i="160" s="1"/>
  <c r="I37" i="160" s="1"/>
  <c r="G36" i="160"/>
  <c r="I36" i="160" s="1"/>
  <c r="F36" i="160"/>
  <c r="F35" i="160"/>
  <c r="G35" i="160" s="1"/>
  <c r="K32" i="160"/>
  <c r="F32" i="160"/>
  <c r="G32" i="160" s="1"/>
  <c r="I32" i="160" s="1"/>
  <c r="J32" i="160" s="1"/>
  <c r="K31" i="160"/>
  <c r="J31" i="160"/>
  <c r="G31" i="160"/>
  <c r="I31" i="160" s="1"/>
  <c r="F31" i="160"/>
  <c r="G30" i="160"/>
  <c r="I30" i="160" s="1"/>
  <c r="F30" i="160"/>
  <c r="G29" i="160"/>
  <c r="I29" i="160" s="1"/>
  <c r="J29" i="160" s="1"/>
  <c r="F29" i="160"/>
  <c r="K28" i="160"/>
  <c r="J28" i="160"/>
  <c r="F28" i="160"/>
  <c r="G28" i="160" s="1"/>
  <c r="I28" i="160" s="1"/>
  <c r="F27" i="160"/>
  <c r="G27" i="160" s="1"/>
  <c r="I27" i="160" s="1"/>
  <c r="G26" i="160"/>
  <c r="I26" i="160" s="1"/>
  <c r="F26" i="160"/>
  <c r="I25" i="160"/>
  <c r="K25" i="160" s="1"/>
  <c r="G25" i="160"/>
  <c r="I24" i="160"/>
  <c r="G24" i="160"/>
  <c r="F24" i="160"/>
  <c r="F23" i="160"/>
  <c r="G23" i="160" s="1"/>
  <c r="I23" i="160" s="1"/>
  <c r="K23" i="160" s="1"/>
  <c r="K22" i="160"/>
  <c r="I22" i="160"/>
  <c r="J22" i="160" s="1"/>
  <c r="G22" i="160"/>
  <c r="F22" i="160"/>
  <c r="I21" i="160"/>
  <c r="G21" i="160"/>
  <c r="F21" i="160"/>
  <c r="F20" i="160"/>
  <c r="G20" i="160" s="1"/>
  <c r="I20" i="160" s="1"/>
  <c r="K19" i="160"/>
  <c r="J19" i="160"/>
  <c r="I19" i="160"/>
  <c r="F19" i="160"/>
  <c r="G19" i="160" s="1"/>
  <c r="K18" i="160"/>
  <c r="G18" i="160"/>
  <c r="I18" i="160" s="1"/>
  <c r="J18" i="160" s="1"/>
  <c r="F18" i="160"/>
  <c r="F17" i="160"/>
  <c r="G17" i="160" s="1"/>
  <c r="R16" i="160"/>
  <c r="K16" i="160"/>
  <c r="J16" i="160"/>
  <c r="F16" i="160"/>
  <c r="G16" i="160" s="1"/>
  <c r="I16" i="160" s="1"/>
  <c r="G15" i="160"/>
  <c r="I15" i="160" s="1"/>
  <c r="K15" i="160" s="1"/>
  <c r="F15" i="160"/>
  <c r="I14" i="160"/>
  <c r="F14" i="160"/>
  <c r="G14" i="160" s="1"/>
  <c r="D10" i="160"/>
  <c r="K8" i="160"/>
  <c r="F8" i="160"/>
  <c r="C8" i="160"/>
  <c r="F6" i="160"/>
  <c r="C6" i="160"/>
  <c r="F4" i="160"/>
  <c r="C4" i="160"/>
  <c r="M197" i="159"/>
  <c r="K197" i="159"/>
  <c r="K196" i="159"/>
  <c r="M196" i="159" s="1"/>
  <c r="O195" i="159"/>
  <c r="M195" i="159"/>
  <c r="N195" i="159" s="1"/>
  <c r="K195" i="159"/>
  <c r="M194" i="159"/>
  <c r="K194" i="159"/>
  <c r="K193" i="159"/>
  <c r="M193" i="159" s="1"/>
  <c r="K192" i="159"/>
  <c r="M192" i="159" s="1"/>
  <c r="M191" i="159"/>
  <c r="N191" i="159" s="1"/>
  <c r="K191" i="159"/>
  <c r="K190" i="159"/>
  <c r="M190" i="159" s="1"/>
  <c r="O189" i="159"/>
  <c r="M189" i="159"/>
  <c r="N189" i="159" s="1"/>
  <c r="K189" i="159"/>
  <c r="K188" i="159"/>
  <c r="M188" i="159" s="1"/>
  <c r="K187" i="159"/>
  <c r="M187" i="159" s="1"/>
  <c r="M186" i="159"/>
  <c r="K186" i="159"/>
  <c r="J186" i="159"/>
  <c r="N185" i="159"/>
  <c r="M185" i="159"/>
  <c r="O185" i="159" s="1"/>
  <c r="J185" i="159"/>
  <c r="K185" i="159" s="1"/>
  <c r="K184" i="159"/>
  <c r="M184" i="159" s="1"/>
  <c r="J184" i="159"/>
  <c r="K183" i="159"/>
  <c r="J183" i="159"/>
  <c r="F180" i="159"/>
  <c r="E180" i="159"/>
  <c r="B180" i="159"/>
  <c r="I179" i="159"/>
  <c r="J179" i="159" s="1"/>
  <c r="F179" i="159"/>
  <c r="E179" i="159"/>
  <c r="B179" i="159"/>
  <c r="J178" i="159"/>
  <c r="F178" i="159"/>
  <c r="E178" i="159"/>
  <c r="D178" i="159"/>
  <c r="B178" i="159"/>
  <c r="I177" i="159"/>
  <c r="I180" i="159" s="1"/>
  <c r="J180" i="159" s="1"/>
  <c r="K180" i="159" s="1"/>
  <c r="M180" i="159" s="1"/>
  <c r="O180" i="159" s="1"/>
  <c r="C177" i="159"/>
  <c r="B177" i="159"/>
  <c r="H176" i="159"/>
  <c r="F176" i="159"/>
  <c r="E176" i="159"/>
  <c r="D176" i="159"/>
  <c r="G176" i="159" s="1"/>
  <c r="H175" i="159"/>
  <c r="G175" i="159"/>
  <c r="D175" i="159"/>
  <c r="J175" i="159" s="1"/>
  <c r="K174" i="159"/>
  <c r="M174" i="159" s="1"/>
  <c r="O174" i="159" s="1"/>
  <c r="J174" i="159"/>
  <c r="H174" i="159"/>
  <c r="G174" i="159"/>
  <c r="O173" i="159"/>
  <c r="J173" i="159"/>
  <c r="K173" i="159" s="1"/>
  <c r="M173" i="159" s="1"/>
  <c r="N173" i="159" s="1"/>
  <c r="K172" i="159"/>
  <c r="M172" i="159" s="1"/>
  <c r="J172" i="159"/>
  <c r="D172" i="159"/>
  <c r="J171" i="159"/>
  <c r="K171" i="159" s="1"/>
  <c r="M171" i="159" s="1"/>
  <c r="E171" i="159"/>
  <c r="J170" i="159"/>
  <c r="K170" i="159" s="1"/>
  <c r="M170" i="159" s="1"/>
  <c r="O170" i="159" s="1"/>
  <c r="N169" i="159"/>
  <c r="M169" i="159"/>
  <c r="O169" i="159" s="1"/>
  <c r="K169" i="159"/>
  <c r="J169" i="159"/>
  <c r="I165" i="159"/>
  <c r="H165" i="159"/>
  <c r="E165" i="159"/>
  <c r="D165" i="159"/>
  <c r="I164" i="159"/>
  <c r="N163" i="159"/>
  <c r="F163" i="159"/>
  <c r="E163" i="159"/>
  <c r="B163" i="159"/>
  <c r="O162" i="159"/>
  <c r="I162" i="159"/>
  <c r="J162" i="159" s="1"/>
  <c r="K162" i="159" s="1"/>
  <c r="M162" i="159" s="1"/>
  <c r="N162" i="159" s="1"/>
  <c r="F162" i="159"/>
  <c r="E162" i="159"/>
  <c r="B162" i="159"/>
  <c r="K161" i="159"/>
  <c r="M161" i="159" s="1"/>
  <c r="J161" i="159"/>
  <c r="F161" i="159"/>
  <c r="E161" i="159"/>
  <c r="D161" i="159"/>
  <c r="B161" i="159"/>
  <c r="I160" i="159"/>
  <c r="I163" i="159" s="1"/>
  <c r="J163" i="159" s="1"/>
  <c r="K163" i="159" s="1"/>
  <c r="M163" i="159" s="1"/>
  <c r="O163" i="159" s="1"/>
  <c r="C160" i="159"/>
  <c r="B160" i="159"/>
  <c r="N159" i="159"/>
  <c r="M159" i="159"/>
  <c r="O159" i="159" s="1"/>
  <c r="K159" i="159"/>
  <c r="H159" i="159"/>
  <c r="G159" i="159"/>
  <c r="F159" i="159"/>
  <c r="E159" i="159"/>
  <c r="D159" i="159"/>
  <c r="H158" i="159"/>
  <c r="D158" i="159"/>
  <c r="J158" i="159" s="1"/>
  <c r="C158" i="159"/>
  <c r="K157" i="159"/>
  <c r="M157" i="159" s="1"/>
  <c r="J157" i="159"/>
  <c r="H157" i="159"/>
  <c r="G157" i="159"/>
  <c r="K156" i="159"/>
  <c r="M156" i="159" s="1"/>
  <c r="N156" i="159" s="1"/>
  <c r="J156" i="159"/>
  <c r="J155" i="159"/>
  <c r="K155" i="159" s="1"/>
  <c r="M155" i="159" s="1"/>
  <c r="D155" i="159"/>
  <c r="J154" i="159"/>
  <c r="K154" i="159" s="1"/>
  <c r="M154" i="159" s="1"/>
  <c r="E154" i="159"/>
  <c r="K153" i="159"/>
  <c r="M153" i="159" s="1"/>
  <c r="J153" i="159"/>
  <c r="M152" i="159"/>
  <c r="K152" i="159"/>
  <c r="J152" i="159"/>
  <c r="I148" i="159"/>
  <c r="H148" i="159"/>
  <c r="F148" i="159"/>
  <c r="E148" i="159"/>
  <c r="D148" i="159"/>
  <c r="G148" i="159" s="1"/>
  <c r="C148" i="159"/>
  <c r="I147" i="159"/>
  <c r="I146" i="159"/>
  <c r="F146" i="159"/>
  <c r="E146" i="159"/>
  <c r="B146" i="159"/>
  <c r="I145" i="159"/>
  <c r="J145" i="159" s="1"/>
  <c r="K145" i="159" s="1"/>
  <c r="M145" i="159" s="1"/>
  <c r="F145" i="159"/>
  <c r="E145" i="159"/>
  <c r="B145" i="159"/>
  <c r="O144" i="159"/>
  <c r="F144" i="159"/>
  <c r="E144" i="159"/>
  <c r="D144" i="159"/>
  <c r="B144" i="159"/>
  <c r="I143" i="159"/>
  <c r="J144" i="159" s="1"/>
  <c r="K144" i="159" s="1"/>
  <c r="M144" i="159" s="1"/>
  <c r="N144" i="159" s="1"/>
  <c r="C143" i="159"/>
  <c r="B143" i="159"/>
  <c r="K142" i="159"/>
  <c r="M142" i="159" s="1"/>
  <c r="H142" i="159"/>
  <c r="F142" i="159"/>
  <c r="E142" i="159"/>
  <c r="D142" i="159"/>
  <c r="G142" i="159" s="1"/>
  <c r="H141" i="159"/>
  <c r="F141" i="159"/>
  <c r="D141" i="159"/>
  <c r="K140" i="159"/>
  <c r="M140" i="159" s="1"/>
  <c r="J140" i="159"/>
  <c r="H140" i="159"/>
  <c r="J139" i="159"/>
  <c r="K139" i="159" s="1"/>
  <c r="M139" i="159" s="1"/>
  <c r="K138" i="159"/>
  <c r="M138" i="159" s="1"/>
  <c r="J138" i="159"/>
  <c r="D138" i="159"/>
  <c r="K137" i="159"/>
  <c r="M137" i="159" s="1"/>
  <c r="N137" i="159" s="1"/>
  <c r="J137" i="159"/>
  <c r="E137" i="159"/>
  <c r="O136" i="159"/>
  <c r="M136" i="159"/>
  <c r="N136" i="159" s="1"/>
  <c r="K136" i="159"/>
  <c r="J136" i="159"/>
  <c r="K135" i="159"/>
  <c r="M135" i="159" s="1"/>
  <c r="O135" i="159" s="1"/>
  <c r="J135" i="159"/>
  <c r="I131" i="159"/>
  <c r="H131" i="159"/>
  <c r="F131" i="159" s="1"/>
  <c r="C141" i="159" s="1"/>
  <c r="E141" i="159" s="1"/>
  <c r="E131" i="159"/>
  <c r="D131" i="159"/>
  <c r="G131" i="159" s="1"/>
  <c r="C131" i="159"/>
  <c r="I130" i="159"/>
  <c r="F129" i="159"/>
  <c r="E129" i="159"/>
  <c r="B129" i="159"/>
  <c r="J128" i="159"/>
  <c r="K128" i="159" s="1"/>
  <c r="M128" i="159" s="1"/>
  <c r="I128" i="159"/>
  <c r="F128" i="159"/>
  <c r="E128" i="159"/>
  <c r="B128" i="159"/>
  <c r="F127" i="159"/>
  <c r="E127" i="159"/>
  <c r="D127" i="159"/>
  <c r="B127" i="159"/>
  <c r="I126" i="159"/>
  <c r="B126" i="159"/>
  <c r="H125" i="159"/>
  <c r="F125" i="159"/>
  <c r="E125" i="159"/>
  <c r="D125" i="159"/>
  <c r="H124" i="159"/>
  <c r="G124" i="159"/>
  <c r="D124" i="159"/>
  <c r="J124" i="159" s="1"/>
  <c r="K123" i="159"/>
  <c r="M123" i="159" s="1"/>
  <c r="O123" i="159" s="1"/>
  <c r="J123" i="159"/>
  <c r="H123" i="159"/>
  <c r="G123" i="159"/>
  <c r="O122" i="159"/>
  <c r="J122" i="159"/>
  <c r="K122" i="159" s="1"/>
  <c r="M122" i="159" s="1"/>
  <c r="N122" i="159" s="1"/>
  <c r="K121" i="159"/>
  <c r="M121" i="159" s="1"/>
  <c r="J121" i="159"/>
  <c r="D121" i="159"/>
  <c r="J120" i="159"/>
  <c r="K120" i="159" s="1"/>
  <c r="M120" i="159" s="1"/>
  <c r="E120" i="159"/>
  <c r="J119" i="159"/>
  <c r="K119" i="159" s="1"/>
  <c r="M119" i="159" s="1"/>
  <c r="N118" i="159"/>
  <c r="J118" i="159"/>
  <c r="K118" i="159" s="1"/>
  <c r="M118" i="159" s="1"/>
  <c r="O118" i="159" s="1"/>
  <c r="I114" i="159"/>
  <c r="H114" i="159"/>
  <c r="E114" i="159"/>
  <c r="D114" i="159"/>
  <c r="I113" i="159"/>
  <c r="F112" i="159"/>
  <c r="E112" i="159"/>
  <c r="B112" i="159"/>
  <c r="F111" i="159"/>
  <c r="E111" i="159"/>
  <c r="B111" i="159"/>
  <c r="F110" i="159"/>
  <c r="E110" i="159"/>
  <c r="D110" i="159"/>
  <c r="B110" i="159"/>
  <c r="I109" i="159"/>
  <c r="B109" i="159"/>
  <c r="N108" i="159"/>
  <c r="M108" i="159"/>
  <c r="O108" i="159" s="1"/>
  <c r="K108" i="159"/>
  <c r="H108" i="159"/>
  <c r="G108" i="159"/>
  <c r="F108" i="159"/>
  <c r="E108" i="159"/>
  <c r="D108" i="159"/>
  <c r="J107" i="159"/>
  <c r="H107" i="159"/>
  <c r="G107" i="159"/>
  <c r="D107" i="159"/>
  <c r="J106" i="159"/>
  <c r="K106" i="159" s="1"/>
  <c r="M106" i="159" s="1"/>
  <c r="H106" i="159"/>
  <c r="G106" i="159"/>
  <c r="O105" i="159"/>
  <c r="J105" i="159"/>
  <c r="K105" i="159" s="1"/>
  <c r="M105" i="159" s="1"/>
  <c r="N105" i="159" s="1"/>
  <c r="J104" i="159"/>
  <c r="K104" i="159" s="1"/>
  <c r="M104" i="159" s="1"/>
  <c r="D104" i="159"/>
  <c r="J103" i="159"/>
  <c r="K103" i="159" s="1"/>
  <c r="M103" i="159" s="1"/>
  <c r="O103" i="159" s="1"/>
  <c r="E103" i="159"/>
  <c r="M102" i="159"/>
  <c r="K102" i="159"/>
  <c r="J102" i="159"/>
  <c r="K101" i="159"/>
  <c r="M101" i="159" s="1"/>
  <c r="J101" i="159"/>
  <c r="I97" i="159"/>
  <c r="H97" i="159"/>
  <c r="E97" i="159"/>
  <c r="D97" i="159"/>
  <c r="I96" i="159"/>
  <c r="M95" i="159"/>
  <c r="J95" i="159"/>
  <c r="K95" i="159" s="1"/>
  <c r="I95" i="159"/>
  <c r="F95" i="159"/>
  <c r="E95" i="159"/>
  <c r="B95" i="159"/>
  <c r="I94" i="159"/>
  <c r="J94" i="159" s="1"/>
  <c r="F94" i="159"/>
  <c r="E94" i="159"/>
  <c r="B94" i="159"/>
  <c r="J93" i="159"/>
  <c r="F93" i="159"/>
  <c r="E93" i="159"/>
  <c r="D93" i="159"/>
  <c r="B93" i="159"/>
  <c r="I92" i="159"/>
  <c r="B92" i="159"/>
  <c r="H91" i="159"/>
  <c r="F91" i="159"/>
  <c r="E91" i="159"/>
  <c r="D91" i="159"/>
  <c r="J90" i="159"/>
  <c r="H90" i="159"/>
  <c r="G90" i="159"/>
  <c r="D90" i="159"/>
  <c r="K89" i="159"/>
  <c r="M89" i="159" s="1"/>
  <c r="J89" i="159"/>
  <c r="H89" i="159"/>
  <c r="G89" i="159"/>
  <c r="J88" i="159"/>
  <c r="K88" i="159" s="1"/>
  <c r="M88" i="159" s="1"/>
  <c r="O88" i="159" s="1"/>
  <c r="D87" i="159"/>
  <c r="J87" i="159" s="1"/>
  <c r="K87" i="159" s="1"/>
  <c r="M87" i="159" s="1"/>
  <c r="M86" i="159"/>
  <c r="K86" i="159"/>
  <c r="J86" i="159"/>
  <c r="E86" i="159"/>
  <c r="M85" i="159"/>
  <c r="N85" i="159" s="1"/>
  <c r="K85" i="159"/>
  <c r="J85" i="159"/>
  <c r="K84" i="159"/>
  <c r="M84" i="159" s="1"/>
  <c r="J84" i="159"/>
  <c r="I80" i="159"/>
  <c r="H80" i="159"/>
  <c r="E80" i="159"/>
  <c r="D80" i="159"/>
  <c r="I79" i="159"/>
  <c r="I78" i="159"/>
  <c r="F78" i="159"/>
  <c r="E78" i="159"/>
  <c r="B78" i="159"/>
  <c r="J78" i="159" s="1"/>
  <c r="K78" i="159" s="1"/>
  <c r="M78" i="159" s="1"/>
  <c r="N77" i="159"/>
  <c r="F77" i="159"/>
  <c r="E77" i="159"/>
  <c r="B77" i="159"/>
  <c r="J76" i="159"/>
  <c r="F76" i="159"/>
  <c r="E76" i="159"/>
  <c r="D76" i="159"/>
  <c r="B76" i="159"/>
  <c r="I75" i="159"/>
  <c r="I77" i="159" s="1"/>
  <c r="J77" i="159" s="1"/>
  <c r="K77" i="159" s="1"/>
  <c r="M77" i="159" s="1"/>
  <c r="O77" i="159" s="1"/>
  <c r="F75" i="159"/>
  <c r="E75" i="159"/>
  <c r="B75" i="159"/>
  <c r="K74" i="159"/>
  <c r="M74" i="159" s="1"/>
  <c r="H74" i="159"/>
  <c r="F74" i="159"/>
  <c r="E74" i="159"/>
  <c r="D74" i="159"/>
  <c r="G74" i="159" s="1"/>
  <c r="H73" i="159"/>
  <c r="E73" i="159"/>
  <c r="D73" i="159"/>
  <c r="J72" i="159"/>
  <c r="K72" i="159" s="1"/>
  <c r="M72" i="159" s="1"/>
  <c r="H72" i="159"/>
  <c r="J71" i="159"/>
  <c r="K71" i="159" s="1"/>
  <c r="M71" i="159" s="1"/>
  <c r="J70" i="159"/>
  <c r="K70" i="159" s="1"/>
  <c r="M70" i="159" s="1"/>
  <c r="N70" i="159" s="1"/>
  <c r="D70" i="159"/>
  <c r="O69" i="159"/>
  <c r="J69" i="159"/>
  <c r="K69" i="159" s="1"/>
  <c r="M69" i="159" s="1"/>
  <c r="N69" i="159" s="1"/>
  <c r="E69" i="159"/>
  <c r="K68" i="159"/>
  <c r="M68" i="159" s="1"/>
  <c r="J68" i="159"/>
  <c r="J67" i="159"/>
  <c r="K67" i="159" s="1"/>
  <c r="M67" i="159" s="1"/>
  <c r="J65" i="159"/>
  <c r="K65" i="159" s="1"/>
  <c r="I63" i="159"/>
  <c r="H63" i="159"/>
  <c r="C75" i="159" s="1"/>
  <c r="D75" i="159" s="1"/>
  <c r="F63" i="159"/>
  <c r="C73" i="159" s="1"/>
  <c r="E63" i="159"/>
  <c r="D63" i="159"/>
  <c r="G63" i="159" s="1"/>
  <c r="C63" i="159"/>
  <c r="J66" i="159" s="1"/>
  <c r="K66" i="159" s="1"/>
  <c r="M66" i="159" s="1"/>
  <c r="I62" i="159"/>
  <c r="K61" i="159"/>
  <c r="M61" i="159" s="1"/>
  <c r="F61" i="159"/>
  <c r="E61" i="159"/>
  <c r="B61" i="159"/>
  <c r="J61" i="159" s="1"/>
  <c r="F60" i="159"/>
  <c r="E60" i="159"/>
  <c r="B60" i="159"/>
  <c r="J59" i="159"/>
  <c r="F59" i="159"/>
  <c r="E59" i="159"/>
  <c r="D59" i="159"/>
  <c r="B59" i="159"/>
  <c r="I58" i="159"/>
  <c r="I61" i="159" s="1"/>
  <c r="E58" i="159"/>
  <c r="C58" i="159"/>
  <c r="J58" i="159" s="1"/>
  <c r="K58" i="159" s="1"/>
  <c r="M58" i="159" s="1"/>
  <c r="B58" i="159"/>
  <c r="O57" i="159"/>
  <c r="H57" i="159"/>
  <c r="G57" i="159"/>
  <c r="F57" i="159"/>
  <c r="E57" i="159"/>
  <c r="D57" i="159"/>
  <c r="K57" i="159" s="1"/>
  <c r="M57" i="159" s="1"/>
  <c r="N57" i="159" s="1"/>
  <c r="H56" i="159"/>
  <c r="D56" i="159"/>
  <c r="K55" i="159"/>
  <c r="M55" i="159" s="1"/>
  <c r="J55" i="159"/>
  <c r="H55" i="159"/>
  <c r="N54" i="159"/>
  <c r="J54" i="159"/>
  <c r="K54" i="159" s="1"/>
  <c r="M54" i="159" s="1"/>
  <c r="O54" i="159" s="1"/>
  <c r="O53" i="159"/>
  <c r="J53" i="159"/>
  <c r="K53" i="159" s="1"/>
  <c r="M53" i="159" s="1"/>
  <c r="N53" i="159" s="1"/>
  <c r="D53" i="159"/>
  <c r="K52" i="159"/>
  <c r="M52" i="159" s="1"/>
  <c r="J52" i="159"/>
  <c r="E52" i="159"/>
  <c r="N51" i="159"/>
  <c r="J51" i="159"/>
  <c r="K51" i="159" s="1"/>
  <c r="M51" i="159" s="1"/>
  <c r="O51" i="159" s="1"/>
  <c r="J50" i="159"/>
  <c r="K50" i="159" s="1"/>
  <c r="M50" i="159" s="1"/>
  <c r="O49" i="159"/>
  <c r="N49" i="159"/>
  <c r="J49" i="159"/>
  <c r="K49" i="159" s="1"/>
  <c r="M49" i="159" s="1"/>
  <c r="I46" i="159"/>
  <c r="H46" i="159"/>
  <c r="F46" i="159"/>
  <c r="G46" i="159" s="1"/>
  <c r="E46" i="159"/>
  <c r="D46" i="159"/>
  <c r="C46" i="159"/>
  <c r="J48" i="159" s="1"/>
  <c r="K48" i="159" s="1"/>
  <c r="M48" i="159" s="1"/>
  <c r="I45" i="159"/>
  <c r="K44" i="159"/>
  <c r="M44" i="159" s="1"/>
  <c r="J44" i="159"/>
  <c r="I44" i="159"/>
  <c r="F44" i="159"/>
  <c r="E44" i="159"/>
  <c r="B44" i="159"/>
  <c r="J43" i="159"/>
  <c r="K43" i="159" s="1"/>
  <c r="M43" i="159" s="1"/>
  <c r="I43" i="159"/>
  <c r="F43" i="159"/>
  <c r="E43" i="159"/>
  <c r="B43" i="159"/>
  <c r="J42" i="159"/>
  <c r="F42" i="159"/>
  <c r="E42" i="159"/>
  <c r="D42" i="159"/>
  <c r="B42" i="159"/>
  <c r="I41" i="159"/>
  <c r="B41" i="159"/>
  <c r="K40" i="159"/>
  <c r="M40" i="159" s="1"/>
  <c r="H40" i="159"/>
  <c r="F40" i="159"/>
  <c r="E40" i="159"/>
  <c r="D40" i="159"/>
  <c r="G40" i="159" s="1"/>
  <c r="J39" i="159"/>
  <c r="H39" i="159"/>
  <c r="G39" i="159"/>
  <c r="D39" i="159"/>
  <c r="K38" i="159"/>
  <c r="M38" i="159" s="1"/>
  <c r="J38" i="159"/>
  <c r="H38" i="159"/>
  <c r="G38" i="159"/>
  <c r="O37" i="159"/>
  <c r="J37" i="159"/>
  <c r="K37" i="159" s="1"/>
  <c r="M37" i="159" s="1"/>
  <c r="N37" i="159" s="1"/>
  <c r="D36" i="159"/>
  <c r="J36" i="159" s="1"/>
  <c r="K36" i="159" s="1"/>
  <c r="M36" i="159" s="1"/>
  <c r="M35" i="159"/>
  <c r="O35" i="159" s="1"/>
  <c r="K35" i="159"/>
  <c r="J35" i="159"/>
  <c r="N34" i="159"/>
  <c r="J34" i="159"/>
  <c r="K34" i="159" s="1"/>
  <c r="M34" i="159" s="1"/>
  <c r="O34" i="159" s="1"/>
  <c r="N33" i="159"/>
  <c r="J33" i="159"/>
  <c r="K33" i="159" s="1"/>
  <c r="M33" i="159" s="1"/>
  <c r="O33" i="159" s="1"/>
  <c r="I29" i="159"/>
  <c r="H29" i="159"/>
  <c r="C29" i="159" s="1"/>
  <c r="J32" i="159" s="1"/>
  <c r="K32" i="159" s="1"/>
  <c r="M32" i="159" s="1"/>
  <c r="E29" i="159"/>
  <c r="D29" i="159"/>
  <c r="I28" i="159"/>
  <c r="F27" i="159"/>
  <c r="E27" i="159"/>
  <c r="B27" i="159"/>
  <c r="F26" i="159"/>
  <c r="E26" i="159"/>
  <c r="B26" i="159"/>
  <c r="J25" i="159"/>
  <c r="F25" i="159"/>
  <c r="E25" i="159"/>
  <c r="D25" i="159"/>
  <c r="B25" i="159"/>
  <c r="I24" i="159"/>
  <c r="I26" i="159" s="1"/>
  <c r="J26" i="159" s="1"/>
  <c r="B24" i="159"/>
  <c r="H23" i="159"/>
  <c r="F23" i="159"/>
  <c r="E23" i="159"/>
  <c r="D23" i="159"/>
  <c r="J22" i="159"/>
  <c r="H22" i="159"/>
  <c r="D22" i="159"/>
  <c r="M21" i="159"/>
  <c r="O21" i="159" s="1"/>
  <c r="J21" i="159"/>
  <c r="K21" i="159" s="1"/>
  <c r="H21" i="159"/>
  <c r="G21" i="159"/>
  <c r="J20" i="159"/>
  <c r="K20" i="159" s="1"/>
  <c r="M20" i="159" s="1"/>
  <c r="N20" i="159" s="1"/>
  <c r="J19" i="159"/>
  <c r="K19" i="159" s="1"/>
  <c r="M19" i="159" s="1"/>
  <c r="D19" i="159"/>
  <c r="N18" i="159"/>
  <c r="J18" i="159"/>
  <c r="K18" i="159" s="1"/>
  <c r="M18" i="159" s="1"/>
  <c r="O18" i="159" s="1"/>
  <c r="E18" i="159"/>
  <c r="O17" i="159"/>
  <c r="J17" i="159"/>
  <c r="K17" i="159" s="1"/>
  <c r="M17" i="159" s="1"/>
  <c r="N17" i="159" s="1"/>
  <c r="J16" i="159"/>
  <c r="K16" i="159" s="1"/>
  <c r="M16" i="159" s="1"/>
  <c r="I12" i="159"/>
  <c r="H12" i="159"/>
  <c r="E12" i="159"/>
  <c r="D12" i="159"/>
  <c r="I11" i="159"/>
  <c r="D9" i="159"/>
  <c r="O7" i="159"/>
  <c r="I7" i="159"/>
  <c r="G7" i="159"/>
  <c r="C7" i="159"/>
  <c r="I5" i="159"/>
  <c r="G5" i="159"/>
  <c r="C5" i="159"/>
  <c r="I3" i="159"/>
  <c r="G3" i="159"/>
  <c r="C3" i="159"/>
  <c r="N197" i="158"/>
  <c r="K197" i="158"/>
  <c r="M197" i="158" s="1"/>
  <c r="O197" i="158" s="1"/>
  <c r="K196" i="158"/>
  <c r="M196" i="158" s="1"/>
  <c r="K195" i="158"/>
  <c r="M195" i="158" s="1"/>
  <c r="O195" i="158" s="1"/>
  <c r="O194" i="158"/>
  <c r="N194" i="158"/>
  <c r="K194" i="158"/>
  <c r="M194" i="158" s="1"/>
  <c r="N193" i="158"/>
  <c r="K193" i="158"/>
  <c r="M193" i="158" s="1"/>
  <c r="O193" i="158" s="1"/>
  <c r="K192" i="158"/>
  <c r="M192" i="158" s="1"/>
  <c r="K191" i="158"/>
  <c r="M191" i="158" s="1"/>
  <c r="O191" i="158" s="1"/>
  <c r="O190" i="158"/>
  <c r="N190" i="158"/>
  <c r="K190" i="158"/>
  <c r="M190" i="158" s="1"/>
  <c r="N189" i="158"/>
  <c r="K189" i="158"/>
  <c r="M189" i="158" s="1"/>
  <c r="O189" i="158" s="1"/>
  <c r="K188" i="158"/>
  <c r="M188" i="158" s="1"/>
  <c r="C188" i="158"/>
  <c r="K187" i="158"/>
  <c r="M187" i="158" s="1"/>
  <c r="O186" i="158"/>
  <c r="K186" i="158"/>
  <c r="M186" i="158" s="1"/>
  <c r="N186" i="158" s="1"/>
  <c r="J186" i="158"/>
  <c r="M185" i="158"/>
  <c r="O185" i="158" s="1"/>
  <c r="K185" i="158"/>
  <c r="J185" i="158"/>
  <c r="M184" i="158"/>
  <c r="J184" i="158"/>
  <c r="K184" i="158" s="1"/>
  <c r="K183" i="158"/>
  <c r="J183" i="158"/>
  <c r="M180" i="158"/>
  <c r="K180" i="158"/>
  <c r="I180" i="158"/>
  <c r="J180" i="158" s="1"/>
  <c r="F180" i="158"/>
  <c r="E180" i="158"/>
  <c r="B180" i="158"/>
  <c r="I179" i="158"/>
  <c r="J179" i="158" s="1"/>
  <c r="F179" i="158"/>
  <c r="E179" i="158"/>
  <c r="B179" i="158"/>
  <c r="J178" i="158"/>
  <c r="F178" i="158"/>
  <c r="E178" i="158"/>
  <c r="D178" i="158"/>
  <c r="B178" i="158"/>
  <c r="I177" i="158"/>
  <c r="B177" i="158"/>
  <c r="J176" i="158"/>
  <c r="K176" i="158" s="1"/>
  <c r="M176" i="158" s="1"/>
  <c r="H176" i="158"/>
  <c r="F176" i="158"/>
  <c r="E176" i="158"/>
  <c r="D176" i="158"/>
  <c r="G176" i="158" s="1"/>
  <c r="H175" i="158"/>
  <c r="G175" i="158"/>
  <c r="D175" i="158"/>
  <c r="M174" i="158"/>
  <c r="K174" i="158"/>
  <c r="J174" i="158"/>
  <c r="H174" i="158"/>
  <c r="O173" i="158"/>
  <c r="K173" i="158"/>
  <c r="M173" i="158" s="1"/>
  <c r="N173" i="158" s="1"/>
  <c r="J173" i="158"/>
  <c r="K172" i="158"/>
  <c r="M172" i="158" s="1"/>
  <c r="D172" i="158"/>
  <c r="J172" i="158" s="1"/>
  <c r="O171" i="158"/>
  <c r="J171" i="158"/>
  <c r="K171" i="158" s="1"/>
  <c r="M171" i="158" s="1"/>
  <c r="N171" i="158" s="1"/>
  <c r="E171" i="158"/>
  <c r="K170" i="158"/>
  <c r="M170" i="158" s="1"/>
  <c r="J170" i="158"/>
  <c r="E170" i="158"/>
  <c r="J169" i="158"/>
  <c r="K169" i="158" s="1"/>
  <c r="M169" i="158" s="1"/>
  <c r="E169" i="158"/>
  <c r="L165" i="158"/>
  <c r="I165" i="158"/>
  <c r="H165" i="158"/>
  <c r="G165" i="158"/>
  <c r="F165" i="158"/>
  <c r="C175" i="158" s="1"/>
  <c r="E165" i="158"/>
  <c r="D165" i="158"/>
  <c r="I164" i="158"/>
  <c r="I163" i="158"/>
  <c r="F163" i="158"/>
  <c r="E163" i="158"/>
  <c r="B163" i="158"/>
  <c r="J163" i="158" s="1"/>
  <c r="K163" i="158" s="1"/>
  <c r="M163" i="158" s="1"/>
  <c r="I162" i="158"/>
  <c r="J162" i="158" s="1"/>
  <c r="K162" i="158" s="1"/>
  <c r="M162" i="158" s="1"/>
  <c r="F162" i="158"/>
  <c r="E162" i="158"/>
  <c r="B162" i="158"/>
  <c r="F161" i="158"/>
  <c r="E161" i="158"/>
  <c r="D161" i="158"/>
  <c r="B161" i="158"/>
  <c r="I160" i="158"/>
  <c r="J161" i="158" s="1"/>
  <c r="B160" i="158"/>
  <c r="H159" i="158"/>
  <c r="F159" i="158"/>
  <c r="E159" i="158"/>
  <c r="D159" i="158"/>
  <c r="G159" i="158" s="1"/>
  <c r="J158" i="158"/>
  <c r="K158" i="158" s="1"/>
  <c r="M158" i="158" s="1"/>
  <c r="H158" i="158"/>
  <c r="G158" i="158"/>
  <c r="F158" i="158"/>
  <c r="D158" i="158"/>
  <c r="J157" i="158"/>
  <c r="K157" i="158" s="1"/>
  <c r="M157" i="158" s="1"/>
  <c r="H157" i="158"/>
  <c r="G157" i="158"/>
  <c r="N156" i="158"/>
  <c r="J156" i="158"/>
  <c r="K156" i="158" s="1"/>
  <c r="M156" i="158" s="1"/>
  <c r="O156" i="158" s="1"/>
  <c r="K155" i="158"/>
  <c r="M155" i="158" s="1"/>
  <c r="J155" i="158"/>
  <c r="D155" i="158"/>
  <c r="M154" i="158"/>
  <c r="O154" i="158" s="1"/>
  <c r="J154" i="158"/>
  <c r="K154" i="158" s="1"/>
  <c r="E154" i="158"/>
  <c r="K153" i="158"/>
  <c r="M153" i="158" s="1"/>
  <c r="J153" i="158"/>
  <c r="E153" i="158"/>
  <c r="J152" i="158"/>
  <c r="K152" i="158" s="1"/>
  <c r="M152" i="158" s="1"/>
  <c r="O152" i="158" s="1"/>
  <c r="E152" i="158"/>
  <c r="I148" i="158"/>
  <c r="H148" i="158"/>
  <c r="F148" i="158"/>
  <c r="C158" i="158" s="1"/>
  <c r="E148" i="158"/>
  <c r="D148" i="158"/>
  <c r="G148" i="158" s="1"/>
  <c r="I147" i="158"/>
  <c r="J146" i="158"/>
  <c r="K146" i="158" s="1"/>
  <c r="M146" i="158" s="1"/>
  <c r="I146" i="158"/>
  <c r="F146" i="158"/>
  <c r="E146" i="158"/>
  <c r="B146" i="158"/>
  <c r="F145" i="158"/>
  <c r="E145" i="158"/>
  <c r="B145" i="158"/>
  <c r="F144" i="158"/>
  <c r="E144" i="158"/>
  <c r="D144" i="158"/>
  <c r="B144" i="158"/>
  <c r="I143" i="158"/>
  <c r="B143" i="158"/>
  <c r="H142" i="158"/>
  <c r="F142" i="158"/>
  <c r="E142" i="158"/>
  <c r="D142" i="158"/>
  <c r="J141" i="158"/>
  <c r="H141" i="158"/>
  <c r="G141" i="158"/>
  <c r="D141" i="158"/>
  <c r="N140" i="158"/>
  <c r="J140" i="158"/>
  <c r="K140" i="158" s="1"/>
  <c r="M140" i="158" s="1"/>
  <c r="O140" i="158" s="1"/>
  <c r="H140" i="158"/>
  <c r="G140" i="158"/>
  <c r="J139" i="158"/>
  <c r="K139" i="158" s="1"/>
  <c r="M139" i="158" s="1"/>
  <c r="N139" i="158" s="1"/>
  <c r="O138" i="158"/>
  <c r="N138" i="158"/>
  <c r="J138" i="158"/>
  <c r="K138" i="158" s="1"/>
  <c r="M138" i="158" s="1"/>
  <c r="D138" i="158"/>
  <c r="M137" i="158"/>
  <c r="K137" i="158"/>
  <c r="J137" i="158"/>
  <c r="E137" i="158"/>
  <c r="J136" i="158"/>
  <c r="K136" i="158" s="1"/>
  <c r="M136" i="158" s="1"/>
  <c r="O136" i="158" s="1"/>
  <c r="E136" i="158"/>
  <c r="M135" i="158"/>
  <c r="K135" i="158"/>
  <c r="J135" i="158"/>
  <c r="E135" i="158"/>
  <c r="I131" i="158"/>
  <c r="H131" i="158"/>
  <c r="E131" i="158"/>
  <c r="D131" i="158"/>
  <c r="I130" i="158"/>
  <c r="I129" i="158"/>
  <c r="F129" i="158"/>
  <c r="E129" i="158"/>
  <c r="B129" i="158"/>
  <c r="J129" i="158" s="1"/>
  <c r="K129" i="158" s="1"/>
  <c r="M129" i="158" s="1"/>
  <c r="F128" i="158"/>
  <c r="E128" i="158"/>
  <c r="B128" i="158"/>
  <c r="K127" i="158"/>
  <c r="M127" i="158" s="1"/>
  <c r="O127" i="158" s="1"/>
  <c r="J127" i="158"/>
  <c r="F127" i="158"/>
  <c r="E127" i="158"/>
  <c r="D127" i="158"/>
  <c r="B127" i="158"/>
  <c r="I126" i="158"/>
  <c r="I128" i="158" s="1"/>
  <c r="J128" i="158" s="1"/>
  <c r="K128" i="158" s="1"/>
  <c r="M128" i="158" s="1"/>
  <c r="N128" i="158" s="1"/>
  <c r="C126" i="158"/>
  <c r="B126" i="158"/>
  <c r="K125" i="158"/>
  <c r="M125" i="158" s="1"/>
  <c r="J125" i="158"/>
  <c r="H125" i="158"/>
  <c r="G125" i="158"/>
  <c r="F125" i="158"/>
  <c r="E125" i="158"/>
  <c r="D125" i="158"/>
  <c r="H124" i="158"/>
  <c r="D124" i="158"/>
  <c r="J123" i="158"/>
  <c r="K123" i="158" s="1"/>
  <c r="M123" i="158" s="1"/>
  <c r="H123" i="158"/>
  <c r="N122" i="158"/>
  <c r="M122" i="158"/>
  <c r="O122" i="158" s="1"/>
  <c r="K122" i="158"/>
  <c r="J122" i="158"/>
  <c r="D121" i="158"/>
  <c r="J121" i="158" s="1"/>
  <c r="K121" i="158" s="1"/>
  <c r="M121" i="158" s="1"/>
  <c r="K120" i="158"/>
  <c r="M120" i="158" s="1"/>
  <c r="J120" i="158"/>
  <c r="E120" i="158"/>
  <c r="M119" i="158"/>
  <c r="J119" i="158"/>
  <c r="K119" i="158" s="1"/>
  <c r="E119" i="158"/>
  <c r="O118" i="158"/>
  <c r="J118" i="158"/>
  <c r="K118" i="158" s="1"/>
  <c r="M118" i="158" s="1"/>
  <c r="N118" i="158" s="1"/>
  <c r="E118" i="158"/>
  <c r="I114" i="158"/>
  <c r="H114" i="158"/>
  <c r="F114" i="158"/>
  <c r="C124" i="158" s="1"/>
  <c r="I127" i="158" s="1"/>
  <c r="E114" i="158"/>
  <c r="D114" i="158"/>
  <c r="G114" i="158" s="1"/>
  <c r="C114" i="158"/>
  <c r="I113" i="158"/>
  <c r="I112" i="158"/>
  <c r="F112" i="158"/>
  <c r="E112" i="158"/>
  <c r="B112" i="158"/>
  <c r="J112" i="158" s="1"/>
  <c r="K112" i="158" s="1"/>
  <c r="M112" i="158" s="1"/>
  <c r="M111" i="158"/>
  <c r="O111" i="158" s="1"/>
  <c r="I111" i="158"/>
  <c r="J111" i="158" s="1"/>
  <c r="K111" i="158" s="1"/>
  <c r="F111" i="158"/>
  <c r="E111" i="158"/>
  <c r="B111" i="158"/>
  <c r="J110" i="158"/>
  <c r="K110" i="158" s="1"/>
  <c r="M110" i="158" s="1"/>
  <c r="I110" i="158"/>
  <c r="F110" i="158"/>
  <c r="E110" i="158"/>
  <c r="D110" i="158"/>
  <c r="B110" i="158"/>
  <c r="M109" i="158"/>
  <c r="O109" i="158" s="1"/>
  <c r="K109" i="158"/>
  <c r="J109" i="158"/>
  <c r="I109" i="158"/>
  <c r="F109" i="158"/>
  <c r="E109" i="158"/>
  <c r="B109" i="158"/>
  <c r="J108" i="158"/>
  <c r="K108" i="158" s="1"/>
  <c r="M108" i="158" s="1"/>
  <c r="H108" i="158"/>
  <c r="G108" i="158"/>
  <c r="F108" i="158"/>
  <c r="E108" i="158"/>
  <c r="D108" i="158"/>
  <c r="J107" i="158"/>
  <c r="K107" i="158" s="1"/>
  <c r="M107" i="158" s="1"/>
  <c r="H107" i="158"/>
  <c r="E107" i="158"/>
  <c r="D107" i="158"/>
  <c r="G107" i="158" s="1"/>
  <c r="C107" i="158"/>
  <c r="F107" i="158" s="1"/>
  <c r="K106" i="158"/>
  <c r="M106" i="158" s="1"/>
  <c r="J106" i="158"/>
  <c r="H106" i="158"/>
  <c r="G106" i="158"/>
  <c r="O105" i="158"/>
  <c r="J105" i="158"/>
  <c r="K105" i="158" s="1"/>
  <c r="M105" i="158" s="1"/>
  <c r="N105" i="158" s="1"/>
  <c r="D104" i="158"/>
  <c r="J104" i="158" s="1"/>
  <c r="K104" i="158" s="1"/>
  <c r="M104" i="158" s="1"/>
  <c r="M103" i="158"/>
  <c r="O103" i="158" s="1"/>
  <c r="K103" i="158"/>
  <c r="J103" i="158"/>
  <c r="E103" i="158"/>
  <c r="K102" i="158"/>
  <c r="M102" i="158" s="1"/>
  <c r="J102" i="158"/>
  <c r="E102" i="158"/>
  <c r="N101" i="158"/>
  <c r="K101" i="158"/>
  <c r="M101" i="158" s="1"/>
  <c r="O101" i="158" s="1"/>
  <c r="J101" i="158"/>
  <c r="E101" i="158"/>
  <c r="J99" i="158"/>
  <c r="K99" i="158" s="1"/>
  <c r="I97" i="158"/>
  <c r="H97" i="158"/>
  <c r="C109" i="158" s="1"/>
  <c r="D109" i="158" s="1"/>
  <c r="F97" i="158"/>
  <c r="E97" i="158"/>
  <c r="D97" i="158"/>
  <c r="G97" i="158" s="1"/>
  <c r="C97" i="158"/>
  <c r="J100" i="158" s="1"/>
  <c r="K100" i="158" s="1"/>
  <c r="M100" i="158" s="1"/>
  <c r="I96" i="158"/>
  <c r="I95" i="158"/>
  <c r="J95" i="158" s="1"/>
  <c r="K95" i="158" s="1"/>
  <c r="M95" i="158" s="1"/>
  <c r="F95" i="158"/>
  <c r="E95" i="158"/>
  <c r="B95" i="158"/>
  <c r="F94" i="158"/>
  <c r="E94" i="158"/>
  <c r="B94" i="158"/>
  <c r="F93" i="158"/>
  <c r="E93" i="158"/>
  <c r="D93" i="158"/>
  <c r="B93" i="158"/>
  <c r="K92" i="158"/>
  <c r="M92" i="158" s="1"/>
  <c r="J92" i="158"/>
  <c r="I92" i="158"/>
  <c r="I94" i="158" s="1"/>
  <c r="J94" i="158" s="1"/>
  <c r="D92" i="158"/>
  <c r="B92" i="158"/>
  <c r="M91" i="158"/>
  <c r="J91" i="158"/>
  <c r="K91" i="158" s="1"/>
  <c r="H91" i="158"/>
  <c r="G91" i="158"/>
  <c r="F91" i="158"/>
  <c r="E91" i="158"/>
  <c r="D91" i="158"/>
  <c r="J90" i="158"/>
  <c r="K90" i="158" s="1"/>
  <c r="M90" i="158" s="1"/>
  <c r="H90" i="158"/>
  <c r="G90" i="158"/>
  <c r="E90" i="158"/>
  <c r="D90" i="158"/>
  <c r="N89" i="158"/>
  <c r="M89" i="158"/>
  <c r="O89" i="158" s="1"/>
  <c r="K89" i="158"/>
  <c r="J89" i="158"/>
  <c r="H89" i="158"/>
  <c r="G89" i="158"/>
  <c r="O88" i="158"/>
  <c r="N88" i="158"/>
  <c r="M88" i="158"/>
  <c r="K88" i="158"/>
  <c r="J88" i="158"/>
  <c r="D87" i="158"/>
  <c r="J87" i="158" s="1"/>
  <c r="K87" i="158" s="1"/>
  <c r="M87" i="158" s="1"/>
  <c r="K86" i="158"/>
  <c r="M86" i="158" s="1"/>
  <c r="J86" i="158"/>
  <c r="E86" i="158"/>
  <c r="N85" i="158"/>
  <c r="M85" i="158"/>
  <c r="O85" i="158" s="1"/>
  <c r="K85" i="158"/>
  <c r="J85" i="158"/>
  <c r="E85" i="158"/>
  <c r="N84" i="158"/>
  <c r="M84" i="158"/>
  <c r="O84" i="158" s="1"/>
  <c r="K84" i="158"/>
  <c r="J84" i="158"/>
  <c r="E84" i="158"/>
  <c r="N83" i="158"/>
  <c r="M83" i="158"/>
  <c r="O83" i="158" s="1"/>
  <c r="I80" i="158"/>
  <c r="H80" i="158"/>
  <c r="C92" i="158" s="1"/>
  <c r="F92" i="158" s="1"/>
  <c r="F80" i="158"/>
  <c r="C90" i="158" s="1"/>
  <c r="I93" i="158" s="1"/>
  <c r="E80" i="158"/>
  <c r="D80" i="158"/>
  <c r="G80" i="158" s="1"/>
  <c r="C80" i="158"/>
  <c r="J83" i="158" s="1"/>
  <c r="I79" i="158"/>
  <c r="F78" i="158"/>
  <c r="E78" i="158"/>
  <c r="B78" i="158"/>
  <c r="F77" i="158"/>
  <c r="E77" i="158"/>
  <c r="B77" i="158"/>
  <c r="J76" i="158"/>
  <c r="F76" i="158"/>
  <c r="E76" i="158"/>
  <c r="D76" i="158"/>
  <c r="B76" i="158"/>
  <c r="I75" i="158"/>
  <c r="B75" i="158"/>
  <c r="J74" i="158"/>
  <c r="K74" i="158" s="1"/>
  <c r="M74" i="158" s="1"/>
  <c r="H74" i="158"/>
  <c r="G74" i="158"/>
  <c r="F74" i="158"/>
  <c r="E74" i="158"/>
  <c r="D74" i="158"/>
  <c r="H73" i="158"/>
  <c r="D73" i="158"/>
  <c r="K72" i="158"/>
  <c r="M72" i="158" s="1"/>
  <c r="J72" i="158"/>
  <c r="H72" i="158"/>
  <c r="K71" i="158"/>
  <c r="M71" i="158" s="1"/>
  <c r="J71" i="158"/>
  <c r="K70" i="158"/>
  <c r="M70" i="158" s="1"/>
  <c r="J70" i="158"/>
  <c r="D70" i="158"/>
  <c r="J69" i="158"/>
  <c r="K69" i="158" s="1"/>
  <c r="M69" i="158" s="1"/>
  <c r="E69" i="158"/>
  <c r="K68" i="158"/>
  <c r="M68" i="158" s="1"/>
  <c r="J68" i="158"/>
  <c r="E68" i="158"/>
  <c r="K67" i="158"/>
  <c r="M67" i="158" s="1"/>
  <c r="O67" i="158" s="1"/>
  <c r="J67" i="158"/>
  <c r="E67" i="158"/>
  <c r="I63" i="158"/>
  <c r="H63" i="158"/>
  <c r="C75" i="158" s="1"/>
  <c r="E63" i="158"/>
  <c r="D63" i="158"/>
  <c r="C63" i="158"/>
  <c r="I62" i="158"/>
  <c r="F61" i="158"/>
  <c r="E61" i="158"/>
  <c r="B61" i="158"/>
  <c r="K60" i="158"/>
  <c r="M60" i="158" s="1"/>
  <c r="F60" i="158"/>
  <c r="E60" i="158"/>
  <c r="B60" i="158"/>
  <c r="J59" i="158"/>
  <c r="F59" i="158"/>
  <c r="E59" i="158"/>
  <c r="D59" i="158"/>
  <c r="B59" i="158"/>
  <c r="I58" i="158"/>
  <c r="I60" i="158" s="1"/>
  <c r="J60" i="158" s="1"/>
  <c r="B58" i="158"/>
  <c r="H57" i="158"/>
  <c r="F57" i="158"/>
  <c r="E57" i="158"/>
  <c r="D57" i="158"/>
  <c r="H56" i="158"/>
  <c r="D56" i="158"/>
  <c r="O55" i="158"/>
  <c r="J55" i="158"/>
  <c r="K55" i="158" s="1"/>
  <c r="M55" i="158" s="1"/>
  <c r="N55" i="158" s="1"/>
  <c r="H55" i="158"/>
  <c r="K54" i="158"/>
  <c r="M54" i="158" s="1"/>
  <c r="O54" i="158" s="1"/>
  <c r="J54" i="158"/>
  <c r="J53" i="158"/>
  <c r="K53" i="158" s="1"/>
  <c r="M53" i="158" s="1"/>
  <c r="N53" i="158" s="1"/>
  <c r="D53" i="158"/>
  <c r="J52" i="158"/>
  <c r="K52" i="158" s="1"/>
  <c r="M52" i="158" s="1"/>
  <c r="E52" i="158"/>
  <c r="O51" i="158"/>
  <c r="J51" i="158"/>
  <c r="K51" i="158" s="1"/>
  <c r="M51" i="158" s="1"/>
  <c r="N51" i="158" s="1"/>
  <c r="E51" i="158"/>
  <c r="M50" i="158"/>
  <c r="J50" i="158"/>
  <c r="K50" i="158" s="1"/>
  <c r="E50" i="158"/>
  <c r="I46" i="158"/>
  <c r="H46" i="158"/>
  <c r="C58" i="158" s="1"/>
  <c r="E46" i="158"/>
  <c r="D46" i="158"/>
  <c r="C46" i="158"/>
  <c r="J49" i="158" s="1"/>
  <c r="K49" i="158" s="1"/>
  <c r="M49" i="158" s="1"/>
  <c r="I45" i="158"/>
  <c r="F44" i="158"/>
  <c r="E44" i="158"/>
  <c r="B44" i="158"/>
  <c r="F43" i="158"/>
  <c r="E43" i="158"/>
  <c r="B43" i="158"/>
  <c r="F42" i="158"/>
  <c r="E42" i="158"/>
  <c r="D42" i="158"/>
  <c r="B42" i="158"/>
  <c r="I41" i="158"/>
  <c r="F41" i="158"/>
  <c r="C41" i="158"/>
  <c r="B41" i="158"/>
  <c r="H40" i="158"/>
  <c r="F40" i="158"/>
  <c r="E40" i="158"/>
  <c r="D40" i="158"/>
  <c r="H39" i="158"/>
  <c r="E39" i="158"/>
  <c r="D39" i="158"/>
  <c r="C39" i="158"/>
  <c r="F39" i="158" s="1"/>
  <c r="O38" i="158"/>
  <c r="N38" i="158"/>
  <c r="K38" i="158"/>
  <c r="M38" i="158" s="1"/>
  <c r="J38" i="158"/>
  <c r="H38" i="158"/>
  <c r="J37" i="158"/>
  <c r="K37" i="158" s="1"/>
  <c r="M37" i="158" s="1"/>
  <c r="O36" i="158"/>
  <c r="N36" i="158"/>
  <c r="D36" i="158"/>
  <c r="J36" i="158" s="1"/>
  <c r="K36" i="158" s="1"/>
  <c r="M36" i="158" s="1"/>
  <c r="J35" i="158"/>
  <c r="K35" i="158" s="1"/>
  <c r="M35" i="158" s="1"/>
  <c r="J34" i="158"/>
  <c r="K34" i="158" s="1"/>
  <c r="M34" i="158" s="1"/>
  <c r="N34" i="158" s="1"/>
  <c r="E34" i="158"/>
  <c r="J33" i="158"/>
  <c r="K33" i="158" s="1"/>
  <c r="M33" i="158" s="1"/>
  <c r="E33" i="158"/>
  <c r="I29" i="158"/>
  <c r="H29" i="158"/>
  <c r="F29" i="158"/>
  <c r="E29" i="158"/>
  <c r="D29" i="158"/>
  <c r="G29" i="158" s="1"/>
  <c r="C29" i="158"/>
  <c r="J32" i="158" s="1"/>
  <c r="K32" i="158" s="1"/>
  <c r="M32" i="158" s="1"/>
  <c r="I28" i="158"/>
  <c r="F27" i="158"/>
  <c r="E27" i="158"/>
  <c r="B27" i="158"/>
  <c r="J26" i="158"/>
  <c r="K26" i="158" s="1"/>
  <c r="M26" i="158" s="1"/>
  <c r="I26" i="158"/>
  <c r="F26" i="158"/>
  <c r="E26" i="158"/>
  <c r="B26" i="158"/>
  <c r="F25" i="158"/>
  <c r="E25" i="158"/>
  <c r="D25" i="158"/>
  <c r="B25" i="158"/>
  <c r="I24" i="158"/>
  <c r="I27" i="158" s="1"/>
  <c r="E24" i="158"/>
  <c r="C24" i="158"/>
  <c r="B24" i="158"/>
  <c r="H23" i="158"/>
  <c r="F23" i="158"/>
  <c r="E23" i="158"/>
  <c r="D23" i="158"/>
  <c r="H22" i="158"/>
  <c r="G22" i="158"/>
  <c r="D22" i="158"/>
  <c r="C22" i="158"/>
  <c r="K21" i="158"/>
  <c r="M21" i="158" s="1"/>
  <c r="J21" i="158"/>
  <c r="H21" i="158"/>
  <c r="J20" i="158"/>
  <c r="K20" i="158" s="1"/>
  <c r="M20" i="158" s="1"/>
  <c r="M19" i="158"/>
  <c r="K19" i="158"/>
  <c r="D19" i="158"/>
  <c r="J19" i="158" s="1"/>
  <c r="J18" i="158"/>
  <c r="K18" i="158" s="1"/>
  <c r="M18" i="158" s="1"/>
  <c r="O18" i="158" s="1"/>
  <c r="E18" i="158"/>
  <c r="K17" i="158"/>
  <c r="M17" i="158" s="1"/>
  <c r="J17" i="158"/>
  <c r="E17" i="158"/>
  <c r="J16" i="158"/>
  <c r="K16" i="158" s="1"/>
  <c r="M16" i="158" s="1"/>
  <c r="O16" i="158" s="1"/>
  <c r="E16" i="158"/>
  <c r="I12" i="158"/>
  <c r="H12" i="158"/>
  <c r="F12" i="158"/>
  <c r="E12" i="158"/>
  <c r="D12" i="158"/>
  <c r="G12" i="158" s="1"/>
  <c r="C12" i="158"/>
  <c r="J15" i="158" s="1"/>
  <c r="K15" i="158" s="1"/>
  <c r="M15" i="158" s="1"/>
  <c r="I11" i="158"/>
  <c r="D9" i="158"/>
  <c r="M47" i="157"/>
  <c r="K47" i="157"/>
  <c r="K46" i="157"/>
  <c r="M46" i="157" s="1"/>
  <c r="O45" i="157"/>
  <c r="M45" i="157"/>
  <c r="N45" i="157" s="1"/>
  <c r="K45" i="157"/>
  <c r="M44" i="157"/>
  <c r="K44" i="157"/>
  <c r="K43" i="157"/>
  <c r="M43" i="157" s="1"/>
  <c r="O42" i="157"/>
  <c r="M42" i="157"/>
  <c r="N42" i="157" s="1"/>
  <c r="K42" i="157"/>
  <c r="M41" i="157"/>
  <c r="K41" i="157"/>
  <c r="K40" i="157"/>
  <c r="M40" i="157" s="1"/>
  <c r="J39" i="157"/>
  <c r="K39" i="157" s="1"/>
  <c r="M39" i="157" s="1"/>
  <c r="N39" i="157" s="1"/>
  <c r="N38" i="157"/>
  <c r="J38" i="157"/>
  <c r="K38" i="157" s="1"/>
  <c r="M38" i="157" s="1"/>
  <c r="O38" i="157" s="1"/>
  <c r="J37" i="157"/>
  <c r="K37" i="157" s="1"/>
  <c r="M33" i="157"/>
  <c r="K33" i="157"/>
  <c r="N32" i="157"/>
  <c r="M32" i="157"/>
  <c r="O32" i="157" s="1"/>
  <c r="K32" i="157"/>
  <c r="M31" i="157"/>
  <c r="K31" i="157"/>
  <c r="M30" i="157"/>
  <c r="K30" i="157"/>
  <c r="N29" i="157"/>
  <c r="M29" i="157"/>
  <c r="O29" i="157" s="1"/>
  <c r="K29" i="157"/>
  <c r="M28" i="157"/>
  <c r="K28" i="157"/>
  <c r="M27" i="157"/>
  <c r="K27" i="157"/>
  <c r="M26" i="157"/>
  <c r="O26" i="157" s="1"/>
  <c r="K26" i="157"/>
  <c r="M25" i="157"/>
  <c r="K25" i="157"/>
  <c r="M24" i="157"/>
  <c r="K24" i="157"/>
  <c r="M23" i="157"/>
  <c r="O23" i="157" s="1"/>
  <c r="K23" i="157"/>
  <c r="M22" i="157"/>
  <c r="K22" i="157"/>
  <c r="M21" i="157"/>
  <c r="K21" i="157"/>
  <c r="N20" i="157"/>
  <c r="M20" i="157"/>
  <c r="O20" i="157" s="1"/>
  <c r="K20" i="157"/>
  <c r="M19" i="157"/>
  <c r="K19" i="157"/>
  <c r="K18" i="157"/>
  <c r="M18" i="157" s="1"/>
  <c r="O18" i="157" s="1"/>
  <c r="O17" i="157"/>
  <c r="N17" i="157"/>
  <c r="M17" i="157"/>
  <c r="K17" i="157"/>
  <c r="M16" i="157"/>
  <c r="K16" i="157"/>
  <c r="K15" i="157"/>
  <c r="O14" i="157"/>
  <c r="M14" i="157"/>
  <c r="N14" i="157" s="1"/>
  <c r="K14" i="157"/>
  <c r="L12" i="157"/>
  <c r="I12" i="157"/>
  <c r="G12" i="157"/>
  <c r="H12" i="157" s="1"/>
  <c r="E12" i="157"/>
  <c r="E9" i="157"/>
  <c r="O7" i="157"/>
  <c r="H7" i="157"/>
  <c r="D7" i="157"/>
  <c r="H5" i="157"/>
  <c r="D5" i="157"/>
  <c r="H3" i="157"/>
  <c r="D3" i="157"/>
  <c r="O48" i="156"/>
  <c r="K48" i="156"/>
  <c r="M48" i="156" s="1"/>
  <c r="N48" i="156" s="1"/>
  <c r="K47" i="156"/>
  <c r="M47" i="156" s="1"/>
  <c r="O46" i="156"/>
  <c r="K46" i="156"/>
  <c r="M46" i="156" s="1"/>
  <c r="N46" i="156" s="1"/>
  <c r="O45" i="156"/>
  <c r="K45" i="156"/>
  <c r="M45" i="156" s="1"/>
  <c r="N45" i="156" s="1"/>
  <c r="N44" i="156"/>
  <c r="M44" i="156"/>
  <c r="O44" i="156" s="1"/>
  <c r="K44" i="156"/>
  <c r="N43" i="156"/>
  <c r="M43" i="156"/>
  <c r="O43" i="156" s="1"/>
  <c r="K43" i="156"/>
  <c r="K42" i="156"/>
  <c r="M42" i="156" s="1"/>
  <c r="N42" i="156" s="1"/>
  <c r="K41" i="156"/>
  <c r="M41" i="156" s="1"/>
  <c r="J40" i="156"/>
  <c r="K40" i="156" s="1"/>
  <c r="M40" i="156" s="1"/>
  <c r="J39" i="156"/>
  <c r="K39" i="156" s="1"/>
  <c r="M39" i="156" s="1"/>
  <c r="J38" i="156"/>
  <c r="K38" i="156" s="1"/>
  <c r="N34" i="156"/>
  <c r="M34" i="156"/>
  <c r="O34" i="156" s="1"/>
  <c r="K34" i="156"/>
  <c r="M33" i="156"/>
  <c r="O33" i="156" s="1"/>
  <c r="K33" i="156"/>
  <c r="K32" i="156"/>
  <c r="M32" i="156" s="1"/>
  <c r="O31" i="156"/>
  <c r="K31" i="156"/>
  <c r="M31" i="156" s="1"/>
  <c r="N31" i="156" s="1"/>
  <c r="O30" i="156"/>
  <c r="K30" i="156"/>
  <c r="M30" i="156" s="1"/>
  <c r="N30" i="156" s="1"/>
  <c r="O29" i="156"/>
  <c r="K29" i="156"/>
  <c r="M29" i="156" s="1"/>
  <c r="N29" i="156" s="1"/>
  <c r="N28" i="156"/>
  <c r="M28" i="156"/>
  <c r="O28" i="156" s="1"/>
  <c r="K28" i="156"/>
  <c r="M27" i="156"/>
  <c r="O27" i="156" s="1"/>
  <c r="K27" i="156"/>
  <c r="K26" i="156"/>
  <c r="M26" i="156" s="1"/>
  <c r="N26" i="156" s="1"/>
  <c r="K25" i="156"/>
  <c r="M25" i="156" s="1"/>
  <c r="O24" i="156"/>
  <c r="K24" i="156"/>
  <c r="M24" i="156" s="1"/>
  <c r="N24" i="156" s="1"/>
  <c r="O23" i="156"/>
  <c r="K23" i="156"/>
  <c r="M23" i="156" s="1"/>
  <c r="N23" i="156" s="1"/>
  <c r="M22" i="156"/>
  <c r="O22" i="156" s="1"/>
  <c r="K22" i="156"/>
  <c r="N21" i="156"/>
  <c r="M21" i="156"/>
  <c r="O21" i="156" s="1"/>
  <c r="K21" i="156"/>
  <c r="K20" i="156"/>
  <c r="M20" i="156" s="1"/>
  <c r="O18" i="156"/>
  <c r="K18" i="156"/>
  <c r="M18" i="156" s="1"/>
  <c r="N18" i="156" s="1"/>
  <c r="K17" i="156"/>
  <c r="M17" i="156" s="1"/>
  <c r="O16" i="156"/>
  <c r="K16" i="156"/>
  <c r="M16" i="156" s="1"/>
  <c r="N16" i="156" s="1"/>
  <c r="M15" i="156"/>
  <c r="K15" i="156"/>
  <c r="M14" i="156"/>
  <c r="K14" i="156"/>
  <c r="L12" i="156" s="1"/>
  <c r="I12" i="156"/>
  <c r="G12" i="156" s="1"/>
  <c r="E12" i="156"/>
  <c r="E9" i="156"/>
  <c r="O7" i="156"/>
  <c r="H7" i="156"/>
  <c r="D7" i="156"/>
  <c r="H5" i="156"/>
  <c r="D5" i="156"/>
  <c r="H3" i="156"/>
  <c r="D3" i="156"/>
  <c r="I102" i="155"/>
  <c r="K102" i="155" s="1"/>
  <c r="G102" i="155"/>
  <c r="I101" i="155"/>
  <c r="K101" i="155" s="1"/>
  <c r="F101" i="155"/>
  <c r="G101" i="155" s="1"/>
  <c r="K100" i="155"/>
  <c r="F100" i="155"/>
  <c r="G100" i="155" s="1"/>
  <c r="I100" i="155" s="1"/>
  <c r="J100" i="155" s="1"/>
  <c r="K99" i="155"/>
  <c r="G99" i="155"/>
  <c r="I99" i="155" s="1"/>
  <c r="J99" i="155" s="1"/>
  <c r="G98" i="155"/>
  <c r="I98" i="155" s="1"/>
  <c r="K97" i="155"/>
  <c r="F97" i="155"/>
  <c r="G97" i="155" s="1"/>
  <c r="I97" i="155" s="1"/>
  <c r="J97" i="155" s="1"/>
  <c r="I96" i="155"/>
  <c r="G96" i="155"/>
  <c r="F96" i="155"/>
  <c r="J93" i="155"/>
  <c r="F93" i="155"/>
  <c r="G93" i="155" s="1"/>
  <c r="I93" i="155" s="1"/>
  <c r="K93" i="155" s="1"/>
  <c r="I92" i="155"/>
  <c r="G92" i="155"/>
  <c r="F92" i="155"/>
  <c r="G91" i="155"/>
  <c r="I91" i="155" s="1"/>
  <c r="F91" i="155"/>
  <c r="F90" i="155"/>
  <c r="G90" i="155" s="1"/>
  <c r="I90" i="155" s="1"/>
  <c r="K90" i="155" s="1"/>
  <c r="K89" i="155"/>
  <c r="J89" i="155"/>
  <c r="F89" i="155"/>
  <c r="G89" i="155" s="1"/>
  <c r="I89" i="155" s="1"/>
  <c r="G88" i="155"/>
  <c r="I88" i="155" s="1"/>
  <c r="F88" i="155"/>
  <c r="I87" i="155"/>
  <c r="K87" i="155" s="1"/>
  <c r="G87" i="155"/>
  <c r="F87" i="155"/>
  <c r="F86" i="155"/>
  <c r="G86" i="155" s="1"/>
  <c r="I86" i="155" s="1"/>
  <c r="F85" i="155"/>
  <c r="G85" i="155" s="1"/>
  <c r="G82" i="155"/>
  <c r="I82" i="155" s="1"/>
  <c r="F82" i="155"/>
  <c r="I81" i="155"/>
  <c r="G81" i="155"/>
  <c r="F81" i="155"/>
  <c r="F80" i="155"/>
  <c r="G80" i="155" s="1"/>
  <c r="I80" i="155" s="1"/>
  <c r="K80" i="155" s="1"/>
  <c r="K79" i="155"/>
  <c r="F79" i="155"/>
  <c r="G79" i="155" s="1"/>
  <c r="I79" i="155" s="1"/>
  <c r="J79" i="155" s="1"/>
  <c r="G78" i="155"/>
  <c r="I78" i="155" s="1"/>
  <c r="F78" i="155"/>
  <c r="I77" i="155"/>
  <c r="F77" i="155"/>
  <c r="G77" i="155" s="1"/>
  <c r="F76" i="155"/>
  <c r="G76" i="155" s="1"/>
  <c r="I76" i="155" s="1"/>
  <c r="K76" i="155" s="1"/>
  <c r="K75" i="155"/>
  <c r="G75" i="155"/>
  <c r="I75" i="155" s="1"/>
  <c r="J75" i="155" s="1"/>
  <c r="F75" i="155"/>
  <c r="G74" i="155"/>
  <c r="I74" i="155" s="1"/>
  <c r="F74" i="155"/>
  <c r="I73" i="155"/>
  <c r="F73" i="155"/>
  <c r="G73" i="155" s="1"/>
  <c r="F72" i="155"/>
  <c r="G72" i="155" s="1"/>
  <c r="I72" i="155" s="1"/>
  <c r="F71" i="155"/>
  <c r="G71" i="155" s="1"/>
  <c r="K68" i="155"/>
  <c r="I68" i="155"/>
  <c r="J68" i="155" s="1"/>
  <c r="G68" i="155"/>
  <c r="F68" i="155"/>
  <c r="F67" i="155"/>
  <c r="G67" i="155" s="1"/>
  <c r="I67" i="155" s="1"/>
  <c r="K67" i="155" s="1"/>
  <c r="F66" i="155"/>
  <c r="G66" i="155" s="1"/>
  <c r="I66" i="155" s="1"/>
  <c r="G65" i="155"/>
  <c r="I65" i="155" s="1"/>
  <c r="F65" i="155"/>
  <c r="I64" i="155"/>
  <c r="F64" i="155"/>
  <c r="G64" i="155" s="1"/>
  <c r="F63" i="155"/>
  <c r="G63" i="155" s="1"/>
  <c r="I63" i="155" s="1"/>
  <c r="K63" i="155" s="1"/>
  <c r="K62" i="155"/>
  <c r="G62" i="155"/>
  <c r="I62" i="155" s="1"/>
  <c r="J62" i="155" s="1"/>
  <c r="F62" i="155"/>
  <c r="G61" i="155"/>
  <c r="I61" i="155" s="1"/>
  <c r="F61" i="155"/>
  <c r="I60" i="155"/>
  <c r="F60" i="155"/>
  <c r="G60" i="155" s="1"/>
  <c r="F59" i="155"/>
  <c r="G59" i="155" s="1"/>
  <c r="I59" i="155" s="1"/>
  <c r="K58" i="155"/>
  <c r="F58" i="155"/>
  <c r="G58" i="155" s="1"/>
  <c r="I58" i="155" s="1"/>
  <c r="J58" i="155" s="1"/>
  <c r="I57" i="155"/>
  <c r="G57" i="155"/>
  <c r="F57" i="155"/>
  <c r="L56" i="155"/>
  <c r="M56" i="155" s="1"/>
  <c r="K56" i="155"/>
  <c r="F56" i="155"/>
  <c r="G56" i="155" s="1"/>
  <c r="I56" i="155" s="1"/>
  <c r="J56" i="155" s="1"/>
  <c r="L55" i="155"/>
  <c r="M55" i="155" s="1"/>
  <c r="J55" i="155"/>
  <c r="G55" i="155"/>
  <c r="I55" i="155" s="1"/>
  <c r="K55" i="155" s="1"/>
  <c r="F55" i="155"/>
  <c r="M54" i="155"/>
  <c r="L54" i="155"/>
  <c r="I54" i="155"/>
  <c r="F54" i="155"/>
  <c r="G54" i="155" s="1"/>
  <c r="M53" i="155"/>
  <c r="L53" i="155"/>
  <c r="G53" i="155"/>
  <c r="I53" i="155" s="1"/>
  <c r="F53" i="155"/>
  <c r="L52" i="155"/>
  <c r="M52" i="155" s="1"/>
  <c r="F52" i="155"/>
  <c r="G52" i="155" s="1"/>
  <c r="I52" i="155" s="1"/>
  <c r="L51" i="155"/>
  <c r="M51" i="155" s="1"/>
  <c r="K51" i="155"/>
  <c r="J51" i="155"/>
  <c r="F51" i="155"/>
  <c r="G51" i="155" s="1"/>
  <c r="I51" i="155" s="1"/>
  <c r="M50" i="155"/>
  <c r="L50" i="155"/>
  <c r="F50" i="155"/>
  <c r="G50" i="155" s="1"/>
  <c r="I50" i="155" s="1"/>
  <c r="J50" i="155" s="1"/>
  <c r="L49" i="155"/>
  <c r="M49" i="155" s="1"/>
  <c r="O14" i="155" s="1"/>
  <c r="G49" i="155"/>
  <c r="I49" i="155" s="1"/>
  <c r="F49" i="155"/>
  <c r="F47" i="155"/>
  <c r="G47" i="155" s="1"/>
  <c r="I47" i="155" s="1"/>
  <c r="K46" i="155"/>
  <c r="J46" i="155"/>
  <c r="F46" i="155"/>
  <c r="G46" i="155" s="1"/>
  <c r="I46" i="155" s="1"/>
  <c r="G45" i="155"/>
  <c r="I45" i="155" s="1"/>
  <c r="F45" i="155"/>
  <c r="J44" i="155"/>
  <c r="I44" i="155"/>
  <c r="K44" i="155" s="1"/>
  <c r="G44" i="155"/>
  <c r="F44" i="155"/>
  <c r="F43" i="155"/>
  <c r="G43" i="155" s="1"/>
  <c r="I43" i="155" s="1"/>
  <c r="K42" i="155"/>
  <c r="G42" i="155"/>
  <c r="I42" i="155" s="1"/>
  <c r="J42" i="155" s="1"/>
  <c r="F42" i="155"/>
  <c r="K41" i="155"/>
  <c r="F41" i="155"/>
  <c r="G41" i="155" s="1"/>
  <c r="I41" i="155" s="1"/>
  <c r="J41" i="155" s="1"/>
  <c r="J40" i="155"/>
  <c r="I40" i="155"/>
  <c r="K40" i="155" s="1"/>
  <c r="G40" i="155"/>
  <c r="F40" i="155"/>
  <c r="J39" i="155"/>
  <c r="I39" i="155"/>
  <c r="K39" i="155" s="1"/>
  <c r="G39" i="155"/>
  <c r="F39" i="155"/>
  <c r="G38" i="155"/>
  <c r="I38" i="155" s="1"/>
  <c r="F38" i="155"/>
  <c r="K37" i="155"/>
  <c r="I37" i="155"/>
  <c r="J37" i="155" s="1"/>
  <c r="G37" i="155"/>
  <c r="F37" i="155"/>
  <c r="G36" i="155"/>
  <c r="I36" i="155" s="1"/>
  <c r="F36" i="155"/>
  <c r="K35" i="155"/>
  <c r="I35" i="155"/>
  <c r="F35" i="155"/>
  <c r="G35" i="155" s="1"/>
  <c r="K32" i="155"/>
  <c r="I32" i="155"/>
  <c r="J32" i="155" s="1"/>
  <c r="G32" i="155"/>
  <c r="F32" i="155"/>
  <c r="I31" i="155"/>
  <c r="G31" i="155"/>
  <c r="F31" i="155"/>
  <c r="I30" i="155"/>
  <c r="F30" i="155"/>
  <c r="G30" i="155" s="1"/>
  <c r="G29" i="155"/>
  <c r="I29" i="155" s="1"/>
  <c r="J29" i="155" s="1"/>
  <c r="F29" i="155"/>
  <c r="K28" i="155"/>
  <c r="F28" i="155"/>
  <c r="G28" i="155" s="1"/>
  <c r="I28" i="155" s="1"/>
  <c r="J28" i="155" s="1"/>
  <c r="I27" i="155"/>
  <c r="G27" i="155"/>
  <c r="F27" i="155"/>
  <c r="I26" i="155"/>
  <c r="G26" i="155"/>
  <c r="F26" i="155"/>
  <c r="J25" i="155"/>
  <c r="G25" i="155"/>
  <c r="I25" i="155" s="1"/>
  <c r="K25" i="155" s="1"/>
  <c r="G24" i="155"/>
  <c r="I24" i="155" s="1"/>
  <c r="F24" i="155"/>
  <c r="F23" i="155"/>
  <c r="G23" i="155" s="1"/>
  <c r="I23" i="155" s="1"/>
  <c r="J23" i="155" s="1"/>
  <c r="I22" i="155"/>
  <c r="G22" i="155"/>
  <c r="F22" i="155"/>
  <c r="K21" i="155"/>
  <c r="J21" i="155"/>
  <c r="I21" i="155"/>
  <c r="G21" i="155"/>
  <c r="F21" i="155"/>
  <c r="F20" i="155"/>
  <c r="G20" i="155" s="1"/>
  <c r="I20" i="155" s="1"/>
  <c r="F19" i="155"/>
  <c r="G19" i="155" s="1"/>
  <c r="I19" i="155" s="1"/>
  <c r="G18" i="155"/>
  <c r="I18" i="155" s="1"/>
  <c r="F18" i="155"/>
  <c r="I17" i="155"/>
  <c r="F17" i="155"/>
  <c r="G17" i="155" s="1"/>
  <c r="R16" i="155"/>
  <c r="K16" i="155"/>
  <c r="F16" i="155"/>
  <c r="G16" i="155" s="1"/>
  <c r="I16" i="155" s="1"/>
  <c r="J16" i="155" s="1"/>
  <c r="G15" i="155"/>
  <c r="I15" i="155" s="1"/>
  <c r="K15" i="155" s="1"/>
  <c r="F15" i="155"/>
  <c r="F14" i="155"/>
  <c r="G14" i="155" s="1"/>
  <c r="D10" i="155"/>
  <c r="K8" i="155"/>
  <c r="F8" i="155"/>
  <c r="C8" i="155"/>
  <c r="F6" i="155"/>
  <c r="C6" i="155"/>
  <c r="F4" i="155"/>
  <c r="C4" i="155"/>
  <c r="O197" i="154"/>
  <c r="N197" i="154"/>
  <c r="M197" i="154"/>
  <c r="K197" i="154"/>
  <c r="M196" i="154"/>
  <c r="K196" i="154"/>
  <c r="M195" i="154"/>
  <c r="K195" i="154"/>
  <c r="O194" i="154"/>
  <c r="N194" i="154"/>
  <c r="M194" i="154"/>
  <c r="K194" i="154"/>
  <c r="M193" i="154"/>
  <c r="K193" i="154"/>
  <c r="O192" i="154"/>
  <c r="N192" i="154"/>
  <c r="M192" i="154"/>
  <c r="K192" i="154"/>
  <c r="O191" i="154"/>
  <c r="N191" i="154"/>
  <c r="M191" i="154"/>
  <c r="K191" i="154"/>
  <c r="M190" i="154"/>
  <c r="K190" i="154"/>
  <c r="N189" i="154"/>
  <c r="M189" i="154"/>
  <c r="O189" i="154" s="1"/>
  <c r="K189" i="154"/>
  <c r="M188" i="154"/>
  <c r="K188" i="154"/>
  <c r="M187" i="154"/>
  <c r="K187" i="154"/>
  <c r="J186" i="154"/>
  <c r="K186" i="154" s="1"/>
  <c r="M186" i="154" s="1"/>
  <c r="O186" i="154" s="1"/>
  <c r="O185" i="154"/>
  <c r="N185" i="154"/>
  <c r="K185" i="154"/>
  <c r="M185" i="154" s="1"/>
  <c r="J185" i="154"/>
  <c r="J184" i="154"/>
  <c r="K184" i="154" s="1"/>
  <c r="M183" i="154"/>
  <c r="K183" i="154"/>
  <c r="J183" i="154"/>
  <c r="K180" i="154"/>
  <c r="M180" i="154" s="1"/>
  <c r="J180" i="154"/>
  <c r="I180" i="154"/>
  <c r="F180" i="154"/>
  <c r="E180" i="154"/>
  <c r="B180" i="154"/>
  <c r="F179" i="154"/>
  <c r="E179" i="154"/>
  <c r="B179" i="154"/>
  <c r="F178" i="154"/>
  <c r="E178" i="154"/>
  <c r="D178" i="154"/>
  <c r="B178" i="154"/>
  <c r="I177" i="154"/>
  <c r="C177" i="154"/>
  <c r="B177" i="154"/>
  <c r="H176" i="154"/>
  <c r="F176" i="154"/>
  <c r="E176" i="154"/>
  <c r="D176" i="154"/>
  <c r="J175" i="154"/>
  <c r="H175" i="154"/>
  <c r="D175" i="154"/>
  <c r="G175" i="154" s="1"/>
  <c r="M174" i="154"/>
  <c r="J174" i="154"/>
  <c r="K174" i="154" s="1"/>
  <c r="H174" i="154"/>
  <c r="G174" i="154"/>
  <c r="K173" i="154"/>
  <c r="M173" i="154" s="1"/>
  <c r="J173" i="154"/>
  <c r="D172" i="154"/>
  <c r="J172" i="154" s="1"/>
  <c r="K172" i="154" s="1"/>
  <c r="M172" i="154" s="1"/>
  <c r="J171" i="154"/>
  <c r="K171" i="154" s="1"/>
  <c r="M171" i="154" s="1"/>
  <c r="E171" i="154"/>
  <c r="O170" i="154"/>
  <c r="N170" i="154"/>
  <c r="M170" i="154"/>
  <c r="J170" i="154"/>
  <c r="K170" i="154" s="1"/>
  <c r="N169" i="154"/>
  <c r="K169" i="154"/>
  <c r="M169" i="154" s="1"/>
  <c r="O169" i="154" s="1"/>
  <c r="J169" i="154"/>
  <c r="I165" i="154"/>
  <c r="H165" i="154"/>
  <c r="C165" i="154" s="1"/>
  <c r="E165" i="154"/>
  <c r="D165" i="154"/>
  <c r="I164" i="154"/>
  <c r="F163" i="154"/>
  <c r="E163" i="154"/>
  <c r="B163" i="154"/>
  <c r="F162" i="154"/>
  <c r="E162" i="154"/>
  <c r="B162" i="154"/>
  <c r="F161" i="154"/>
  <c r="E161" i="154"/>
  <c r="D161" i="154"/>
  <c r="B161" i="154"/>
  <c r="I160" i="154"/>
  <c r="B160" i="154"/>
  <c r="O159" i="154"/>
  <c r="N159" i="154"/>
  <c r="M159" i="154"/>
  <c r="K159" i="154"/>
  <c r="H159" i="154"/>
  <c r="G159" i="154"/>
  <c r="F159" i="154"/>
  <c r="E159" i="154"/>
  <c r="D159" i="154"/>
  <c r="J158" i="154"/>
  <c r="H158" i="154"/>
  <c r="D158" i="154"/>
  <c r="G158" i="154" s="1"/>
  <c r="M157" i="154"/>
  <c r="J157" i="154"/>
  <c r="K157" i="154" s="1"/>
  <c r="H157" i="154"/>
  <c r="M156" i="154"/>
  <c r="K156" i="154"/>
  <c r="J156" i="154"/>
  <c r="M155" i="154"/>
  <c r="J155" i="154"/>
  <c r="K155" i="154" s="1"/>
  <c r="D155" i="154"/>
  <c r="M154" i="154"/>
  <c r="K154" i="154"/>
  <c r="J154" i="154"/>
  <c r="E154" i="154"/>
  <c r="J153" i="154"/>
  <c r="K153" i="154" s="1"/>
  <c r="M153" i="154" s="1"/>
  <c r="N152" i="154"/>
  <c r="K152" i="154"/>
  <c r="M152" i="154" s="1"/>
  <c r="O152" i="154" s="1"/>
  <c r="J152" i="154"/>
  <c r="I148" i="154"/>
  <c r="H148" i="154"/>
  <c r="E148" i="154"/>
  <c r="D148" i="154"/>
  <c r="I147" i="154"/>
  <c r="F146" i="154"/>
  <c r="E146" i="154"/>
  <c r="B146" i="154"/>
  <c r="J145" i="154"/>
  <c r="K145" i="154" s="1"/>
  <c r="M145" i="154" s="1"/>
  <c r="F145" i="154"/>
  <c r="E145" i="154"/>
  <c r="B145" i="154"/>
  <c r="F144" i="154"/>
  <c r="E144" i="154"/>
  <c r="D144" i="154"/>
  <c r="B144" i="154"/>
  <c r="I143" i="154"/>
  <c r="I145" i="154" s="1"/>
  <c r="E143" i="154"/>
  <c r="C143" i="154"/>
  <c r="B143" i="154"/>
  <c r="H142" i="154"/>
  <c r="G142" i="154"/>
  <c r="F142" i="154"/>
  <c r="E142" i="154"/>
  <c r="D142" i="154"/>
  <c r="K142" i="154" s="1"/>
  <c r="M142" i="154" s="1"/>
  <c r="H141" i="154"/>
  <c r="D141" i="154"/>
  <c r="G140" i="154" s="1"/>
  <c r="M140" i="154"/>
  <c r="J140" i="154"/>
  <c r="K140" i="154" s="1"/>
  <c r="H140" i="154"/>
  <c r="M139" i="154"/>
  <c r="J139" i="154"/>
  <c r="K139" i="154" s="1"/>
  <c r="J138" i="154"/>
  <c r="K138" i="154" s="1"/>
  <c r="M138" i="154" s="1"/>
  <c r="D138" i="154"/>
  <c r="K137" i="154"/>
  <c r="M137" i="154" s="1"/>
  <c r="J137" i="154"/>
  <c r="E137" i="154"/>
  <c r="N136" i="154"/>
  <c r="M136" i="154"/>
  <c r="O136" i="154" s="1"/>
  <c r="J136" i="154"/>
  <c r="K136" i="154" s="1"/>
  <c r="J135" i="154"/>
  <c r="K135" i="154" s="1"/>
  <c r="M135" i="154" s="1"/>
  <c r="I131" i="154"/>
  <c r="H131" i="154"/>
  <c r="E131" i="154"/>
  <c r="D131" i="154"/>
  <c r="I130" i="154"/>
  <c r="F129" i="154"/>
  <c r="E129" i="154"/>
  <c r="B129" i="154"/>
  <c r="I128" i="154"/>
  <c r="J128" i="154" s="1"/>
  <c r="K128" i="154" s="1"/>
  <c r="M128" i="154" s="1"/>
  <c r="F128" i="154"/>
  <c r="E128" i="154"/>
  <c r="B128" i="154"/>
  <c r="F127" i="154"/>
  <c r="E127" i="154"/>
  <c r="D127" i="154"/>
  <c r="B127" i="154"/>
  <c r="I126" i="154"/>
  <c r="B126" i="154"/>
  <c r="N125" i="154"/>
  <c r="H125" i="154"/>
  <c r="F125" i="154"/>
  <c r="E125" i="154"/>
  <c r="D125" i="154"/>
  <c r="K125" i="154" s="1"/>
  <c r="M125" i="154" s="1"/>
  <c r="O125" i="154" s="1"/>
  <c r="H124" i="154"/>
  <c r="D124" i="154"/>
  <c r="G124" i="154" s="1"/>
  <c r="K123" i="154"/>
  <c r="M123" i="154" s="1"/>
  <c r="N123" i="154" s="1"/>
  <c r="J123" i="154"/>
  <c r="H123" i="154"/>
  <c r="N122" i="154"/>
  <c r="M122" i="154"/>
  <c r="O122" i="154" s="1"/>
  <c r="K122" i="154"/>
  <c r="J122" i="154"/>
  <c r="J121" i="154"/>
  <c r="K121" i="154" s="1"/>
  <c r="M121" i="154" s="1"/>
  <c r="O121" i="154" s="1"/>
  <c r="D121" i="154"/>
  <c r="O120" i="154"/>
  <c r="K120" i="154"/>
  <c r="M120" i="154" s="1"/>
  <c r="N120" i="154" s="1"/>
  <c r="J120" i="154"/>
  <c r="E120" i="154"/>
  <c r="M119" i="154"/>
  <c r="K119" i="154"/>
  <c r="J119" i="154"/>
  <c r="K118" i="154"/>
  <c r="M118" i="154" s="1"/>
  <c r="J118" i="154"/>
  <c r="J117" i="154"/>
  <c r="K117" i="154" s="1"/>
  <c r="M117" i="154" s="1"/>
  <c r="N117" i="154" s="1"/>
  <c r="I114" i="154"/>
  <c r="H114" i="154"/>
  <c r="C114" i="154" s="1"/>
  <c r="G114" i="154"/>
  <c r="F114" i="154"/>
  <c r="C124" i="154" s="1"/>
  <c r="E114" i="154"/>
  <c r="D114" i="154"/>
  <c r="I113" i="154"/>
  <c r="F112" i="154"/>
  <c r="E112" i="154"/>
  <c r="B112" i="154"/>
  <c r="F111" i="154"/>
  <c r="E111" i="154"/>
  <c r="B111" i="154"/>
  <c r="F110" i="154"/>
  <c r="E110" i="154"/>
  <c r="D110" i="154"/>
  <c r="B110" i="154"/>
  <c r="I109" i="154"/>
  <c r="I111" i="154" s="1"/>
  <c r="J111" i="154" s="1"/>
  <c r="K111" i="154" s="1"/>
  <c r="M111" i="154" s="1"/>
  <c r="B109" i="154"/>
  <c r="N108" i="154"/>
  <c r="K108" i="154"/>
  <c r="M108" i="154" s="1"/>
  <c r="O108" i="154" s="1"/>
  <c r="H108" i="154"/>
  <c r="F108" i="154"/>
  <c r="E108" i="154"/>
  <c r="D108" i="154"/>
  <c r="G108" i="154" s="1"/>
  <c r="J107" i="154"/>
  <c r="H107" i="154"/>
  <c r="G107" i="154"/>
  <c r="D107" i="154"/>
  <c r="J106" i="154"/>
  <c r="K106" i="154" s="1"/>
  <c r="M106" i="154" s="1"/>
  <c r="H106" i="154"/>
  <c r="G106" i="154"/>
  <c r="N105" i="154"/>
  <c r="M105" i="154"/>
  <c r="O105" i="154" s="1"/>
  <c r="K105" i="154"/>
  <c r="J105" i="154"/>
  <c r="O104" i="154"/>
  <c r="N104" i="154"/>
  <c r="J104" i="154"/>
  <c r="K104" i="154" s="1"/>
  <c r="M104" i="154" s="1"/>
  <c r="D104" i="154"/>
  <c r="M103" i="154"/>
  <c r="K103" i="154"/>
  <c r="J103" i="154"/>
  <c r="E103" i="154"/>
  <c r="O102" i="154"/>
  <c r="J102" i="154"/>
  <c r="K102" i="154" s="1"/>
  <c r="M102" i="154" s="1"/>
  <c r="N102" i="154" s="1"/>
  <c r="N101" i="154"/>
  <c r="K101" i="154"/>
  <c r="M101" i="154" s="1"/>
  <c r="O101" i="154" s="1"/>
  <c r="J101" i="154"/>
  <c r="I97" i="154"/>
  <c r="H97" i="154"/>
  <c r="E97" i="154"/>
  <c r="D97" i="154"/>
  <c r="I96" i="154"/>
  <c r="F95" i="154"/>
  <c r="E95" i="154"/>
  <c r="B95" i="154"/>
  <c r="K94" i="154"/>
  <c r="M94" i="154" s="1"/>
  <c r="F94" i="154"/>
  <c r="E94" i="154"/>
  <c r="B94" i="154"/>
  <c r="F93" i="154"/>
  <c r="E93" i="154"/>
  <c r="D93" i="154"/>
  <c r="B93" i="154"/>
  <c r="I92" i="154"/>
  <c r="I94" i="154" s="1"/>
  <c r="J94" i="154" s="1"/>
  <c r="C92" i="154"/>
  <c r="B92" i="154"/>
  <c r="O91" i="154"/>
  <c r="H91" i="154"/>
  <c r="G91" i="154"/>
  <c r="F91" i="154"/>
  <c r="E91" i="154"/>
  <c r="D91" i="154"/>
  <c r="K91" i="154" s="1"/>
  <c r="M91" i="154" s="1"/>
  <c r="N91" i="154" s="1"/>
  <c r="H90" i="154"/>
  <c r="D90" i="154"/>
  <c r="J89" i="154"/>
  <c r="K89" i="154" s="1"/>
  <c r="M89" i="154" s="1"/>
  <c r="H89" i="154"/>
  <c r="G89" i="154"/>
  <c r="J88" i="154"/>
  <c r="K88" i="154" s="1"/>
  <c r="M88" i="154" s="1"/>
  <c r="D87" i="154"/>
  <c r="J87" i="154" s="1"/>
  <c r="K87" i="154" s="1"/>
  <c r="M87" i="154" s="1"/>
  <c r="N86" i="154"/>
  <c r="J86" i="154"/>
  <c r="K86" i="154" s="1"/>
  <c r="M86" i="154" s="1"/>
  <c r="O86" i="154" s="1"/>
  <c r="E86" i="154"/>
  <c r="J85" i="154"/>
  <c r="K85" i="154" s="1"/>
  <c r="M85" i="154" s="1"/>
  <c r="K84" i="154"/>
  <c r="M84" i="154" s="1"/>
  <c r="J84" i="154"/>
  <c r="I80" i="154"/>
  <c r="H80" i="154"/>
  <c r="E80" i="154"/>
  <c r="D80" i="154"/>
  <c r="I79" i="154"/>
  <c r="I78" i="154"/>
  <c r="F78" i="154"/>
  <c r="E78" i="154"/>
  <c r="B78" i="154"/>
  <c r="J77" i="154"/>
  <c r="K77" i="154" s="1"/>
  <c r="M77" i="154" s="1"/>
  <c r="F77" i="154"/>
  <c r="E77" i="154"/>
  <c r="B77" i="154"/>
  <c r="F76" i="154"/>
  <c r="E76" i="154"/>
  <c r="D76" i="154"/>
  <c r="B76" i="154"/>
  <c r="I75" i="154"/>
  <c r="I77" i="154" s="1"/>
  <c r="C75" i="154"/>
  <c r="B75" i="154"/>
  <c r="H74" i="154"/>
  <c r="G74" i="154"/>
  <c r="F74" i="154"/>
  <c r="E74" i="154"/>
  <c r="D74" i="154"/>
  <c r="K74" i="154" s="1"/>
  <c r="M74" i="154" s="1"/>
  <c r="J73" i="154"/>
  <c r="H73" i="154"/>
  <c r="D73" i="154"/>
  <c r="O72" i="154"/>
  <c r="J72" i="154"/>
  <c r="K72" i="154" s="1"/>
  <c r="M72" i="154" s="1"/>
  <c r="N72" i="154" s="1"/>
  <c r="H72" i="154"/>
  <c r="G72" i="154"/>
  <c r="J71" i="154"/>
  <c r="K71" i="154" s="1"/>
  <c r="M71" i="154" s="1"/>
  <c r="N70" i="154"/>
  <c r="D70" i="154"/>
  <c r="J70" i="154" s="1"/>
  <c r="K70" i="154" s="1"/>
  <c r="M70" i="154" s="1"/>
  <c r="O70" i="154" s="1"/>
  <c r="M69" i="154"/>
  <c r="K69" i="154"/>
  <c r="J69" i="154"/>
  <c r="E69" i="154"/>
  <c r="J68" i="154"/>
  <c r="K68" i="154" s="1"/>
  <c r="M68" i="154" s="1"/>
  <c r="N67" i="154"/>
  <c r="J67" i="154"/>
  <c r="K67" i="154" s="1"/>
  <c r="M67" i="154" s="1"/>
  <c r="O67" i="154" s="1"/>
  <c r="K66" i="154"/>
  <c r="M66" i="154" s="1"/>
  <c r="J66" i="154"/>
  <c r="I63" i="154"/>
  <c r="H63" i="154"/>
  <c r="C63" i="154" s="1"/>
  <c r="E63" i="154"/>
  <c r="D63" i="154"/>
  <c r="I62" i="154"/>
  <c r="F61" i="154"/>
  <c r="E61" i="154"/>
  <c r="B61" i="154"/>
  <c r="F60" i="154"/>
  <c r="E60" i="154"/>
  <c r="B60" i="154"/>
  <c r="F59" i="154"/>
  <c r="E59" i="154"/>
  <c r="D59" i="154"/>
  <c r="B59" i="154"/>
  <c r="I58" i="154"/>
  <c r="B58" i="154"/>
  <c r="H57" i="154"/>
  <c r="F57" i="154"/>
  <c r="E57" i="154"/>
  <c r="D57" i="154"/>
  <c r="H56" i="154"/>
  <c r="D56" i="154"/>
  <c r="O55" i="154"/>
  <c r="J55" i="154"/>
  <c r="K55" i="154" s="1"/>
  <c r="M55" i="154" s="1"/>
  <c r="N55" i="154" s="1"/>
  <c r="H55" i="154"/>
  <c r="G55" i="154"/>
  <c r="J54" i="154"/>
  <c r="K54" i="154" s="1"/>
  <c r="M54" i="154" s="1"/>
  <c r="J53" i="154"/>
  <c r="K53" i="154" s="1"/>
  <c r="M53" i="154" s="1"/>
  <c r="D53" i="154"/>
  <c r="J52" i="154"/>
  <c r="K52" i="154" s="1"/>
  <c r="M52" i="154" s="1"/>
  <c r="N52" i="154" s="1"/>
  <c r="E52" i="154"/>
  <c r="J51" i="154"/>
  <c r="K51" i="154" s="1"/>
  <c r="M51" i="154" s="1"/>
  <c r="O51" i="154" s="1"/>
  <c r="N50" i="154"/>
  <c r="M50" i="154"/>
  <c r="O50" i="154" s="1"/>
  <c r="K50" i="154"/>
  <c r="J50" i="154"/>
  <c r="I46" i="154"/>
  <c r="H46" i="154"/>
  <c r="C58" i="154" s="1"/>
  <c r="F46" i="154"/>
  <c r="C56" i="154" s="1"/>
  <c r="E46" i="154"/>
  <c r="D46" i="154"/>
  <c r="C46" i="154"/>
  <c r="I45" i="154"/>
  <c r="F44" i="154"/>
  <c r="E44" i="154"/>
  <c r="B44" i="154"/>
  <c r="F43" i="154"/>
  <c r="E43" i="154"/>
  <c r="B43" i="154"/>
  <c r="F42" i="154"/>
  <c r="E42" i="154"/>
  <c r="D42" i="154"/>
  <c r="B42" i="154"/>
  <c r="I41" i="154"/>
  <c r="C41" i="154"/>
  <c r="B41" i="154"/>
  <c r="H40" i="154"/>
  <c r="F40" i="154"/>
  <c r="E40" i="154"/>
  <c r="D40" i="154"/>
  <c r="K40" i="154" s="1"/>
  <c r="M40" i="154" s="1"/>
  <c r="O40" i="154" s="1"/>
  <c r="H39" i="154"/>
  <c r="F39" i="154"/>
  <c r="D39" i="154"/>
  <c r="J38" i="154"/>
  <c r="K38" i="154" s="1"/>
  <c r="M38" i="154" s="1"/>
  <c r="H38" i="154"/>
  <c r="K37" i="154"/>
  <c r="M37" i="154" s="1"/>
  <c r="J37" i="154"/>
  <c r="D36" i="154"/>
  <c r="J36" i="154" s="1"/>
  <c r="K36" i="154" s="1"/>
  <c r="M36" i="154" s="1"/>
  <c r="M35" i="154"/>
  <c r="J35" i="154"/>
  <c r="K35" i="154" s="1"/>
  <c r="J34" i="154"/>
  <c r="K34" i="154" s="1"/>
  <c r="M34" i="154" s="1"/>
  <c r="J33" i="154"/>
  <c r="K33" i="154" s="1"/>
  <c r="M33" i="154" s="1"/>
  <c r="N33" i="154" s="1"/>
  <c r="I29" i="154"/>
  <c r="H29" i="154"/>
  <c r="F29" i="154"/>
  <c r="C39" i="154" s="1"/>
  <c r="E29" i="154"/>
  <c r="G29" i="154" s="1"/>
  <c r="D29" i="154"/>
  <c r="C29" i="154"/>
  <c r="J32" i="154" s="1"/>
  <c r="K32" i="154" s="1"/>
  <c r="M32" i="154" s="1"/>
  <c r="I28" i="154"/>
  <c r="F27" i="154"/>
  <c r="E27" i="154"/>
  <c r="B27" i="154"/>
  <c r="F26" i="154"/>
  <c r="E26" i="154"/>
  <c r="B26" i="154"/>
  <c r="F25" i="154"/>
  <c r="E25" i="154"/>
  <c r="D25" i="154"/>
  <c r="B25" i="154"/>
  <c r="K24" i="154"/>
  <c r="M24" i="154" s="1"/>
  <c r="J24" i="154"/>
  <c r="I24" i="154"/>
  <c r="B24" i="154"/>
  <c r="K23" i="154"/>
  <c r="M23" i="154" s="1"/>
  <c r="H23" i="154"/>
  <c r="G23" i="154"/>
  <c r="F23" i="154"/>
  <c r="E23" i="154"/>
  <c r="D23" i="154"/>
  <c r="H22" i="154"/>
  <c r="G22" i="154"/>
  <c r="D22" i="154"/>
  <c r="N21" i="154"/>
  <c r="K21" i="154"/>
  <c r="M21" i="154" s="1"/>
  <c r="O21" i="154" s="1"/>
  <c r="J21" i="154"/>
  <c r="H21" i="154"/>
  <c r="O20" i="154"/>
  <c r="M20" i="154"/>
  <c r="N20" i="154" s="1"/>
  <c r="K20" i="154"/>
  <c r="J20" i="154"/>
  <c r="J19" i="154"/>
  <c r="K19" i="154" s="1"/>
  <c r="M19" i="154" s="1"/>
  <c r="D19" i="154"/>
  <c r="J18" i="154"/>
  <c r="K18" i="154" s="1"/>
  <c r="M18" i="154" s="1"/>
  <c r="E18" i="154"/>
  <c r="J17" i="154"/>
  <c r="K17" i="154" s="1"/>
  <c r="M17" i="154" s="1"/>
  <c r="O17" i="154" s="1"/>
  <c r="J16" i="154"/>
  <c r="K16" i="154" s="1"/>
  <c r="M16" i="154" s="1"/>
  <c r="J14" i="154"/>
  <c r="K14" i="154" s="1"/>
  <c r="I12" i="154"/>
  <c r="H12" i="154"/>
  <c r="C24" i="154" s="1"/>
  <c r="F12" i="154"/>
  <c r="C22" i="154" s="1"/>
  <c r="I25" i="154" s="1"/>
  <c r="E12" i="154"/>
  <c r="D12" i="154"/>
  <c r="C12" i="154"/>
  <c r="J15" i="154" s="1"/>
  <c r="K15" i="154" s="1"/>
  <c r="M15" i="154" s="1"/>
  <c r="I11" i="154"/>
  <c r="D9" i="154"/>
  <c r="O7" i="154"/>
  <c r="I7" i="154"/>
  <c r="G7" i="154"/>
  <c r="C7" i="154"/>
  <c r="I5" i="154"/>
  <c r="G5" i="154"/>
  <c r="C5" i="154"/>
  <c r="I3" i="154"/>
  <c r="G3" i="154"/>
  <c r="C3" i="154"/>
  <c r="O197" i="153"/>
  <c r="K197" i="153"/>
  <c r="M197" i="153" s="1"/>
  <c r="N197" i="153" s="1"/>
  <c r="K196" i="153"/>
  <c r="M196" i="153" s="1"/>
  <c r="O195" i="153"/>
  <c r="N195" i="153"/>
  <c r="M195" i="153"/>
  <c r="K195" i="153"/>
  <c r="M194" i="153"/>
  <c r="K194" i="153"/>
  <c r="M193" i="153"/>
  <c r="K193" i="153"/>
  <c r="O192" i="153"/>
  <c r="N192" i="153"/>
  <c r="M192" i="153"/>
  <c r="K192" i="153"/>
  <c r="M191" i="153"/>
  <c r="N191" i="153" s="1"/>
  <c r="K191" i="153"/>
  <c r="K190" i="153"/>
  <c r="M190" i="153" s="1"/>
  <c r="O189" i="153"/>
  <c r="N189" i="153"/>
  <c r="M189" i="153"/>
  <c r="K189" i="153"/>
  <c r="K188" i="153"/>
  <c r="M188" i="153" s="1"/>
  <c r="C188" i="153"/>
  <c r="N187" i="153"/>
  <c r="K187" i="153"/>
  <c r="M187" i="153" s="1"/>
  <c r="O187" i="153" s="1"/>
  <c r="O186" i="153"/>
  <c r="K186" i="153"/>
  <c r="M186" i="153" s="1"/>
  <c r="N186" i="153" s="1"/>
  <c r="J186" i="153"/>
  <c r="O185" i="153"/>
  <c r="N185" i="153"/>
  <c r="J185" i="153"/>
  <c r="K185" i="153" s="1"/>
  <c r="M185" i="153" s="1"/>
  <c r="N184" i="153"/>
  <c r="M184" i="153"/>
  <c r="O184" i="153" s="1"/>
  <c r="K184" i="153"/>
  <c r="J184" i="153"/>
  <c r="M183" i="153"/>
  <c r="K183" i="153"/>
  <c r="J183" i="153"/>
  <c r="I180" i="153"/>
  <c r="F180" i="153"/>
  <c r="E180" i="153"/>
  <c r="B180" i="153"/>
  <c r="J180" i="153" s="1"/>
  <c r="K180" i="153" s="1"/>
  <c r="M180" i="153" s="1"/>
  <c r="I179" i="153"/>
  <c r="J179" i="153" s="1"/>
  <c r="K179" i="153" s="1"/>
  <c r="M179" i="153" s="1"/>
  <c r="F179" i="153"/>
  <c r="E179" i="153"/>
  <c r="B179" i="153"/>
  <c r="F178" i="153"/>
  <c r="E178" i="153"/>
  <c r="D178" i="153"/>
  <c r="B178" i="153"/>
  <c r="I177" i="153"/>
  <c r="J178" i="153" s="1"/>
  <c r="B177" i="153"/>
  <c r="H176" i="153"/>
  <c r="G176" i="153"/>
  <c r="F176" i="153"/>
  <c r="E176" i="153"/>
  <c r="D176" i="153"/>
  <c r="J175" i="153"/>
  <c r="H175" i="153"/>
  <c r="D175" i="153"/>
  <c r="M174" i="153"/>
  <c r="J174" i="153"/>
  <c r="K174" i="153" s="1"/>
  <c r="H174" i="153"/>
  <c r="K173" i="153"/>
  <c r="M173" i="153" s="1"/>
  <c r="J173" i="153"/>
  <c r="D172" i="153"/>
  <c r="J172" i="153" s="1"/>
  <c r="K172" i="153" s="1"/>
  <c r="M172" i="153" s="1"/>
  <c r="K171" i="153"/>
  <c r="M171" i="153" s="1"/>
  <c r="J171" i="153"/>
  <c r="E171" i="153"/>
  <c r="J170" i="153"/>
  <c r="K170" i="153" s="1"/>
  <c r="M170" i="153" s="1"/>
  <c r="E170" i="153"/>
  <c r="K169" i="153"/>
  <c r="M169" i="153" s="1"/>
  <c r="J169" i="153"/>
  <c r="E169" i="153"/>
  <c r="M168" i="153"/>
  <c r="L165" i="153"/>
  <c r="I165" i="153"/>
  <c r="H165" i="153"/>
  <c r="E165" i="153"/>
  <c r="D165" i="153"/>
  <c r="C165" i="153"/>
  <c r="J168" i="153" s="1"/>
  <c r="K168" i="153" s="1"/>
  <c r="I164" i="153"/>
  <c r="I163" i="153"/>
  <c r="F163" i="153"/>
  <c r="E163" i="153"/>
  <c r="B163" i="153"/>
  <c r="F162" i="153"/>
  <c r="E162" i="153"/>
  <c r="B162" i="153"/>
  <c r="I161" i="153"/>
  <c r="F161" i="153"/>
  <c r="E161" i="153"/>
  <c r="D161" i="153"/>
  <c r="B161" i="153"/>
  <c r="I160" i="153"/>
  <c r="C160" i="153"/>
  <c r="B160" i="153"/>
  <c r="H159" i="153"/>
  <c r="F159" i="153"/>
  <c r="E159" i="153"/>
  <c r="D159" i="153"/>
  <c r="J159" i="153" s="1"/>
  <c r="J158" i="153"/>
  <c r="H158" i="153"/>
  <c r="D158" i="153"/>
  <c r="N157" i="153"/>
  <c r="K157" i="153"/>
  <c r="M157" i="153" s="1"/>
  <c r="O157" i="153" s="1"/>
  <c r="J157" i="153"/>
  <c r="H157" i="153"/>
  <c r="G157" i="153"/>
  <c r="J156" i="153"/>
  <c r="K156" i="153" s="1"/>
  <c r="M156" i="153" s="1"/>
  <c r="K155" i="153"/>
  <c r="M155" i="153" s="1"/>
  <c r="D155" i="153"/>
  <c r="J155" i="153" s="1"/>
  <c r="M154" i="153"/>
  <c r="N154" i="153" s="1"/>
  <c r="J154" i="153"/>
  <c r="K154" i="153" s="1"/>
  <c r="E154" i="153"/>
  <c r="O153" i="153"/>
  <c r="N153" i="153"/>
  <c r="K153" i="153"/>
  <c r="M153" i="153" s="1"/>
  <c r="J153" i="153"/>
  <c r="E153" i="153"/>
  <c r="K152" i="153"/>
  <c r="M152" i="153" s="1"/>
  <c r="J152" i="153"/>
  <c r="E152" i="153"/>
  <c r="K151" i="153"/>
  <c r="M151" i="153" s="1"/>
  <c r="M150" i="153"/>
  <c r="J150" i="153"/>
  <c r="K150" i="153" s="1"/>
  <c r="I148" i="153"/>
  <c r="H148" i="153"/>
  <c r="F148" i="153"/>
  <c r="C158" i="153" s="1"/>
  <c r="E148" i="153"/>
  <c r="D148" i="153"/>
  <c r="G148" i="153" s="1"/>
  <c r="C148" i="153"/>
  <c r="J151" i="153" s="1"/>
  <c r="I147" i="153"/>
  <c r="F146" i="153"/>
  <c r="E146" i="153"/>
  <c r="B146" i="153"/>
  <c r="F145" i="153"/>
  <c r="E145" i="153"/>
  <c r="B145" i="153"/>
  <c r="I144" i="153"/>
  <c r="F144" i="153"/>
  <c r="E144" i="153"/>
  <c r="D144" i="153"/>
  <c r="B144" i="153"/>
  <c r="I143" i="153"/>
  <c r="B143" i="153"/>
  <c r="H142" i="153"/>
  <c r="G142" i="153"/>
  <c r="F142" i="153"/>
  <c r="E142" i="153"/>
  <c r="D142" i="153"/>
  <c r="J142" i="153" s="1"/>
  <c r="K142" i="153" s="1"/>
  <c r="M142" i="153" s="1"/>
  <c r="H141" i="153"/>
  <c r="G141" i="153"/>
  <c r="F141" i="153"/>
  <c r="D141" i="153"/>
  <c r="J141" i="153" s="1"/>
  <c r="N140" i="153"/>
  <c r="J140" i="153"/>
  <c r="K140" i="153" s="1"/>
  <c r="M140" i="153" s="1"/>
  <c r="O140" i="153" s="1"/>
  <c r="H140" i="153"/>
  <c r="G140" i="153"/>
  <c r="O139" i="153"/>
  <c r="M139" i="153"/>
  <c r="N139" i="153" s="1"/>
  <c r="J139" i="153"/>
  <c r="K139" i="153" s="1"/>
  <c r="M138" i="153"/>
  <c r="J138" i="153"/>
  <c r="K138" i="153" s="1"/>
  <c r="D138" i="153"/>
  <c r="J137" i="153"/>
  <c r="K137" i="153" s="1"/>
  <c r="M137" i="153" s="1"/>
  <c r="E137" i="153"/>
  <c r="J136" i="153"/>
  <c r="K136" i="153" s="1"/>
  <c r="M136" i="153" s="1"/>
  <c r="E136" i="153"/>
  <c r="N135" i="153"/>
  <c r="K135" i="153"/>
  <c r="M135" i="153" s="1"/>
  <c r="O135" i="153" s="1"/>
  <c r="J135" i="153"/>
  <c r="E135" i="153"/>
  <c r="I131" i="153"/>
  <c r="H131" i="153"/>
  <c r="F131" i="153" s="1"/>
  <c r="C141" i="153" s="1"/>
  <c r="E131" i="153"/>
  <c r="D131" i="153"/>
  <c r="I130" i="153"/>
  <c r="F129" i="153"/>
  <c r="E129" i="153"/>
  <c r="B129" i="153"/>
  <c r="I128" i="153"/>
  <c r="J128" i="153" s="1"/>
  <c r="K128" i="153" s="1"/>
  <c r="M128" i="153" s="1"/>
  <c r="F128" i="153"/>
  <c r="E128" i="153"/>
  <c r="B128" i="153"/>
  <c r="J127" i="153"/>
  <c r="F127" i="153"/>
  <c r="E127" i="153"/>
  <c r="D127" i="153"/>
  <c r="B127" i="153"/>
  <c r="I126" i="153"/>
  <c r="I129" i="153" s="1"/>
  <c r="F126" i="153"/>
  <c r="E126" i="153"/>
  <c r="D126" i="153"/>
  <c r="C126" i="153"/>
  <c r="J126" i="153" s="1"/>
  <c r="K126" i="153" s="1"/>
  <c r="M126" i="153" s="1"/>
  <c r="B126" i="153"/>
  <c r="J125" i="153"/>
  <c r="H125" i="153"/>
  <c r="F125" i="153"/>
  <c r="E125" i="153"/>
  <c r="D125" i="153"/>
  <c r="H124" i="153"/>
  <c r="D124" i="153"/>
  <c r="N123" i="153"/>
  <c r="K123" i="153"/>
  <c r="M123" i="153" s="1"/>
  <c r="O123" i="153" s="1"/>
  <c r="J123" i="153"/>
  <c r="H123" i="153"/>
  <c r="J122" i="153"/>
  <c r="K122" i="153" s="1"/>
  <c r="M122" i="153" s="1"/>
  <c r="D121" i="153"/>
  <c r="J121" i="153" s="1"/>
  <c r="K121" i="153" s="1"/>
  <c r="M121" i="153" s="1"/>
  <c r="K120" i="153"/>
  <c r="M120" i="153" s="1"/>
  <c r="J120" i="153"/>
  <c r="E120" i="153"/>
  <c r="N119" i="153"/>
  <c r="K119" i="153"/>
  <c r="M119" i="153" s="1"/>
  <c r="O119" i="153" s="1"/>
  <c r="J119" i="153"/>
  <c r="E119" i="153"/>
  <c r="N118" i="153"/>
  <c r="J118" i="153"/>
  <c r="K118" i="153" s="1"/>
  <c r="M118" i="153" s="1"/>
  <c r="O118" i="153" s="1"/>
  <c r="E118" i="153"/>
  <c r="M117" i="153"/>
  <c r="N117" i="153" s="1"/>
  <c r="I114" i="153"/>
  <c r="H114" i="153"/>
  <c r="F114" i="153"/>
  <c r="C124" i="153" s="1"/>
  <c r="E114" i="153"/>
  <c r="D114" i="153"/>
  <c r="C114" i="153"/>
  <c r="J117" i="153" s="1"/>
  <c r="K117" i="153" s="1"/>
  <c r="I113" i="153"/>
  <c r="F112" i="153"/>
  <c r="E112" i="153"/>
  <c r="B112" i="153"/>
  <c r="J112" i="153" s="1"/>
  <c r="K112" i="153" s="1"/>
  <c r="M112" i="153" s="1"/>
  <c r="J111" i="153"/>
  <c r="K111" i="153" s="1"/>
  <c r="M111" i="153" s="1"/>
  <c r="I111" i="153"/>
  <c r="F111" i="153"/>
  <c r="E111" i="153"/>
  <c r="B111" i="153"/>
  <c r="J110" i="153"/>
  <c r="F110" i="153"/>
  <c r="E110" i="153"/>
  <c r="D110" i="153"/>
  <c r="B110" i="153"/>
  <c r="J109" i="153"/>
  <c r="K109" i="153" s="1"/>
  <c r="M109" i="153" s="1"/>
  <c r="I109" i="153"/>
  <c r="I112" i="153" s="1"/>
  <c r="C109" i="153"/>
  <c r="B109" i="153"/>
  <c r="J108" i="153"/>
  <c r="H108" i="153"/>
  <c r="G108" i="153"/>
  <c r="F108" i="153"/>
  <c r="E108" i="153"/>
  <c r="D108" i="153"/>
  <c r="K108" i="153" s="1"/>
  <c r="M108" i="153" s="1"/>
  <c r="J107" i="153"/>
  <c r="H107" i="153"/>
  <c r="D107" i="153"/>
  <c r="N106" i="153"/>
  <c r="K106" i="153"/>
  <c r="M106" i="153" s="1"/>
  <c r="O106" i="153" s="1"/>
  <c r="J106" i="153"/>
  <c r="H106" i="153"/>
  <c r="K105" i="153"/>
  <c r="M105" i="153" s="1"/>
  <c r="J105" i="153"/>
  <c r="K104" i="153"/>
  <c r="M104" i="153" s="1"/>
  <c r="O104" i="153" s="1"/>
  <c r="D104" i="153"/>
  <c r="J104" i="153" s="1"/>
  <c r="M103" i="153"/>
  <c r="J103" i="153"/>
  <c r="K103" i="153" s="1"/>
  <c r="E103" i="153"/>
  <c r="K102" i="153"/>
  <c r="M102" i="153" s="1"/>
  <c r="J102" i="153"/>
  <c r="E102" i="153"/>
  <c r="M101" i="153"/>
  <c r="J101" i="153"/>
  <c r="K101" i="153" s="1"/>
  <c r="E101" i="153"/>
  <c r="I97" i="153"/>
  <c r="H97" i="153"/>
  <c r="F97" i="153" s="1"/>
  <c r="C107" i="153" s="1"/>
  <c r="E97" i="153"/>
  <c r="D97" i="153"/>
  <c r="I96" i="153"/>
  <c r="F95" i="153"/>
  <c r="E95" i="153"/>
  <c r="B95" i="153"/>
  <c r="F94" i="153"/>
  <c r="E94" i="153"/>
  <c r="B94" i="153"/>
  <c r="F93" i="153"/>
  <c r="E93" i="153"/>
  <c r="D93" i="153"/>
  <c r="B93" i="153"/>
  <c r="I92" i="153"/>
  <c r="B92" i="153"/>
  <c r="H91" i="153"/>
  <c r="G91" i="153"/>
  <c r="F91" i="153"/>
  <c r="E91" i="153"/>
  <c r="D91" i="153"/>
  <c r="J91" i="153" s="1"/>
  <c r="K91" i="153" s="1"/>
  <c r="M91" i="153" s="1"/>
  <c r="K90" i="153"/>
  <c r="M90" i="153" s="1"/>
  <c r="J90" i="153"/>
  <c r="H90" i="153"/>
  <c r="D90" i="153"/>
  <c r="G90" i="153" s="1"/>
  <c r="C90" i="153"/>
  <c r="F90" i="153" s="1"/>
  <c r="J89" i="153"/>
  <c r="K89" i="153" s="1"/>
  <c r="M89" i="153" s="1"/>
  <c r="H89" i="153"/>
  <c r="G89" i="153"/>
  <c r="M88" i="153"/>
  <c r="J88" i="153"/>
  <c r="K88" i="153" s="1"/>
  <c r="M87" i="153"/>
  <c r="J87" i="153"/>
  <c r="K87" i="153" s="1"/>
  <c r="D87" i="153"/>
  <c r="O86" i="153"/>
  <c r="K86" i="153"/>
  <c r="M86" i="153" s="1"/>
  <c r="N86" i="153" s="1"/>
  <c r="J86" i="153"/>
  <c r="E86" i="153"/>
  <c r="M85" i="153"/>
  <c r="J85" i="153"/>
  <c r="K85" i="153" s="1"/>
  <c r="E85" i="153"/>
  <c r="O84" i="153"/>
  <c r="K84" i="153"/>
  <c r="M84" i="153" s="1"/>
  <c r="N84" i="153" s="1"/>
  <c r="J84" i="153"/>
  <c r="E84" i="153"/>
  <c r="M83" i="153"/>
  <c r="I80" i="153"/>
  <c r="H80" i="153"/>
  <c r="C80" i="153" s="1"/>
  <c r="F80" i="153"/>
  <c r="E80" i="153"/>
  <c r="G80" i="153" s="1"/>
  <c r="D80" i="153"/>
  <c r="I79" i="153"/>
  <c r="I78" i="153"/>
  <c r="F78" i="153"/>
  <c r="E78" i="153"/>
  <c r="B78" i="153"/>
  <c r="J78" i="153" s="1"/>
  <c r="K78" i="153" s="1"/>
  <c r="M78" i="153" s="1"/>
  <c r="M77" i="153"/>
  <c r="J77" i="153"/>
  <c r="K77" i="153" s="1"/>
  <c r="I77" i="153"/>
  <c r="F77" i="153"/>
  <c r="E77" i="153"/>
  <c r="B77" i="153"/>
  <c r="J76" i="153"/>
  <c r="F76" i="153"/>
  <c r="E76" i="153"/>
  <c r="D76" i="153"/>
  <c r="B76" i="153"/>
  <c r="I75" i="153"/>
  <c r="B75" i="153"/>
  <c r="K74" i="153"/>
  <c r="M74" i="153" s="1"/>
  <c r="J74" i="153"/>
  <c r="H74" i="153"/>
  <c r="F74" i="153"/>
  <c r="E74" i="153"/>
  <c r="D74" i="153"/>
  <c r="G74" i="153" s="1"/>
  <c r="J73" i="153"/>
  <c r="H73" i="153"/>
  <c r="G73" i="153"/>
  <c r="D73" i="153"/>
  <c r="C73" i="153"/>
  <c r="E73" i="153" s="1"/>
  <c r="J72" i="153"/>
  <c r="K72" i="153" s="1"/>
  <c r="M72" i="153" s="1"/>
  <c r="H72" i="153"/>
  <c r="G72" i="153"/>
  <c r="J71" i="153"/>
  <c r="K71" i="153" s="1"/>
  <c r="M71" i="153" s="1"/>
  <c r="O71" i="153" s="1"/>
  <c r="J70" i="153"/>
  <c r="K70" i="153" s="1"/>
  <c r="M70" i="153" s="1"/>
  <c r="O70" i="153" s="1"/>
  <c r="D70" i="153"/>
  <c r="O69" i="153"/>
  <c r="J69" i="153"/>
  <c r="K69" i="153" s="1"/>
  <c r="M69" i="153" s="1"/>
  <c r="N69" i="153" s="1"/>
  <c r="E69" i="153"/>
  <c r="J68" i="153"/>
  <c r="K68" i="153" s="1"/>
  <c r="M68" i="153" s="1"/>
  <c r="O68" i="153" s="1"/>
  <c r="E68" i="153"/>
  <c r="O67" i="153"/>
  <c r="M67" i="153"/>
  <c r="N67" i="153" s="1"/>
  <c r="J67" i="153"/>
  <c r="K67" i="153" s="1"/>
  <c r="E67" i="153"/>
  <c r="N66" i="153"/>
  <c r="J66" i="153"/>
  <c r="K66" i="153" s="1"/>
  <c r="M66" i="153" s="1"/>
  <c r="O66" i="153" s="1"/>
  <c r="I63" i="153"/>
  <c r="H63" i="153"/>
  <c r="C63" i="153" s="1"/>
  <c r="F63" i="153"/>
  <c r="E63" i="153"/>
  <c r="D63" i="153"/>
  <c r="G63" i="153" s="1"/>
  <c r="I62" i="153"/>
  <c r="F61" i="153"/>
  <c r="E61" i="153"/>
  <c r="B61" i="153"/>
  <c r="F60" i="153"/>
  <c r="E60" i="153"/>
  <c r="B60" i="153"/>
  <c r="F59" i="153"/>
  <c r="E59" i="153"/>
  <c r="D59" i="153"/>
  <c r="B59" i="153"/>
  <c r="K58" i="153"/>
  <c r="M58" i="153" s="1"/>
  <c r="O58" i="153" s="1"/>
  <c r="J58" i="153"/>
  <c r="I58" i="153"/>
  <c r="E58" i="153"/>
  <c r="D58" i="153"/>
  <c r="C58" i="153"/>
  <c r="F58" i="153" s="1"/>
  <c r="B58" i="153"/>
  <c r="H57" i="153"/>
  <c r="G57" i="153"/>
  <c r="F57" i="153"/>
  <c r="E57" i="153"/>
  <c r="D57" i="153"/>
  <c r="J56" i="153"/>
  <c r="K56" i="153" s="1"/>
  <c r="M56" i="153" s="1"/>
  <c r="O56" i="153" s="1"/>
  <c r="H56" i="153"/>
  <c r="G56" i="153"/>
  <c r="D56" i="153"/>
  <c r="M55" i="153"/>
  <c r="N55" i="153" s="1"/>
  <c r="J55" i="153"/>
  <c r="K55" i="153" s="1"/>
  <c r="H55" i="153"/>
  <c r="G55" i="153"/>
  <c r="O54" i="153"/>
  <c r="N54" i="153"/>
  <c r="J54" i="153"/>
  <c r="K54" i="153" s="1"/>
  <c r="M54" i="153" s="1"/>
  <c r="D53" i="153"/>
  <c r="J53" i="153" s="1"/>
  <c r="K53" i="153" s="1"/>
  <c r="M53" i="153" s="1"/>
  <c r="M52" i="153"/>
  <c r="O52" i="153" s="1"/>
  <c r="K52" i="153"/>
  <c r="J52" i="153"/>
  <c r="E52" i="153"/>
  <c r="M51" i="153"/>
  <c r="N51" i="153" s="1"/>
  <c r="J51" i="153"/>
  <c r="K51" i="153" s="1"/>
  <c r="E51" i="153"/>
  <c r="K50" i="153"/>
  <c r="M50" i="153" s="1"/>
  <c r="J50" i="153"/>
  <c r="E50" i="153"/>
  <c r="M49" i="153"/>
  <c r="N49" i="153" s="1"/>
  <c r="I46" i="153"/>
  <c r="H46" i="153"/>
  <c r="F46" i="153"/>
  <c r="C56" i="153" s="1"/>
  <c r="I59" i="153" s="1"/>
  <c r="E46" i="153"/>
  <c r="D46" i="153"/>
  <c r="G46" i="153" s="1"/>
  <c r="C46" i="153"/>
  <c r="J49" i="153" s="1"/>
  <c r="K49" i="153" s="1"/>
  <c r="I45" i="153"/>
  <c r="F44" i="153"/>
  <c r="E44" i="153"/>
  <c r="B44" i="153"/>
  <c r="F43" i="153"/>
  <c r="E43" i="153"/>
  <c r="B43" i="153"/>
  <c r="F42" i="153"/>
  <c r="E42" i="153"/>
  <c r="D42" i="153"/>
  <c r="B42" i="153"/>
  <c r="K41" i="153"/>
  <c r="M41" i="153" s="1"/>
  <c r="J41" i="153"/>
  <c r="I41" i="153"/>
  <c r="F41" i="153"/>
  <c r="C41" i="153"/>
  <c r="B41" i="153"/>
  <c r="J40" i="153"/>
  <c r="K40" i="153" s="1"/>
  <c r="M40" i="153" s="1"/>
  <c r="H40" i="153"/>
  <c r="G40" i="153"/>
  <c r="F40" i="153"/>
  <c r="E40" i="153"/>
  <c r="D40" i="153"/>
  <c r="H39" i="153"/>
  <c r="G39" i="153"/>
  <c r="D39" i="153"/>
  <c r="K38" i="153"/>
  <c r="M38" i="153" s="1"/>
  <c r="O38" i="153" s="1"/>
  <c r="J38" i="153"/>
  <c r="H38" i="153"/>
  <c r="G38" i="153"/>
  <c r="O37" i="153"/>
  <c r="N37" i="153"/>
  <c r="K37" i="153"/>
  <c r="M37" i="153" s="1"/>
  <c r="J37" i="153"/>
  <c r="D36" i="153"/>
  <c r="J36" i="153" s="1"/>
  <c r="K36" i="153" s="1"/>
  <c r="M36" i="153" s="1"/>
  <c r="J35" i="153"/>
  <c r="K35" i="153" s="1"/>
  <c r="M35" i="153" s="1"/>
  <c r="N34" i="153"/>
  <c r="J34" i="153"/>
  <c r="K34" i="153" s="1"/>
  <c r="M34" i="153" s="1"/>
  <c r="O34" i="153" s="1"/>
  <c r="E34" i="153"/>
  <c r="J33" i="153"/>
  <c r="K33" i="153" s="1"/>
  <c r="M33" i="153" s="1"/>
  <c r="E33" i="153"/>
  <c r="J32" i="153"/>
  <c r="K32" i="153" s="1"/>
  <c r="M32" i="153" s="1"/>
  <c r="M31" i="153"/>
  <c r="J31" i="153"/>
  <c r="K31" i="153" s="1"/>
  <c r="I29" i="153"/>
  <c r="H29" i="153"/>
  <c r="F29" i="153" s="1"/>
  <c r="C39" i="153" s="1"/>
  <c r="I42" i="153" s="1"/>
  <c r="E29" i="153"/>
  <c r="D29" i="153"/>
  <c r="G29" i="153" s="1"/>
  <c r="C29" i="153"/>
  <c r="I28" i="153"/>
  <c r="F27" i="153"/>
  <c r="E27" i="153"/>
  <c r="B27" i="153"/>
  <c r="F26" i="153"/>
  <c r="E26" i="153"/>
  <c r="B26" i="153"/>
  <c r="F25" i="153"/>
  <c r="E25" i="153"/>
  <c r="D25" i="153"/>
  <c r="B25" i="153"/>
  <c r="I24" i="153"/>
  <c r="B24" i="153"/>
  <c r="H23" i="153"/>
  <c r="F23" i="153"/>
  <c r="E23" i="153"/>
  <c r="D23" i="153"/>
  <c r="H22" i="153"/>
  <c r="D22" i="153"/>
  <c r="M21" i="153"/>
  <c r="N21" i="153" s="1"/>
  <c r="J21" i="153"/>
  <c r="K21" i="153" s="1"/>
  <c r="H21" i="153"/>
  <c r="J20" i="153"/>
  <c r="K20" i="153" s="1"/>
  <c r="M20" i="153" s="1"/>
  <c r="J19" i="153"/>
  <c r="K19" i="153" s="1"/>
  <c r="M19" i="153" s="1"/>
  <c r="D19" i="153"/>
  <c r="K18" i="153"/>
  <c r="M18" i="153" s="1"/>
  <c r="J18" i="153"/>
  <c r="E18" i="153"/>
  <c r="K17" i="153"/>
  <c r="M17" i="153" s="1"/>
  <c r="J17" i="153"/>
  <c r="E17" i="153"/>
  <c r="K16" i="153"/>
  <c r="M16" i="153" s="1"/>
  <c r="J16" i="153"/>
  <c r="E16" i="153"/>
  <c r="I12" i="153"/>
  <c r="H12" i="153"/>
  <c r="E12" i="153"/>
  <c r="D12" i="153"/>
  <c r="I11" i="153"/>
  <c r="D9" i="153"/>
  <c r="K47" i="152"/>
  <c r="M47" i="152" s="1"/>
  <c r="K46" i="152"/>
  <c r="M46" i="152" s="1"/>
  <c r="K45" i="152"/>
  <c r="M45" i="152" s="1"/>
  <c r="K44" i="152"/>
  <c r="M44" i="152" s="1"/>
  <c r="O43" i="152"/>
  <c r="M43" i="152"/>
  <c r="N43" i="152" s="1"/>
  <c r="K43" i="152"/>
  <c r="K42" i="152"/>
  <c r="M42" i="152" s="1"/>
  <c r="O41" i="152"/>
  <c r="K41" i="152"/>
  <c r="M41" i="152" s="1"/>
  <c r="N41" i="152" s="1"/>
  <c r="K40" i="152"/>
  <c r="M40" i="152" s="1"/>
  <c r="M39" i="152"/>
  <c r="K39" i="152"/>
  <c r="J39" i="152"/>
  <c r="J38" i="152"/>
  <c r="K38" i="152" s="1"/>
  <c r="M38" i="152" s="1"/>
  <c r="J37" i="152"/>
  <c r="K37" i="152" s="1"/>
  <c r="M37" i="152" s="1"/>
  <c r="K33" i="152"/>
  <c r="M33" i="152" s="1"/>
  <c r="K32" i="152"/>
  <c r="M32" i="152" s="1"/>
  <c r="K31" i="152"/>
  <c r="M31" i="152" s="1"/>
  <c r="M30" i="152"/>
  <c r="N30" i="152" s="1"/>
  <c r="K30" i="152"/>
  <c r="K29" i="152"/>
  <c r="M29" i="152" s="1"/>
  <c r="O28" i="152"/>
  <c r="K28" i="152"/>
  <c r="M28" i="152" s="1"/>
  <c r="N28" i="152" s="1"/>
  <c r="M27" i="152"/>
  <c r="K27" i="152"/>
  <c r="M26" i="152"/>
  <c r="K26" i="152"/>
  <c r="K25" i="152"/>
  <c r="M25" i="152" s="1"/>
  <c r="N25" i="152" s="1"/>
  <c r="K24" i="152"/>
  <c r="M24" i="152" s="1"/>
  <c r="K23" i="152"/>
  <c r="M23" i="152" s="1"/>
  <c r="K22" i="152"/>
  <c r="M22" i="152" s="1"/>
  <c r="K21" i="152"/>
  <c r="M21" i="152" s="1"/>
  <c r="K20" i="152"/>
  <c r="M20" i="152" s="1"/>
  <c r="K19" i="152"/>
  <c r="M19" i="152" s="1"/>
  <c r="O18" i="152"/>
  <c r="M18" i="152"/>
  <c r="N18" i="152" s="1"/>
  <c r="K18" i="152"/>
  <c r="K17" i="152"/>
  <c r="M17" i="152" s="1"/>
  <c r="O16" i="152"/>
  <c r="K16" i="152"/>
  <c r="M16" i="152" s="1"/>
  <c r="N16" i="152" s="1"/>
  <c r="K15" i="152"/>
  <c r="M14" i="152"/>
  <c r="K14" i="152"/>
  <c r="L12" i="152"/>
  <c r="I12" i="152"/>
  <c r="G12" i="152" s="1"/>
  <c r="H12" i="152" s="1"/>
  <c r="E12" i="152"/>
  <c r="E9" i="152"/>
  <c r="O7" i="152"/>
  <c r="H7" i="152"/>
  <c r="D7" i="152"/>
  <c r="H5" i="152"/>
  <c r="D5" i="152"/>
  <c r="H3" i="152"/>
  <c r="D3" i="152"/>
  <c r="O48" i="151"/>
  <c r="N48" i="151"/>
  <c r="M48" i="151"/>
  <c r="K48" i="151"/>
  <c r="K47" i="151"/>
  <c r="M47" i="151" s="1"/>
  <c r="O46" i="151"/>
  <c r="N46" i="151"/>
  <c r="K46" i="151"/>
  <c r="M46" i="151" s="1"/>
  <c r="M45" i="151"/>
  <c r="K45" i="151"/>
  <c r="O44" i="151"/>
  <c r="N44" i="151"/>
  <c r="M44" i="151"/>
  <c r="K44" i="151"/>
  <c r="K43" i="151"/>
  <c r="M43" i="151" s="1"/>
  <c r="O43" i="151" s="1"/>
  <c r="N42" i="151"/>
  <c r="M42" i="151"/>
  <c r="O42" i="151" s="1"/>
  <c r="K42" i="151"/>
  <c r="M41" i="151"/>
  <c r="N41" i="151" s="1"/>
  <c r="K41" i="151"/>
  <c r="J40" i="151"/>
  <c r="K40" i="151" s="1"/>
  <c r="M40" i="151" s="1"/>
  <c r="J39" i="151"/>
  <c r="K39" i="151" s="1"/>
  <c r="M39" i="151" s="1"/>
  <c r="O38" i="151"/>
  <c r="M38" i="151"/>
  <c r="K38" i="151"/>
  <c r="J38" i="151"/>
  <c r="K34" i="151"/>
  <c r="M34" i="151" s="1"/>
  <c r="O33" i="151"/>
  <c r="N33" i="151"/>
  <c r="K33" i="151"/>
  <c r="M33" i="151" s="1"/>
  <c r="M32" i="151"/>
  <c r="O32" i="151" s="1"/>
  <c r="K32" i="151"/>
  <c r="K31" i="151"/>
  <c r="M31" i="151" s="1"/>
  <c r="O30" i="151"/>
  <c r="K30" i="151"/>
  <c r="M30" i="151" s="1"/>
  <c r="N30" i="151" s="1"/>
  <c r="M29" i="151"/>
  <c r="O29" i="151" s="1"/>
  <c r="K29" i="151"/>
  <c r="O28" i="151"/>
  <c r="M28" i="151"/>
  <c r="N28" i="151" s="1"/>
  <c r="K28" i="151"/>
  <c r="O27" i="151"/>
  <c r="N27" i="151"/>
  <c r="K27" i="151"/>
  <c r="M27" i="151" s="1"/>
  <c r="O26" i="151"/>
  <c r="N26" i="151"/>
  <c r="M26" i="151"/>
  <c r="K26" i="151"/>
  <c r="K25" i="151"/>
  <c r="M25" i="151" s="1"/>
  <c r="K24" i="151"/>
  <c r="M24" i="151" s="1"/>
  <c r="O24" i="151" s="1"/>
  <c r="O23" i="151"/>
  <c r="N23" i="151"/>
  <c r="M23" i="151"/>
  <c r="K23" i="151"/>
  <c r="M22" i="151"/>
  <c r="O22" i="151" s="1"/>
  <c r="K22" i="151"/>
  <c r="K21" i="151"/>
  <c r="O20" i="151"/>
  <c r="M20" i="151"/>
  <c r="N20" i="151" s="1"/>
  <c r="K20" i="151"/>
  <c r="K18" i="151"/>
  <c r="M18" i="151" s="1"/>
  <c r="N17" i="151"/>
  <c r="K17" i="151"/>
  <c r="M17" i="151" s="1"/>
  <c r="O17" i="151" s="1"/>
  <c r="O16" i="151"/>
  <c r="N16" i="151"/>
  <c r="M16" i="151"/>
  <c r="K16" i="151"/>
  <c r="K15" i="151"/>
  <c r="M15" i="151" s="1"/>
  <c r="K14" i="151"/>
  <c r="I12" i="151"/>
  <c r="G12" i="151" s="1"/>
  <c r="E12" i="151"/>
  <c r="E9" i="151"/>
  <c r="O7" i="151"/>
  <c r="H7" i="151"/>
  <c r="D7" i="151"/>
  <c r="H5" i="151"/>
  <c r="D5" i="151"/>
  <c r="H3" i="151"/>
  <c r="D3" i="151"/>
  <c r="J102" i="150"/>
  <c r="I102" i="150"/>
  <c r="K102" i="150" s="1"/>
  <c r="G102" i="150"/>
  <c r="F101" i="150"/>
  <c r="G101" i="150" s="1"/>
  <c r="I101" i="150" s="1"/>
  <c r="J101" i="150" s="1"/>
  <c r="I100" i="150"/>
  <c r="G100" i="150"/>
  <c r="F100" i="150"/>
  <c r="I99" i="150"/>
  <c r="G99" i="150"/>
  <c r="G98" i="150"/>
  <c r="I98" i="150" s="1"/>
  <c r="I97" i="150"/>
  <c r="G97" i="150"/>
  <c r="F97" i="150"/>
  <c r="G96" i="150"/>
  <c r="I96" i="150" s="1"/>
  <c r="F96" i="150"/>
  <c r="I93" i="150"/>
  <c r="F93" i="150"/>
  <c r="G93" i="150" s="1"/>
  <c r="K92" i="150"/>
  <c r="F92" i="150"/>
  <c r="G92" i="150" s="1"/>
  <c r="I92" i="150" s="1"/>
  <c r="J92" i="150" s="1"/>
  <c r="I91" i="150"/>
  <c r="G91" i="150"/>
  <c r="F91" i="150"/>
  <c r="J90" i="150"/>
  <c r="I90" i="150"/>
  <c r="K90" i="150" s="1"/>
  <c r="F90" i="150"/>
  <c r="G90" i="150" s="1"/>
  <c r="F89" i="150"/>
  <c r="G89" i="150" s="1"/>
  <c r="I89" i="150" s="1"/>
  <c r="G88" i="150"/>
  <c r="I88" i="150" s="1"/>
  <c r="F88" i="150"/>
  <c r="J87" i="150"/>
  <c r="I87" i="150"/>
  <c r="K87" i="150" s="1"/>
  <c r="G87" i="150"/>
  <c r="F87" i="150"/>
  <c r="G86" i="150"/>
  <c r="I86" i="150" s="1"/>
  <c r="F86" i="150"/>
  <c r="F85" i="150"/>
  <c r="G85" i="150" s="1"/>
  <c r="K82" i="150"/>
  <c r="J82" i="150"/>
  <c r="I82" i="150"/>
  <c r="G82" i="150"/>
  <c r="F82" i="150"/>
  <c r="I81" i="150"/>
  <c r="K81" i="150" s="1"/>
  <c r="G81" i="150"/>
  <c r="F81" i="150"/>
  <c r="J80" i="150"/>
  <c r="G80" i="150"/>
  <c r="I80" i="150" s="1"/>
  <c r="K80" i="150" s="1"/>
  <c r="F80" i="150"/>
  <c r="I79" i="150"/>
  <c r="G79" i="150"/>
  <c r="F79" i="150"/>
  <c r="F78" i="150"/>
  <c r="G78" i="150" s="1"/>
  <c r="I78" i="150" s="1"/>
  <c r="J78" i="150" s="1"/>
  <c r="K77" i="150"/>
  <c r="J77" i="150"/>
  <c r="I77" i="150"/>
  <c r="F77" i="150"/>
  <c r="G77" i="150" s="1"/>
  <c r="I76" i="150"/>
  <c r="J76" i="150" s="1"/>
  <c r="G76" i="150"/>
  <c r="F76" i="150"/>
  <c r="F75" i="150"/>
  <c r="G75" i="150" s="1"/>
  <c r="I75" i="150" s="1"/>
  <c r="F74" i="150"/>
  <c r="G74" i="150" s="1"/>
  <c r="I74" i="150" s="1"/>
  <c r="K73" i="150"/>
  <c r="J73" i="150"/>
  <c r="F73" i="150"/>
  <c r="G73" i="150" s="1"/>
  <c r="I73" i="150" s="1"/>
  <c r="K72" i="150"/>
  <c r="G72" i="150"/>
  <c r="I72" i="150" s="1"/>
  <c r="J72" i="150" s="1"/>
  <c r="F72" i="150"/>
  <c r="F71" i="150"/>
  <c r="G71" i="150" s="1"/>
  <c r="F68" i="150"/>
  <c r="G68" i="150" s="1"/>
  <c r="I68" i="150" s="1"/>
  <c r="K68" i="150" s="1"/>
  <c r="I67" i="150"/>
  <c r="G67" i="150"/>
  <c r="F67" i="150"/>
  <c r="I66" i="150"/>
  <c r="F66" i="150"/>
  <c r="G66" i="150" s="1"/>
  <c r="F65" i="150"/>
  <c r="G65" i="150" s="1"/>
  <c r="I65" i="150" s="1"/>
  <c r="F64" i="150"/>
  <c r="G64" i="150" s="1"/>
  <c r="I64" i="150" s="1"/>
  <c r="J64" i="150" s="1"/>
  <c r="K63" i="150"/>
  <c r="I63" i="150"/>
  <c r="J63" i="150" s="1"/>
  <c r="G63" i="150"/>
  <c r="F63" i="150"/>
  <c r="K62" i="150"/>
  <c r="I62" i="150"/>
  <c r="J62" i="150" s="1"/>
  <c r="G62" i="150"/>
  <c r="F62" i="150"/>
  <c r="G61" i="150"/>
  <c r="I61" i="150" s="1"/>
  <c r="F61" i="150"/>
  <c r="K60" i="150"/>
  <c r="G60" i="150"/>
  <c r="I60" i="150" s="1"/>
  <c r="J60" i="150" s="1"/>
  <c r="F60" i="150"/>
  <c r="K59" i="150"/>
  <c r="J59" i="150"/>
  <c r="G59" i="150"/>
  <c r="I59" i="150" s="1"/>
  <c r="F59" i="150"/>
  <c r="G58" i="150"/>
  <c r="I58" i="150" s="1"/>
  <c r="F58" i="150"/>
  <c r="I57" i="150"/>
  <c r="K57" i="150" s="1"/>
  <c r="G57" i="150"/>
  <c r="F57" i="150"/>
  <c r="M56" i="150"/>
  <c r="L56" i="150"/>
  <c r="J56" i="150"/>
  <c r="G56" i="150"/>
  <c r="I56" i="150" s="1"/>
  <c r="K56" i="150" s="1"/>
  <c r="F56" i="150"/>
  <c r="L55" i="150"/>
  <c r="M55" i="150" s="1"/>
  <c r="G55" i="150"/>
  <c r="I55" i="150" s="1"/>
  <c r="K55" i="150" s="1"/>
  <c r="F55" i="150"/>
  <c r="L54" i="150"/>
  <c r="M54" i="150" s="1"/>
  <c r="I54" i="150"/>
  <c r="J54" i="150" s="1"/>
  <c r="G54" i="150"/>
  <c r="F54" i="150"/>
  <c r="L53" i="150"/>
  <c r="M53" i="150" s="1"/>
  <c r="I53" i="150"/>
  <c r="K53" i="150" s="1"/>
  <c r="G53" i="150"/>
  <c r="F53" i="150"/>
  <c r="L52" i="150"/>
  <c r="M52" i="150" s="1"/>
  <c r="F52" i="150"/>
  <c r="G52" i="150" s="1"/>
  <c r="I52" i="150" s="1"/>
  <c r="J52" i="150" s="1"/>
  <c r="L51" i="150"/>
  <c r="M51" i="150" s="1"/>
  <c r="K51" i="150"/>
  <c r="F51" i="150"/>
  <c r="G51" i="150" s="1"/>
  <c r="I51" i="150" s="1"/>
  <c r="J51" i="150" s="1"/>
  <c r="L50" i="150"/>
  <c r="M50" i="150" s="1"/>
  <c r="K50" i="150"/>
  <c r="F50" i="150"/>
  <c r="G50" i="150" s="1"/>
  <c r="I50" i="150" s="1"/>
  <c r="J50" i="150" s="1"/>
  <c r="L49" i="150"/>
  <c r="M49" i="150" s="1"/>
  <c r="F49" i="150"/>
  <c r="G49" i="150" s="1"/>
  <c r="I49" i="150" s="1"/>
  <c r="K47" i="150"/>
  <c r="J47" i="150"/>
  <c r="I47" i="150"/>
  <c r="F47" i="150"/>
  <c r="G47" i="150" s="1"/>
  <c r="I46" i="150"/>
  <c r="K46" i="150" s="1"/>
  <c r="G46" i="150"/>
  <c r="F46" i="150"/>
  <c r="I45" i="150"/>
  <c r="F45" i="150"/>
  <c r="G45" i="150" s="1"/>
  <c r="F44" i="150"/>
  <c r="G44" i="150" s="1"/>
  <c r="I44" i="150" s="1"/>
  <c r="F43" i="150"/>
  <c r="G43" i="150" s="1"/>
  <c r="I43" i="150" s="1"/>
  <c r="K43" i="150" s="1"/>
  <c r="J42" i="150"/>
  <c r="G42" i="150"/>
  <c r="I42" i="150" s="1"/>
  <c r="K42" i="150" s="1"/>
  <c r="F42" i="150"/>
  <c r="G41" i="150"/>
  <c r="I41" i="150" s="1"/>
  <c r="K41" i="150" s="1"/>
  <c r="F41" i="150"/>
  <c r="G40" i="150"/>
  <c r="I40" i="150" s="1"/>
  <c r="F40" i="150"/>
  <c r="F39" i="150"/>
  <c r="G39" i="150" s="1"/>
  <c r="I39" i="150" s="1"/>
  <c r="F38" i="150"/>
  <c r="G38" i="150" s="1"/>
  <c r="I38" i="150" s="1"/>
  <c r="F37" i="150"/>
  <c r="G37" i="150" s="1"/>
  <c r="I37" i="150" s="1"/>
  <c r="F36" i="150"/>
  <c r="G36" i="150" s="1"/>
  <c r="F35" i="150"/>
  <c r="G35" i="150" s="1"/>
  <c r="I35" i="150" s="1"/>
  <c r="K32" i="150"/>
  <c r="I32" i="150"/>
  <c r="J32" i="150" s="1"/>
  <c r="G32" i="150"/>
  <c r="F32" i="150"/>
  <c r="F31" i="150"/>
  <c r="G31" i="150" s="1"/>
  <c r="I31" i="150" s="1"/>
  <c r="G30" i="150"/>
  <c r="I30" i="150" s="1"/>
  <c r="F30" i="150"/>
  <c r="K29" i="150"/>
  <c r="F29" i="150"/>
  <c r="G29" i="150" s="1"/>
  <c r="I29" i="150" s="1"/>
  <c r="J29" i="150" s="1"/>
  <c r="G28" i="150"/>
  <c r="I28" i="150" s="1"/>
  <c r="F28" i="150"/>
  <c r="G27" i="150"/>
  <c r="I27" i="150" s="1"/>
  <c r="F27" i="150"/>
  <c r="I26" i="150"/>
  <c r="F26" i="150"/>
  <c r="G26" i="150" s="1"/>
  <c r="G25" i="150"/>
  <c r="I25" i="150" s="1"/>
  <c r="K24" i="150"/>
  <c r="J24" i="150"/>
  <c r="G24" i="150"/>
  <c r="I24" i="150" s="1"/>
  <c r="F24" i="150"/>
  <c r="J23" i="150"/>
  <c r="G23" i="150"/>
  <c r="I23" i="150" s="1"/>
  <c r="K23" i="150" s="1"/>
  <c r="F23" i="150"/>
  <c r="G22" i="150"/>
  <c r="I22" i="150" s="1"/>
  <c r="F22" i="150"/>
  <c r="F21" i="150"/>
  <c r="G21" i="150" s="1"/>
  <c r="I21" i="150" s="1"/>
  <c r="G20" i="150"/>
  <c r="I20" i="150" s="1"/>
  <c r="F20" i="150"/>
  <c r="K19" i="150"/>
  <c r="I19" i="150"/>
  <c r="J19" i="150" s="1"/>
  <c r="G19" i="150"/>
  <c r="F19" i="150"/>
  <c r="F18" i="150"/>
  <c r="G18" i="150" s="1"/>
  <c r="I18" i="150" s="1"/>
  <c r="F17" i="150"/>
  <c r="G17" i="150" s="1"/>
  <c r="I17" i="150" s="1"/>
  <c r="R16" i="150"/>
  <c r="G16" i="150"/>
  <c r="I16" i="150" s="1"/>
  <c r="F16" i="150"/>
  <c r="K15" i="150"/>
  <c r="G15" i="150"/>
  <c r="I15" i="150" s="1"/>
  <c r="J15" i="150" s="1"/>
  <c r="F15" i="150"/>
  <c r="F14" i="150"/>
  <c r="G14" i="150" s="1"/>
  <c r="D10" i="150"/>
  <c r="K8" i="150"/>
  <c r="F8" i="150"/>
  <c r="C8" i="150"/>
  <c r="F6" i="150"/>
  <c r="C6" i="150"/>
  <c r="F4" i="150"/>
  <c r="C4" i="150"/>
  <c r="O197" i="149"/>
  <c r="M197" i="149"/>
  <c r="N197" i="149" s="1"/>
  <c r="K197" i="149"/>
  <c r="K196" i="149"/>
  <c r="M196" i="149" s="1"/>
  <c r="O195" i="149"/>
  <c r="N195" i="149"/>
  <c r="M195" i="149"/>
  <c r="K195" i="149"/>
  <c r="O194" i="149"/>
  <c r="M194" i="149"/>
  <c r="N194" i="149" s="1"/>
  <c r="K194" i="149"/>
  <c r="M193" i="149"/>
  <c r="K193" i="149"/>
  <c r="O192" i="149"/>
  <c r="N192" i="149"/>
  <c r="M192" i="149"/>
  <c r="K192" i="149"/>
  <c r="M191" i="149"/>
  <c r="K191" i="149"/>
  <c r="M190" i="149"/>
  <c r="K190" i="149"/>
  <c r="O189" i="149"/>
  <c r="K189" i="149"/>
  <c r="M189" i="149" s="1"/>
  <c r="N189" i="149" s="1"/>
  <c r="M188" i="149"/>
  <c r="O188" i="149" s="1"/>
  <c r="K188" i="149"/>
  <c r="K187" i="149"/>
  <c r="M187" i="149" s="1"/>
  <c r="N186" i="149"/>
  <c r="J186" i="149"/>
  <c r="K186" i="149" s="1"/>
  <c r="M186" i="149" s="1"/>
  <c r="O186" i="149" s="1"/>
  <c r="J185" i="149"/>
  <c r="K185" i="149" s="1"/>
  <c r="M185" i="149" s="1"/>
  <c r="O185" i="149" s="1"/>
  <c r="M184" i="149"/>
  <c r="O184" i="149" s="1"/>
  <c r="K184" i="149"/>
  <c r="J184" i="149"/>
  <c r="K183" i="149"/>
  <c r="J183" i="149"/>
  <c r="F180" i="149"/>
  <c r="E180" i="149"/>
  <c r="B180" i="149"/>
  <c r="F179" i="149"/>
  <c r="E179" i="149"/>
  <c r="B179" i="149"/>
  <c r="J178" i="149"/>
  <c r="K178" i="149" s="1"/>
  <c r="M178" i="149" s="1"/>
  <c r="F178" i="149"/>
  <c r="E178" i="149"/>
  <c r="D178" i="149"/>
  <c r="B178" i="149"/>
  <c r="I177" i="149"/>
  <c r="I179" i="149" s="1"/>
  <c r="J179" i="149" s="1"/>
  <c r="K179" i="149" s="1"/>
  <c r="M179" i="149" s="1"/>
  <c r="B177" i="149"/>
  <c r="H176" i="149"/>
  <c r="F176" i="149"/>
  <c r="E176" i="149"/>
  <c r="D176" i="149"/>
  <c r="K175" i="149"/>
  <c r="M175" i="149" s="1"/>
  <c r="J175" i="149"/>
  <c r="H175" i="149"/>
  <c r="D175" i="149"/>
  <c r="G175" i="149" s="1"/>
  <c r="C175" i="149"/>
  <c r="I178" i="149" s="1"/>
  <c r="J174" i="149"/>
  <c r="K174" i="149" s="1"/>
  <c r="M174" i="149" s="1"/>
  <c r="H174" i="149"/>
  <c r="G174" i="149"/>
  <c r="J173" i="149"/>
  <c r="K173" i="149" s="1"/>
  <c r="M173" i="149" s="1"/>
  <c r="J172" i="149"/>
  <c r="K172" i="149" s="1"/>
  <c r="M172" i="149" s="1"/>
  <c r="O172" i="149" s="1"/>
  <c r="D172" i="149"/>
  <c r="J171" i="149"/>
  <c r="K171" i="149" s="1"/>
  <c r="M171" i="149" s="1"/>
  <c r="N171" i="149" s="1"/>
  <c r="E171" i="149"/>
  <c r="J170" i="149"/>
  <c r="K170" i="149" s="1"/>
  <c r="M170" i="149" s="1"/>
  <c r="O169" i="149"/>
  <c r="N169" i="149"/>
  <c r="J169" i="149"/>
  <c r="K169" i="149" s="1"/>
  <c r="M169" i="149" s="1"/>
  <c r="I165" i="149"/>
  <c r="H165" i="149"/>
  <c r="C165" i="149" s="1"/>
  <c r="F165" i="149"/>
  <c r="E165" i="149"/>
  <c r="D165" i="149"/>
  <c r="G165" i="149" s="1"/>
  <c r="I164" i="149"/>
  <c r="F163" i="149"/>
  <c r="E163" i="149"/>
  <c r="B163" i="149"/>
  <c r="F162" i="149"/>
  <c r="E162" i="149"/>
  <c r="B162" i="149"/>
  <c r="F161" i="149"/>
  <c r="E161" i="149"/>
  <c r="D161" i="149"/>
  <c r="B161" i="149"/>
  <c r="I160" i="149"/>
  <c r="C160" i="149"/>
  <c r="B160" i="149"/>
  <c r="O159" i="149"/>
  <c r="K159" i="149"/>
  <c r="M159" i="149" s="1"/>
  <c r="N159" i="149" s="1"/>
  <c r="H159" i="149"/>
  <c r="G159" i="149"/>
  <c r="F159" i="149"/>
  <c r="E159" i="149"/>
  <c r="D159" i="149"/>
  <c r="K158" i="149"/>
  <c r="M158" i="149" s="1"/>
  <c r="J158" i="149"/>
  <c r="H158" i="149"/>
  <c r="G158" i="149"/>
  <c r="F158" i="149"/>
  <c r="D158" i="149"/>
  <c r="G157" i="149" s="1"/>
  <c r="J157" i="149"/>
  <c r="K157" i="149" s="1"/>
  <c r="M157" i="149" s="1"/>
  <c r="H157" i="149"/>
  <c r="K156" i="149"/>
  <c r="M156" i="149" s="1"/>
  <c r="O156" i="149" s="1"/>
  <c r="J156" i="149"/>
  <c r="D155" i="149"/>
  <c r="J155" i="149" s="1"/>
  <c r="K155" i="149" s="1"/>
  <c r="M155" i="149" s="1"/>
  <c r="K154" i="149"/>
  <c r="M154" i="149" s="1"/>
  <c r="J154" i="149"/>
  <c r="E154" i="149"/>
  <c r="K153" i="149"/>
  <c r="M153" i="149" s="1"/>
  <c r="J153" i="149"/>
  <c r="J152" i="149"/>
  <c r="K152" i="149" s="1"/>
  <c r="M152" i="149" s="1"/>
  <c r="J151" i="149"/>
  <c r="K151" i="149" s="1"/>
  <c r="M151" i="149" s="1"/>
  <c r="N151" i="149" s="1"/>
  <c r="M150" i="149"/>
  <c r="J150" i="149"/>
  <c r="K150" i="149" s="1"/>
  <c r="I148" i="149"/>
  <c r="H148" i="149"/>
  <c r="F148" i="149"/>
  <c r="C158" i="149" s="1"/>
  <c r="I161" i="149" s="1"/>
  <c r="E148" i="149"/>
  <c r="D148" i="149"/>
  <c r="G148" i="149" s="1"/>
  <c r="C148" i="149"/>
  <c r="I147" i="149"/>
  <c r="I146" i="149"/>
  <c r="F146" i="149"/>
  <c r="E146" i="149"/>
  <c r="B146" i="149"/>
  <c r="K145" i="149"/>
  <c r="M145" i="149" s="1"/>
  <c r="J145" i="149"/>
  <c r="F145" i="149"/>
  <c r="E145" i="149"/>
  <c r="B145" i="149"/>
  <c r="J144" i="149"/>
  <c r="F144" i="149"/>
  <c r="E144" i="149"/>
  <c r="D144" i="149"/>
  <c r="B144" i="149"/>
  <c r="I143" i="149"/>
  <c r="I145" i="149" s="1"/>
  <c r="C143" i="149"/>
  <c r="J143" i="149" s="1"/>
  <c r="K143" i="149" s="1"/>
  <c r="M143" i="149" s="1"/>
  <c r="B143" i="149"/>
  <c r="N142" i="149"/>
  <c r="K142" i="149"/>
  <c r="M142" i="149" s="1"/>
  <c r="O142" i="149" s="1"/>
  <c r="H142" i="149"/>
  <c r="G142" i="149"/>
  <c r="F142" i="149"/>
  <c r="E142" i="149"/>
  <c r="D142" i="149"/>
  <c r="J141" i="149"/>
  <c r="H141" i="149"/>
  <c r="G141" i="149"/>
  <c r="E141" i="149"/>
  <c r="D141" i="149"/>
  <c r="C141" i="149"/>
  <c r="M140" i="149"/>
  <c r="O140" i="149" s="1"/>
  <c r="K140" i="149"/>
  <c r="J140" i="149"/>
  <c r="H140" i="149"/>
  <c r="J139" i="149"/>
  <c r="K139" i="149" s="1"/>
  <c r="M139" i="149" s="1"/>
  <c r="D138" i="149"/>
  <c r="J138" i="149" s="1"/>
  <c r="K138" i="149" s="1"/>
  <c r="M138" i="149" s="1"/>
  <c r="K137" i="149"/>
  <c r="M137" i="149" s="1"/>
  <c r="J137" i="149"/>
  <c r="E137" i="149"/>
  <c r="O136" i="149"/>
  <c r="N136" i="149"/>
  <c r="M136" i="149"/>
  <c r="K136" i="149"/>
  <c r="J136" i="149"/>
  <c r="J135" i="149"/>
  <c r="K135" i="149" s="1"/>
  <c r="M135" i="149" s="1"/>
  <c r="I131" i="149"/>
  <c r="H131" i="149"/>
  <c r="F131" i="149" s="1"/>
  <c r="E131" i="149"/>
  <c r="D131" i="149"/>
  <c r="I130" i="149"/>
  <c r="F129" i="149"/>
  <c r="E129" i="149"/>
  <c r="B129" i="149"/>
  <c r="I128" i="149"/>
  <c r="J128" i="149" s="1"/>
  <c r="K128" i="149" s="1"/>
  <c r="M128" i="149" s="1"/>
  <c r="F128" i="149"/>
  <c r="E128" i="149"/>
  <c r="B128" i="149"/>
  <c r="J127" i="149"/>
  <c r="K127" i="149" s="1"/>
  <c r="M127" i="149" s="1"/>
  <c r="F127" i="149"/>
  <c r="E127" i="149"/>
  <c r="D127" i="149"/>
  <c r="B127" i="149"/>
  <c r="I126" i="149"/>
  <c r="I129" i="149" s="1"/>
  <c r="B126" i="149"/>
  <c r="H125" i="149"/>
  <c r="F125" i="149"/>
  <c r="E125" i="149"/>
  <c r="D125" i="149"/>
  <c r="H124" i="149"/>
  <c r="E124" i="149"/>
  <c r="D124" i="149"/>
  <c r="C124" i="149"/>
  <c r="F124" i="149" s="1"/>
  <c r="M123" i="149"/>
  <c r="J123" i="149"/>
  <c r="K123" i="149" s="1"/>
  <c r="H123" i="149"/>
  <c r="J122" i="149"/>
  <c r="K122" i="149" s="1"/>
  <c r="M122" i="149" s="1"/>
  <c r="J121" i="149"/>
  <c r="K121" i="149" s="1"/>
  <c r="M121" i="149" s="1"/>
  <c r="D121" i="149"/>
  <c r="J120" i="149"/>
  <c r="K120" i="149" s="1"/>
  <c r="M120" i="149" s="1"/>
  <c r="N120" i="149" s="1"/>
  <c r="E120" i="149"/>
  <c r="J119" i="149"/>
  <c r="K119" i="149" s="1"/>
  <c r="M119" i="149" s="1"/>
  <c r="O118" i="149"/>
  <c r="N118" i="149"/>
  <c r="J118" i="149"/>
  <c r="K118" i="149" s="1"/>
  <c r="M118" i="149" s="1"/>
  <c r="O117" i="149"/>
  <c r="J117" i="149"/>
  <c r="K117" i="149" s="1"/>
  <c r="M117" i="149" s="1"/>
  <c r="N117" i="149" s="1"/>
  <c r="I114" i="149"/>
  <c r="H114" i="149"/>
  <c r="C114" i="149" s="1"/>
  <c r="F114" i="149"/>
  <c r="E114" i="149"/>
  <c r="D114" i="149"/>
  <c r="G114" i="149" s="1"/>
  <c r="I113" i="149"/>
  <c r="F112" i="149"/>
  <c r="E112" i="149"/>
  <c r="B112" i="149"/>
  <c r="K111" i="149"/>
  <c r="M111" i="149" s="1"/>
  <c r="I111" i="149"/>
  <c r="J111" i="149" s="1"/>
  <c r="F111" i="149"/>
  <c r="E111" i="149"/>
  <c r="B111" i="149"/>
  <c r="F110" i="149"/>
  <c r="E110" i="149"/>
  <c r="D110" i="149"/>
  <c r="B110" i="149"/>
  <c r="I109" i="149"/>
  <c r="J110" i="149" s="1"/>
  <c r="B109" i="149"/>
  <c r="N108" i="149"/>
  <c r="K108" i="149"/>
  <c r="M108" i="149" s="1"/>
  <c r="O108" i="149" s="1"/>
  <c r="H108" i="149"/>
  <c r="G108" i="149"/>
  <c r="F108" i="149"/>
  <c r="E108" i="149"/>
  <c r="D108" i="149"/>
  <c r="J107" i="149"/>
  <c r="H107" i="149"/>
  <c r="G107" i="149"/>
  <c r="D107" i="149"/>
  <c r="N106" i="149"/>
  <c r="K106" i="149"/>
  <c r="M106" i="149" s="1"/>
  <c r="O106" i="149" s="1"/>
  <c r="J106" i="149"/>
  <c r="H106" i="149"/>
  <c r="M105" i="149"/>
  <c r="N105" i="149" s="1"/>
  <c r="K105" i="149"/>
  <c r="J105" i="149"/>
  <c r="D104" i="149"/>
  <c r="J104" i="149" s="1"/>
  <c r="K104" i="149" s="1"/>
  <c r="M104" i="149" s="1"/>
  <c r="J103" i="149"/>
  <c r="K103" i="149" s="1"/>
  <c r="M103" i="149" s="1"/>
  <c r="E103" i="149"/>
  <c r="K102" i="149"/>
  <c r="M102" i="149" s="1"/>
  <c r="J102" i="149"/>
  <c r="J101" i="149"/>
  <c r="K101" i="149" s="1"/>
  <c r="M101" i="149" s="1"/>
  <c r="I97" i="149"/>
  <c r="H97" i="149"/>
  <c r="E97" i="149"/>
  <c r="D97" i="149"/>
  <c r="C97" i="149"/>
  <c r="I96" i="149"/>
  <c r="F95" i="149"/>
  <c r="E95" i="149"/>
  <c r="B95" i="149"/>
  <c r="F94" i="149"/>
  <c r="E94" i="149"/>
  <c r="B94" i="149"/>
  <c r="F93" i="149"/>
  <c r="E93" i="149"/>
  <c r="D93" i="149"/>
  <c r="B93" i="149"/>
  <c r="J92" i="149"/>
  <c r="K92" i="149" s="1"/>
  <c r="M92" i="149" s="1"/>
  <c r="I92" i="149"/>
  <c r="E92" i="149"/>
  <c r="C92" i="149"/>
  <c r="B92" i="149"/>
  <c r="H91" i="149"/>
  <c r="G91" i="149"/>
  <c r="F91" i="149"/>
  <c r="E91" i="149"/>
  <c r="D91" i="149"/>
  <c r="K91" i="149" s="1"/>
  <c r="M91" i="149" s="1"/>
  <c r="J90" i="149"/>
  <c r="H90" i="149"/>
  <c r="D90" i="149"/>
  <c r="C90" i="149"/>
  <c r="O89" i="149"/>
  <c r="N89" i="149"/>
  <c r="M89" i="149"/>
  <c r="K89" i="149"/>
  <c r="J89" i="149"/>
  <c r="H89" i="149"/>
  <c r="J88" i="149"/>
  <c r="K88" i="149" s="1"/>
  <c r="M88" i="149" s="1"/>
  <c r="D87" i="149"/>
  <c r="J87" i="149" s="1"/>
  <c r="K87" i="149" s="1"/>
  <c r="M87" i="149" s="1"/>
  <c r="J86" i="149"/>
  <c r="K86" i="149" s="1"/>
  <c r="M86" i="149" s="1"/>
  <c r="E86" i="149"/>
  <c r="M85" i="149"/>
  <c r="K85" i="149"/>
  <c r="J85" i="149"/>
  <c r="M84" i="149"/>
  <c r="J84" i="149"/>
  <c r="K84" i="149" s="1"/>
  <c r="J83" i="149"/>
  <c r="K83" i="149" s="1"/>
  <c r="M83" i="149" s="1"/>
  <c r="J82" i="149"/>
  <c r="K82" i="149" s="1"/>
  <c r="I80" i="149"/>
  <c r="H80" i="149"/>
  <c r="F80" i="149" s="1"/>
  <c r="E80" i="149"/>
  <c r="D80" i="149"/>
  <c r="G80" i="149" s="1"/>
  <c r="C80" i="149"/>
  <c r="I79" i="149"/>
  <c r="F78" i="149"/>
  <c r="E78" i="149"/>
  <c r="B78" i="149"/>
  <c r="K77" i="149"/>
  <c r="M77" i="149" s="1"/>
  <c r="I77" i="149"/>
  <c r="J77" i="149" s="1"/>
  <c r="F77" i="149"/>
  <c r="E77" i="149"/>
  <c r="B77" i="149"/>
  <c r="J76" i="149"/>
  <c r="K76" i="149" s="1"/>
  <c r="M76" i="149" s="1"/>
  <c r="I76" i="149"/>
  <c r="F76" i="149"/>
  <c r="E76" i="149"/>
  <c r="D76" i="149"/>
  <c r="B76" i="149"/>
  <c r="I75" i="149"/>
  <c r="I78" i="149" s="1"/>
  <c r="B75" i="149"/>
  <c r="O74" i="149"/>
  <c r="N74" i="149"/>
  <c r="M74" i="149"/>
  <c r="H74" i="149"/>
  <c r="F74" i="149"/>
  <c r="E74" i="149"/>
  <c r="D74" i="149"/>
  <c r="K74" i="149" s="1"/>
  <c r="H73" i="149"/>
  <c r="D73" i="149"/>
  <c r="J72" i="149"/>
  <c r="K72" i="149" s="1"/>
  <c r="M72" i="149" s="1"/>
  <c r="H72" i="149"/>
  <c r="G72" i="149"/>
  <c r="K71" i="149"/>
  <c r="M71" i="149" s="1"/>
  <c r="J71" i="149"/>
  <c r="O70" i="149"/>
  <c r="D70" i="149"/>
  <c r="J70" i="149" s="1"/>
  <c r="K70" i="149" s="1"/>
  <c r="M70" i="149" s="1"/>
  <c r="N70" i="149" s="1"/>
  <c r="K69" i="149"/>
  <c r="M69" i="149" s="1"/>
  <c r="J69" i="149"/>
  <c r="E69" i="149"/>
  <c r="M68" i="149"/>
  <c r="J68" i="149"/>
  <c r="K68" i="149" s="1"/>
  <c r="J67" i="149"/>
  <c r="K67" i="149" s="1"/>
  <c r="M67" i="149" s="1"/>
  <c r="O67" i="149" s="1"/>
  <c r="M66" i="149"/>
  <c r="N66" i="149" s="1"/>
  <c r="J66" i="149"/>
  <c r="K66" i="149" s="1"/>
  <c r="I63" i="149"/>
  <c r="H63" i="149"/>
  <c r="C63" i="149" s="1"/>
  <c r="F63" i="149"/>
  <c r="C73" i="149" s="1"/>
  <c r="E63" i="149"/>
  <c r="D63" i="149"/>
  <c r="G63" i="149" s="1"/>
  <c r="I62" i="149"/>
  <c r="F61" i="149"/>
  <c r="E61" i="149"/>
  <c r="B61" i="149"/>
  <c r="F60" i="149"/>
  <c r="E60" i="149"/>
  <c r="B60" i="149"/>
  <c r="F59" i="149"/>
  <c r="E59" i="149"/>
  <c r="D59" i="149"/>
  <c r="B59" i="149"/>
  <c r="I58" i="149"/>
  <c r="C58" i="149"/>
  <c r="B58" i="149"/>
  <c r="O57" i="149"/>
  <c r="K57" i="149"/>
  <c r="M57" i="149" s="1"/>
  <c r="N57" i="149" s="1"/>
  <c r="H57" i="149"/>
  <c r="G57" i="149"/>
  <c r="F57" i="149"/>
  <c r="E57" i="149"/>
  <c r="D57" i="149"/>
  <c r="H56" i="149"/>
  <c r="D56" i="149"/>
  <c r="N55" i="149"/>
  <c r="K55" i="149"/>
  <c r="M55" i="149" s="1"/>
  <c r="O55" i="149" s="1"/>
  <c r="J55" i="149"/>
  <c r="H55" i="149"/>
  <c r="J54" i="149"/>
  <c r="K54" i="149" s="1"/>
  <c r="M54" i="149" s="1"/>
  <c r="N53" i="149"/>
  <c r="M53" i="149"/>
  <c r="O53" i="149" s="1"/>
  <c r="J53" i="149"/>
  <c r="K53" i="149" s="1"/>
  <c r="D53" i="149"/>
  <c r="J52" i="149"/>
  <c r="K52" i="149" s="1"/>
  <c r="M52" i="149" s="1"/>
  <c r="N52" i="149" s="1"/>
  <c r="E52" i="149"/>
  <c r="N51" i="149"/>
  <c r="K51" i="149"/>
  <c r="M51" i="149" s="1"/>
  <c r="O51" i="149" s="1"/>
  <c r="J51" i="149"/>
  <c r="M50" i="149"/>
  <c r="J50" i="149"/>
  <c r="K50" i="149" s="1"/>
  <c r="I46" i="149"/>
  <c r="H46" i="149"/>
  <c r="F46" i="149"/>
  <c r="E46" i="149"/>
  <c r="D46" i="149"/>
  <c r="C46" i="149"/>
  <c r="J49" i="149" s="1"/>
  <c r="K49" i="149" s="1"/>
  <c r="M49" i="149" s="1"/>
  <c r="I45" i="149"/>
  <c r="F44" i="149"/>
  <c r="E44" i="149"/>
  <c r="B44" i="149"/>
  <c r="F43" i="149"/>
  <c r="E43" i="149"/>
  <c r="B43" i="149"/>
  <c r="F42" i="149"/>
  <c r="E42" i="149"/>
  <c r="D42" i="149"/>
  <c r="B42" i="149"/>
  <c r="I41" i="149"/>
  <c r="B41" i="149"/>
  <c r="H40" i="149"/>
  <c r="F40" i="149"/>
  <c r="E40" i="149"/>
  <c r="D40" i="149"/>
  <c r="K40" i="149" s="1"/>
  <c r="M40" i="149" s="1"/>
  <c r="H39" i="149"/>
  <c r="D39" i="149"/>
  <c r="N38" i="149"/>
  <c r="M38" i="149"/>
  <c r="O38" i="149" s="1"/>
  <c r="K38" i="149"/>
  <c r="J38" i="149"/>
  <c r="H38" i="149"/>
  <c r="J37" i="149"/>
  <c r="K37" i="149" s="1"/>
  <c r="M37" i="149" s="1"/>
  <c r="M36" i="149"/>
  <c r="N36" i="149" s="1"/>
  <c r="D36" i="149"/>
  <c r="J36" i="149" s="1"/>
  <c r="K36" i="149" s="1"/>
  <c r="J35" i="149"/>
  <c r="K35" i="149" s="1"/>
  <c r="M35" i="149" s="1"/>
  <c r="J34" i="149"/>
  <c r="K34" i="149" s="1"/>
  <c r="M34" i="149" s="1"/>
  <c r="N34" i="149" s="1"/>
  <c r="J33" i="149"/>
  <c r="K33" i="149" s="1"/>
  <c r="M33" i="149" s="1"/>
  <c r="K32" i="149"/>
  <c r="M32" i="149" s="1"/>
  <c r="J32" i="149"/>
  <c r="I29" i="149"/>
  <c r="H29" i="149"/>
  <c r="C29" i="149" s="1"/>
  <c r="F29" i="149"/>
  <c r="C39" i="149" s="1"/>
  <c r="E29" i="149"/>
  <c r="D29" i="149"/>
  <c r="G29" i="149" s="1"/>
  <c r="I28" i="149"/>
  <c r="I27" i="149"/>
  <c r="J27" i="149" s="1"/>
  <c r="K27" i="149" s="1"/>
  <c r="M27" i="149" s="1"/>
  <c r="F27" i="149"/>
  <c r="E27" i="149"/>
  <c r="B27" i="149"/>
  <c r="F26" i="149"/>
  <c r="E26" i="149"/>
  <c r="B26" i="149"/>
  <c r="J25" i="149"/>
  <c r="F25" i="149"/>
  <c r="E25" i="149"/>
  <c r="D25" i="149"/>
  <c r="B25" i="149"/>
  <c r="I24" i="149"/>
  <c r="I26" i="149" s="1"/>
  <c r="J26" i="149" s="1"/>
  <c r="B24" i="149"/>
  <c r="H23" i="149"/>
  <c r="F23" i="149"/>
  <c r="E23" i="149"/>
  <c r="D23" i="149"/>
  <c r="H22" i="149"/>
  <c r="D22" i="149"/>
  <c r="M21" i="149"/>
  <c r="J21" i="149"/>
  <c r="K21" i="149" s="1"/>
  <c r="H21" i="149"/>
  <c r="J20" i="149"/>
  <c r="K20" i="149" s="1"/>
  <c r="M20" i="149" s="1"/>
  <c r="N19" i="149"/>
  <c r="D19" i="149"/>
  <c r="J19" i="149" s="1"/>
  <c r="K19" i="149" s="1"/>
  <c r="M19" i="149" s="1"/>
  <c r="O19" i="149" s="1"/>
  <c r="J18" i="149"/>
  <c r="K18" i="149" s="1"/>
  <c r="M18" i="149" s="1"/>
  <c r="E18" i="149"/>
  <c r="K17" i="149"/>
  <c r="M17" i="149" s="1"/>
  <c r="O17" i="149" s="1"/>
  <c r="J17" i="149"/>
  <c r="K16" i="149"/>
  <c r="M16" i="149" s="1"/>
  <c r="J16" i="149"/>
  <c r="I12" i="149"/>
  <c r="H12" i="149"/>
  <c r="E12" i="149"/>
  <c r="D12" i="149"/>
  <c r="I11" i="149"/>
  <c r="D9" i="149"/>
  <c r="O7" i="149"/>
  <c r="I7" i="149"/>
  <c r="G7" i="149"/>
  <c r="C7" i="149"/>
  <c r="I5" i="149"/>
  <c r="G5" i="149"/>
  <c r="C5" i="149"/>
  <c r="I3" i="149"/>
  <c r="G3" i="149"/>
  <c r="C3" i="149"/>
  <c r="M197" i="148"/>
  <c r="K197" i="148"/>
  <c r="N196" i="148"/>
  <c r="K196" i="148"/>
  <c r="M196" i="148" s="1"/>
  <c r="O196" i="148" s="1"/>
  <c r="K195" i="148"/>
  <c r="M195" i="148" s="1"/>
  <c r="M194" i="148"/>
  <c r="K194" i="148"/>
  <c r="O193" i="148"/>
  <c r="M193" i="148"/>
  <c r="N193" i="148" s="1"/>
  <c r="K193" i="148"/>
  <c r="N192" i="148"/>
  <c r="K192" i="148"/>
  <c r="M192" i="148" s="1"/>
  <c r="O192" i="148" s="1"/>
  <c r="K191" i="148"/>
  <c r="M191" i="148" s="1"/>
  <c r="O190" i="148"/>
  <c r="N190" i="148"/>
  <c r="M190" i="148"/>
  <c r="K190" i="148"/>
  <c r="M189" i="148"/>
  <c r="K189" i="148"/>
  <c r="C188" i="148"/>
  <c r="K188" i="148" s="1"/>
  <c r="M188" i="148" s="1"/>
  <c r="M187" i="148"/>
  <c r="K187" i="148"/>
  <c r="J186" i="148"/>
  <c r="K186" i="148" s="1"/>
  <c r="M186" i="148" s="1"/>
  <c r="K185" i="148"/>
  <c r="K182" i="148" s="1"/>
  <c r="L182" i="148" s="1"/>
  <c r="J185" i="148"/>
  <c r="M184" i="148"/>
  <c r="J184" i="148"/>
  <c r="K184" i="148" s="1"/>
  <c r="J183" i="148"/>
  <c r="K183" i="148" s="1"/>
  <c r="M183" i="148" s="1"/>
  <c r="F180" i="148"/>
  <c r="E180" i="148"/>
  <c r="B180" i="148"/>
  <c r="F179" i="148"/>
  <c r="E179" i="148"/>
  <c r="B179" i="148"/>
  <c r="K178" i="148"/>
  <c r="M178" i="148" s="1"/>
  <c r="I178" i="148"/>
  <c r="F178" i="148"/>
  <c r="E178" i="148"/>
  <c r="D178" i="148"/>
  <c r="B178" i="148"/>
  <c r="I177" i="148"/>
  <c r="J178" i="148" s="1"/>
  <c r="D177" i="148"/>
  <c r="C177" i="148"/>
  <c r="B177" i="148"/>
  <c r="H176" i="148"/>
  <c r="F176" i="148"/>
  <c r="E176" i="148"/>
  <c r="D176" i="148"/>
  <c r="J175" i="148"/>
  <c r="K175" i="148" s="1"/>
  <c r="M175" i="148" s="1"/>
  <c r="H175" i="148"/>
  <c r="G175" i="148"/>
  <c r="D175" i="148"/>
  <c r="C175" i="148"/>
  <c r="K174" i="148"/>
  <c r="M174" i="148" s="1"/>
  <c r="N174" i="148" s="1"/>
  <c r="J174" i="148"/>
  <c r="H174" i="148"/>
  <c r="G174" i="148"/>
  <c r="J173" i="148"/>
  <c r="K173" i="148" s="1"/>
  <c r="M173" i="148" s="1"/>
  <c r="D172" i="148"/>
  <c r="J172" i="148" s="1"/>
  <c r="K172" i="148" s="1"/>
  <c r="M172" i="148" s="1"/>
  <c r="J171" i="148"/>
  <c r="K171" i="148" s="1"/>
  <c r="M171" i="148" s="1"/>
  <c r="E171" i="148"/>
  <c r="K170" i="148"/>
  <c r="M170" i="148" s="1"/>
  <c r="N170" i="148" s="1"/>
  <c r="J170" i="148"/>
  <c r="E170" i="148"/>
  <c r="J169" i="148"/>
  <c r="K169" i="148" s="1"/>
  <c r="M169" i="148" s="1"/>
  <c r="E169" i="148"/>
  <c r="L165" i="148"/>
  <c r="I165" i="148"/>
  <c r="H165" i="148"/>
  <c r="F165" i="148" s="1"/>
  <c r="G165" i="148"/>
  <c r="E165" i="148"/>
  <c r="D165" i="148"/>
  <c r="I164" i="148"/>
  <c r="N163" i="148"/>
  <c r="J163" i="148"/>
  <c r="K163" i="148" s="1"/>
  <c r="M163" i="148" s="1"/>
  <c r="O163" i="148" s="1"/>
  <c r="I163" i="148"/>
  <c r="F163" i="148"/>
  <c r="E163" i="148"/>
  <c r="B163" i="148"/>
  <c r="J162" i="148"/>
  <c r="K162" i="148" s="1"/>
  <c r="M162" i="148" s="1"/>
  <c r="I162" i="148"/>
  <c r="F162" i="148"/>
  <c r="E162" i="148"/>
  <c r="B162" i="148"/>
  <c r="J161" i="148"/>
  <c r="F161" i="148"/>
  <c r="E161" i="148"/>
  <c r="D161" i="148"/>
  <c r="B161" i="148"/>
  <c r="I160" i="148"/>
  <c r="C160" i="148"/>
  <c r="B160" i="148"/>
  <c r="H159" i="148"/>
  <c r="F159" i="148"/>
  <c r="E159" i="148"/>
  <c r="D159" i="148"/>
  <c r="J158" i="148"/>
  <c r="H158" i="148"/>
  <c r="D158" i="148"/>
  <c r="G158" i="148" s="1"/>
  <c r="K157" i="148"/>
  <c r="M157" i="148" s="1"/>
  <c r="N157" i="148" s="1"/>
  <c r="J157" i="148"/>
  <c r="H157" i="148"/>
  <c r="G157" i="148"/>
  <c r="J156" i="148"/>
  <c r="K156" i="148" s="1"/>
  <c r="M156" i="148" s="1"/>
  <c r="O155" i="148"/>
  <c r="J155" i="148"/>
  <c r="K155" i="148" s="1"/>
  <c r="M155" i="148" s="1"/>
  <c r="N155" i="148" s="1"/>
  <c r="D155" i="148"/>
  <c r="J154" i="148"/>
  <c r="K154" i="148" s="1"/>
  <c r="M154" i="148" s="1"/>
  <c r="E154" i="148"/>
  <c r="K153" i="148"/>
  <c r="M153" i="148" s="1"/>
  <c r="N153" i="148" s="1"/>
  <c r="J153" i="148"/>
  <c r="E153" i="148"/>
  <c r="J152" i="148"/>
  <c r="K152" i="148" s="1"/>
  <c r="M152" i="148" s="1"/>
  <c r="E152" i="148"/>
  <c r="I148" i="148"/>
  <c r="H148" i="148"/>
  <c r="C148" i="148" s="1"/>
  <c r="F148" i="148"/>
  <c r="E148" i="148"/>
  <c r="D148" i="148"/>
  <c r="I147" i="148"/>
  <c r="I146" i="148"/>
  <c r="J146" i="148" s="1"/>
  <c r="K146" i="148" s="1"/>
  <c r="M146" i="148" s="1"/>
  <c r="F146" i="148"/>
  <c r="E146" i="148"/>
  <c r="B146" i="148"/>
  <c r="I145" i="148"/>
  <c r="J145" i="148" s="1"/>
  <c r="K145" i="148" s="1"/>
  <c r="M145" i="148" s="1"/>
  <c r="F145" i="148"/>
  <c r="E145" i="148"/>
  <c r="B145" i="148"/>
  <c r="J144" i="148"/>
  <c r="F144" i="148"/>
  <c r="E144" i="148"/>
  <c r="D144" i="148"/>
  <c r="B144" i="148"/>
  <c r="I143" i="148"/>
  <c r="B143" i="148"/>
  <c r="M142" i="148"/>
  <c r="J142" i="148"/>
  <c r="K142" i="148" s="1"/>
  <c r="H142" i="148"/>
  <c r="F142" i="148"/>
  <c r="E142" i="148"/>
  <c r="D142" i="148"/>
  <c r="G142" i="148" s="1"/>
  <c r="J141" i="148"/>
  <c r="H141" i="148"/>
  <c r="G141" i="148"/>
  <c r="D141" i="148"/>
  <c r="N140" i="148"/>
  <c r="M140" i="148"/>
  <c r="O140" i="148" s="1"/>
  <c r="K140" i="148"/>
  <c r="J140" i="148"/>
  <c r="H140" i="148"/>
  <c r="G140" i="148"/>
  <c r="J139" i="148"/>
  <c r="K139" i="148" s="1"/>
  <c r="M139" i="148" s="1"/>
  <c r="N139" i="148" s="1"/>
  <c r="D138" i="148"/>
  <c r="J138" i="148" s="1"/>
  <c r="K138" i="148" s="1"/>
  <c r="M138" i="148" s="1"/>
  <c r="J137" i="148"/>
  <c r="K137" i="148" s="1"/>
  <c r="M137" i="148" s="1"/>
  <c r="E137" i="148"/>
  <c r="M136" i="148"/>
  <c r="J136" i="148"/>
  <c r="K136" i="148" s="1"/>
  <c r="E136" i="148"/>
  <c r="O135" i="148"/>
  <c r="N135" i="148"/>
  <c r="J135" i="148"/>
  <c r="K135" i="148" s="1"/>
  <c r="M135" i="148" s="1"/>
  <c r="E135" i="148"/>
  <c r="I131" i="148"/>
  <c r="H131" i="148"/>
  <c r="E131" i="148"/>
  <c r="D131" i="148"/>
  <c r="I130" i="148"/>
  <c r="K129" i="148"/>
  <c r="M129" i="148" s="1"/>
  <c r="J129" i="148"/>
  <c r="I129" i="148"/>
  <c r="F129" i="148"/>
  <c r="E129" i="148"/>
  <c r="B129" i="148"/>
  <c r="I128" i="148"/>
  <c r="J128" i="148" s="1"/>
  <c r="K128" i="148" s="1"/>
  <c r="M128" i="148" s="1"/>
  <c r="F128" i="148"/>
  <c r="E128" i="148"/>
  <c r="B128" i="148"/>
  <c r="J127" i="148"/>
  <c r="F127" i="148"/>
  <c r="E127" i="148"/>
  <c r="D127" i="148"/>
  <c r="B127" i="148"/>
  <c r="I126" i="148"/>
  <c r="C126" i="148"/>
  <c r="B126" i="148"/>
  <c r="J125" i="148"/>
  <c r="K125" i="148" s="1"/>
  <c r="M125" i="148" s="1"/>
  <c r="O125" i="148" s="1"/>
  <c r="H125" i="148"/>
  <c r="F125" i="148"/>
  <c r="E125" i="148"/>
  <c r="D125" i="148"/>
  <c r="G125" i="148" s="1"/>
  <c r="J124" i="148"/>
  <c r="H124" i="148"/>
  <c r="G124" i="148"/>
  <c r="D124" i="148"/>
  <c r="J123" i="148"/>
  <c r="K123" i="148" s="1"/>
  <c r="M123" i="148" s="1"/>
  <c r="H123" i="148"/>
  <c r="G123" i="148"/>
  <c r="O122" i="148"/>
  <c r="N122" i="148"/>
  <c r="J122" i="148"/>
  <c r="K122" i="148" s="1"/>
  <c r="M122" i="148" s="1"/>
  <c r="K121" i="148"/>
  <c r="M121" i="148" s="1"/>
  <c r="D121" i="148"/>
  <c r="J121" i="148" s="1"/>
  <c r="M120" i="148"/>
  <c r="O120" i="148" s="1"/>
  <c r="J120" i="148"/>
  <c r="K120" i="148" s="1"/>
  <c r="E120" i="148"/>
  <c r="N119" i="148"/>
  <c r="J119" i="148"/>
  <c r="K119" i="148" s="1"/>
  <c r="M119" i="148" s="1"/>
  <c r="O119" i="148" s="1"/>
  <c r="E119" i="148"/>
  <c r="J118" i="148"/>
  <c r="K118" i="148" s="1"/>
  <c r="M118" i="148" s="1"/>
  <c r="E118" i="148"/>
  <c r="I114" i="148"/>
  <c r="H114" i="148"/>
  <c r="C114" i="148" s="1"/>
  <c r="J117" i="148" s="1"/>
  <c r="K117" i="148" s="1"/>
  <c r="M117" i="148" s="1"/>
  <c r="F114" i="148"/>
  <c r="E114" i="148"/>
  <c r="D114" i="148"/>
  <c r="I113" i="148"/>
  <c r="F112" i="148"/>
  <c r="E112" i="148"/>
  <c r="B112" i="148"/>
  <c r="F111" i="148"/>
  <c r="E111" i="148"/>
  <c r="B111" i="148"/>
  <c r="F110" i="148"/>
  <c r="E110" i="148"/>
  <c r="D110" i="148"/>
  <c r="B110" i="148"/>
  <c r="I109" i="148"/>
  <c r="C109" i="148"/>
  <c r="B109" i="148"/>
  <c r="J108" i="148"/>
  <c r="K108" i="148" s="1"/>
  <c r="M108" i="148" s="1"/>
  <c r="H108" i="148"/>
  <c r="G108" i="148"/>
  <c r="F108" i="148"/>
  <c r="E108" i="148"/>
  <c r="D108" i="148"/>
  <c r="J107" i="148"/>
  <c r="H107" i="148"/>
  <c r="G107" i="148"/>
  <c r="D107" i="148"/>
  <c r="K106" i="148"/>
  <c r="M106" i="148" s="1"/>
  <c r="J106" i="148"/>
  <c r="H106" i="148"/>
  <c r="G106" i="148"/>
  <c r="J105" i="148"/>
  <c r="K105" i="148" s="1"/>
  <c r="M105" i="148" s="1"/>
  <c r="N105" i="148" s="1"/>
  <c r="J104" i="148"/>
  <c r="K104" i="148" s="1"/>
  <c r="M104" i="148" s="1"/>
  <c r="O104" i="148" s="1"/>
  <c r="D104" i="148"/>
  <c r="K103" i="148"/>
  <c r="M103" i="148" s="1"/>
  <c r="N103" i="148" s="1"/>
  <c r="J103" i="148"/>
  <c r="E103" i="148"/>
  <c r="M102" i="148"/>
  <c r="J102" i="148"/>
  <c r="K102" i="148" s="1"/>
  <c r="E102" i="148"/>
  <c r="O101" i="148"/>
  <c r="N101" i="148"/>
  <c r="M101" i="148"/>
  <c r="K101" i="148"/>
  <c r="J101" i="148"/>
  <c r="E101" i="148"/>
  <c r="I97" i="148"/>
  <c r="H97" i="148"/>
  <c r="F97" i="148"/>
  <c r="C107" i="148" s="1"/>
  <c r="E97" i="148"/>
  <c r="D97" i="148"/>
  <c r="C97" i="148"/>
  <c r="I96" i="148"/>
  <c r="F95" i="148"/>
  <c r="E95" i="148"/>
  <c r="B95" i="148"/>
  <c r="F94" i="148"/>
  <c r="E94" i="148"/>
  <c r="B94" i="148"/>
  <c r="F93" i="148"/>
  <c r="E93" i="148"/>
  <c r="D93" i="148"/>
  <c r="B93" i="148"/>
  <c r="I92" i="148"/>
  <c r="B92" i="148"/>
  <c r="N91" i="148"/>
  <c r="J91" i="148"/>
  <c r="K91" i="148" s="1"/>
  <c r="M91" i="148" s="1"/>
  <c r="O91" i="148" s="1"/>
  <c r="H91" i="148"/>
  <c r="G91" i="148"/>
  <c r="F91" i="148"/>
  <c r="E91" i="148"/>
  <c r="D91" i="148"/>
  <c r="J90" i="148"/>
  <c r="H90" i="148"/>
  <c r="E90" i="148"/>
  <c r="D90" i="148"/>
  <c r="J89" i="148"/>
  <c r="K89" i="148" s="1"/>
  <c r="M89" i="148" s="1"/>
  <c r="H89" i="148"/>
  <c r="N88" i="148"/>
  <c r="K88" i="148"/>
  <c r="M88" i="148" s="1"/>
  <c r="O88" i="148" s="1"/>
  <c r="J88" i="148"/>
  <c r="K87" i="148"/>
  <c r="M87" i="148" s="1"/>
  <c r="J87" i="148"/>
  <c r="D87" i="148"/>
  <c r="J86" i="148"/>
  <c r="K86" i="148" s="1"/>
  <c r="M86" i="148" s="1"/>
  <c r="N86" i="148" s="1"/>
  <c r="E86" i="148"/>
  <c r="K85" i="148"/>
  <c r="M85" i="148" s="1"/>
  <c r="J85" i="148"/>
  <c r="E85" i="148"/>
  <c r="M84" i="148"/>
  <c r="J84" i="148"/>
  <c r="K84" i="148" s="1"/>
  <c r="E84" i="148"/>
  <c r="M83" i="148"/>
  <c r="I80" i="148"/>
  <c r="H80" i="148"/>
  <c r="C92" i="148" s="1"/>
  <c r="F80" i="148"/>
  <c r="C90" i="148" s="1"/>
  <c r="I93" i="148" s="1"/>
  <c r="E80" i="148"/>
  <c r="D80" i="148"/>
  <c r="C80" i="148"/>
  <c r="I79" i="148"/>
  <c r="O78" i="148"/>
  <c r="J78" i="148"/>
  <c r="K78" i="148" s="1"/>
  <c r="M78" i="148" s="1"/>
  <c r="N78" i="148" s="1"/>
  <c r="I78" i="148"/>
  <c r="F78" i="148"/>
  <c r="E78" i="148"/>
  <c r="B78" i="148"/>
  <c r="N77" i="148"/>
  <c r="K77" i="148"/>
  <c r="M77" i="148" s="1"/>
  <c r="O77" i="148" s="1"/>
  <c r="F77" i="148"/>
  <c r="E77" i="148"/>
  <c r="B77" i="148"/>
  <c r="J76" i="148"/>
  <c r="K76" i="148" s="1"/>
  <c r="M76" i="148" s="1"/>
  <c r="F76" i="148"/>
  <c r="E76" i="148"/>
  <c r="D76" i="148"/>
  <c r="B76" i="148"/>
  <c r="O75" i="148"/>
  <c r="N75" i="148"/>
  <c r="J75" i="148"/>
  <c r="K75" i="148" s="1"/>
  <c r="M75" i="148" s="1"/>
  <c r="I75" i="148"/>
  <c r="I77" i="148" s="1"/>
  <c r="J77" i="148" s="1"/>
  <c r="F75" i="148"/>
  <c r="E75" i="148"/>
  <c r="D75" i="148"/>
  <c r="B75" i="148"/>
  <c r="M74" i="148"/>
  <c r="K74" i="148"/>
  <c r="J74" i="148"/>
  <c r="H74" i="148"/>
  <c r="F74" i="148"/>
  <c r="E74" i="148"/>
  <c r="D74" i="148"/>
  <c r="G74" i="148" s="1"/>
  <c r="J73" i="148"/>
  <c r="H73" i="148"/>
  <c r="D73" i="148"/>
  <c r="J72" i="148"/>
  <c r="K72" i="148" s="1"/>
  <c r="M72" i="148" s="1"/>
  <c r="H72" i="148"/>
  <c r="J71" i="148"/>
  <c r="K71" i="148" s="1"/>
  <c r="M71" i="148" s="1"/>
  <c r="O71" i="148" s="1"/>
  <c r="J70" i="148"/>
  <c r="K70" i="148" s="1"/>
  <c r="M70" i="148" s="1"/>
  <c r="N70" i="148" s="1"/>
  <c r="D70" i="148"/>
  <c r="N69" i="148"/>
  <c r="J69" i="148"/>
  <c r="K69" i="148" s="1"/>
  <c r="M69" i="148" s="1"/>
  <c r="O69" i="148" s="1"/>
  <c r="E69" i="148"/>
  <c r="J68" i="148"/>
  <c r="K68" i="148" s="1"/>
  <c r="M68" i="148" s="1"/>
  <c r="N68" i="148" s="1"/>
  <c r="E68" i="148"/>
  <c r="O67" i="148"/>
  <c r="N67" i="148"/>
  <c r="J67" i="148"/>
  <c r="K67" i="148" s="1"/>
  <c r="M67" i="148" s="1"/>
  <c r="E67" i="148"/>
  <c r="K65" i="148"/>
  <c r="J65" i="148"/>
  <c r="I63" i="148"/>
  <c r="H63" i="148"/>
  <c r="C75" i="148" s="1"/>
  <c r="F63" i="148"/>
  <c r="C73" i="148" s="1"/>
  <c r="I76" i="148" s="1"/>
  <c r="E63" i="148"/>
  <c r="D63" i="148"/>
  <c r="G63" i="148" s="1"/>
  <c r="C63" i="148"/>
  <c r="J66" i="148" s="1"/>
  <c r="K66" i="148" s="1"/>
  <c r="M66" i="148" s="1"/>
  <c r="I62" i="148"/>
  <c r="F61" i="148"/>
  <c r="E61" i="148"/>
  <c r="B61" i="148"/>
  <c r="J60" i="148"/>
  <c r="F60" i="148"/>
  <c r="E60" i="148"/>
  <c r="B60" i="148"/>
  <c r="J59" i="148"/>
  <c r="F59" i="148"/>
  <c r="E59" i="148"/>
  <c r="D59" i="148"/>
  <c r="B59" i="148"/>
  <c r="I58" i="148"/>
  <c r="I60" i="148" s="1"/>
  <c r="B58" i="148"/>
  <c r="H57" i="148"/>
  <c r="F57" i="148"/>
  <c r="E57" i="148"/>
  <c r="D57" i="148"/>
  <c r="J56" i="148"/>
  <c r="H56" i="148"/>
  <c r="D56" i="148"/>
  <c r="J55" i="148"/>
  <c r="K55" i="148" s="1"/>
  <c r="M55" i="148" s="1"/>
  <c r="H55" i="148"/>
  <c r="M54" i="148"/>
  <c r="O54" i="148" s="1"/>
  <c r="K54" i="148"/>
  <c r="J54" i="148"/>
  <c r="D53" i="148"/>
  <c r="J53" i="148" s="1"/>
  <c r="K53" i="148" s="1"/>
  <c r="M53" i="148" s="1"/>
  <c r="N53" i="148" s="1"/>
  <c r="J52" i="148"/>
  <c r="K52" i="148" s="1"/>
  <c r="M52" i="148" s="1"/>
  <c r="E52" i="148"/>
  <c r="J51" i="148"/>
  <c r="K51" i="148" s="1"/>
  <c r="M51" i="148" s="1"/>
  <c r="E51" i="148"/>
  <c r="J50" i="148"/>
  <c r="K50" i="148" s="1"/>
  <c r="M50" i="148" s="1"/>
  <c r="E50" i="148"/>
  <c r="I46" i="148"/>
  <c r="H46" i="148"/>
  <c r="E46" i="148"/>
  <c r="D46" i="148"/>
  <c r="I45" i="148"/>
  <c r="I44" i="148"/>
  <c r="F44" i="148"/>
  <c r="E44" i="148"/>
  <c r="B44" i="148"/>
  <c r="N43" i="148"/>
  <c r="I43" i="148"/>
  <c r="J43" i="148" s="1"/>
  <c r="K43" i="148" s="1"/>
  <c r="M43" i="148" s="1"/>
  <c r="O43" i="148" s="1"/>
  <c r="F43" i="148"/>
  <c r="E43" i="148"/>
  <c r="B43" i="148"/>
  <c r="J42" i="148"/>
  <c r="K42" i="148" s="1"/>
  <c r="M42" i="148" s="1"/>
  <c r="O42" i="148" s="1"/>
  <c r="F42" i="148"/>
  <c r="E42" i="148"/>
  <c r="D42" i="148"/>
  <c r="B42" i="148"/>
  <c r="I41" i="148"/>
  <c r="B41" i="148"/>
  <c r="K40" i="148"/>
  <c r="M40" i="148" s="1"/>
  <c r="J40" i="148"/>
  <c r="H40" i="148"/>
  <c r="F40" i="148"/>
  <c r="E40" i="148"/>
  <c r="D40" i="148"/>
  <c r="G40" i="148" s="1"/>
  <c r="H39" i="148"/>
  <c r="G39" i="148"/>
  <c r="D39" i="148"/>
  <c r="J38" i="148"/>
  <c r="K38" i="148" s="1"/>
  <c r="M38" i="148" s="1"/>
  <c r="H38" i="148"/>
  <c r="G38" i="148"/>
  <c r="K37" i="148"/>
  <c r="M37" i="148" s="1"/>
  <c r="N37" i="148" s="1"/>
  <c r="J37" i="148"/>
  <c r="D36" i="148"/>
  <c r="J36" i="148" s="1"/>
  <c r="K36" i="148" s="1"/>
  <c r="M36" i="148" s="1"/>
  <c r="N35" i="148"/>
  <c r="J35" i="148"/>
  <c r="K35" i="148" s="1"/>
  <c r="M35" i="148" s="1"/>
  <c r="O35" i="148" s="1"/>
  <c r="K34" i="148"/>
  <c r="M34" i="148" s="1"/>
  <c r="J34" i="148"/>
  <c r="E34" i="148"/>
  <c r="O33" i="148"/>
  <c r="M33" i="148"/>
  <c r="N33" i="148" s="1"/>
  <c r="K33" i="148"/>
  <c r="J33" i="148"/>
  <c r="E33" i="148"/>
  <c r="I29" i="148"/>
  <c r="H29" i="148"/>
  <c r="C29" i="148" s="1"/>
  <c r="F29" i="148"/>
  <c r="C39" i="148" s="1"/>
  <c r="E29" i="148"/>
  <c r="D29" i="148"/>
  <c r="I28" i="148"/>
  <c r="F27" i="148"/>
  <c r="E27" i="148"/>
  <c r="B27" i="148"/>
  <c r="F26" i="148"/>
  <c r="E26" i="148"/>
  <c r="B26" i="148"/>
  <c r="F25" i="148"/>
  <c r="E25" i="148"/>
  <c r="D25" i="148"/>
  <c r="B25" i="148"/>
  <c r="I24" i="148"/>
  <c r="B24" i="148"/>
  <c r="H23" i="148"/>
  <c r="G23" i="148"/>
  <c r="F23" i="148"/>
  <c r="E23" i="148"/>
  <c r="D23" i="148"/>
  <c r="H22" i="148"/>
  <c r="G22" i="148"/>
  <c r="D22" i="148"/>
  <c r="J22" i="148" s="1"/>
  <c r="J21" i="148"/>
  <c r="K21" i="148" s="1"/>
  <c r="M21" i="148" s="1"/>
  <c r="N21" i="148" s="1"/>
  <c r="H21" i="148"/>
  <c r="G21" i="148"/>
  <c r="N20" i="148"/>
  <c r="M20" i="148"/>
  <c r="O20" i="148" s="1"/>
  <c r="K20" i="148"/>
  <c r="J20" i="148"/>
  <c r="O19" i="148"/>
  <c r="J19" i="148"/>
  <c r="K19" i="148" s="1"/>
  <c r="M19" i="148" s="1"/>
  <c r="N19" i="148" s="1"/>
  <c r="D19" i="148"/>
  <c r="K18" i="148"/>
  <c r="M18" i="148" s="1"/>
  <c r="J18" i="148"/>
  <c r="E18" i="148"/>
  <c r="O17" i="148"/>
  <c r="J17" i="148"/>
  <c r="K17" i="148" s="1"/>
  <c r="M17" i="148" s="1"/>
  <c r="N17" i="148" s="1"/>
  <c r="E17" i="148"/>
  <c r="M16" i="148"/>
  <c r="O16" i="148" s="1"/>
  <c r="K16" i="148"/>
  <c r="J16" i="148"/>
  <c r="E16" i="148"/>
  <c r="I12" i="148"/>
  <c r="H12" i="148"/>
  <c r="E12" i="148"/>
  <c r="D12" i="148"/>
  <c r="I11" i="148"/>
  <c r="D9" i="148"/>
  <c r="M47" i="147"/>
  <c r="K47" i="147"/>
  <c r="K46" i="147"/>
  <c r="M46" i="147" s="1"/>
  <c r="N46" i="147" s="1"/>
  <c r="K45" i="147"/>
  <c r="M45" i="147" s="1"/>
  <c r="M44" i="147"/>
  <c r="N44" i="147" s="1"/>
  <c r="K44" i="147"/>
  <c r="K43" i="147"/>
  <c r="M43" i="147" s="1"/>
  <c r="O43" i="147" s="1"/>
  <c r="K42" i="147"/>
  <c r="M42" i="147" s="1"/>
  <c r="K41" i="147"/>
  <c r="M41" i="147" s="1"/>
  <c r="O40" i="147"/>
  <c r="N40" i="147"/>
  <c r="K40" i="147"/>
  <c r="M40" i="147" s="1"/>
  <c r="K39" i="147"/>
  <c r="M39" i="147" s="1"/>
  <c r="J39" i="147"/>
  <c r="J38" i="147"/>
  <c r="K38" i="147" s="1"/>
  <c r="N37" i="147"/>
  <c r="J37" i="147"/>
  <c r="K37" i="147" s="1"/>
  <c r="M37" i="147" s="1"/>
  <c r="O33" i="147"/>
  <c r="N33" i="147"/>
  <c r="K33" i="147"/>
  <c r="M33" i="147" s="1"/>
  <c r="K32" i="147"/>
  <c r="M32" i="147" s="1"/>
  <c r="M31" i="147"/>
  <c r="K31" i="147"/>
  <c r="K30" i="147"/>
  <c r="M30" i="147" s="1"/>
  <c r="O30" i="147" s="1"/>
  <c r="K29" i="147"/>
  <c r="M29" i="147" s="1"/>
  <c r="M28" i="147"/>
  <c r="N28" i="147" s="1"/>
  <c r="K28" i="147"/>
  <c r="K27" i="147"/>
  <c r="M27" i="147" s="1"/>
  <c r="O27" i="147" s="1"/>
  <c r="K26" i="147"/>
  <c r="M26" i="147" s="1"/>
  <c r="K25" i="147"/>
  <c r="M25" i="147" s="1"/>
  <c r="O24" i="147"/>
  <c r="N24" i="147"/>
  <c r="K24" i="147"/>
  <c r="M24" i="147" s="1"/>
  <c r="K23" i="147"/>
  <c r="M23" i="147" s="1"/>
  <c r="K22" i="147"/>
  <c r="M22" i="147" s="1"/>
  <c r="N21" i="147"/>
  <c r="K21" i="147"/>
  <c r="M21" i="147" s="1"/>
  <c r="O21" i="147" s="1"/>
  <c r="K20" i="147"/>
  <c r="M20" i="147" s="1"/>
  <c r="O19" i="147"/>
  <c r="N19" i="147"/>
  <c r="M19" i="147"/>
  <c r="K19" i="147"/>
  <c r="O18" i="147"/>
  <c r="N18" i="147"/>
  <c r="K18" i="147"/>
  <c r="M18" i="147" s="1"/>
  <c r="K17" i="147"/>
  <c r="M17" i="147" s="1"/>
  <c r="N16" i="147"/>
  <c r="M16" i="147"/>
  <c r="O16" i="147" s="1"/>
  <c r="K16" i="147"/>
  <c r="O15" i="147"/>
  <c r="N15" i="147"/>
  <c r="K15" i="147"/>
  <c r="M15" i="147" s="1"/>
  <c r="K14" i="147"/>
  <c r="M14" i="147" s="1"/>
  <c r="I12" i="147"/>
  <c r="G12" i="147" s="1"/>
  <c r="H12" i="147" s="1"/>
  <c r="E12" i="147"/>
  <c r="E9" i="147"/>
  <c r="O7" i="147"/>
  <c r="H7" i="147"/>
  <c r="D7" i="147"/>
  <c r="H5" i="147"/>
  <c r="D5" i="147"/>
  <c r="H3" i="147"/>
  <c r="D3" i="147"/>
  <c r="K48" i="146"/>
  <c r="M48" i="146" s="1"/>
  <c r="O47" i="146"/>
  <c r="M47" i="146"/>
  <c r="N47" i="146" s="1"/>
  <c r="K47" i="146"/>
  <c r="K46" i="146"/>
  <c r="M46" i="146" s="1"/>
  <c r="O46" i="146" s="1"/>
  <c r="M45" i="146"/>
  <c r="K45" i="146"/>
  <c r="K44" i="146"/>
  <c r="M44" i="146" s="1"/>
  <c r="K43" i="146"/>
  <c r="M43" i="146" s="1"/>
  <c r="O43" i="146" s="1"/>
  <c r="K42" i="146"/>
  <c r="M42" i="146" s="1"/>
  <c r="N41" i="146"/>
  <c r="M41" i="146"/>
  <c r="O41" i="146" s="1"/>
  <c r="K41" i="146"/>
  <c r="J40" i="146"/>
  <c r="K40" i="146" s="1"/>
  <c r="M40" i="146" s="1"/>
  <c r="O40" i="146" s="1"/>
  <c r="O39" i="146"/>
  <c r="M39" i="146"/>
  <c r="N39" i="146" s="1"/>
  <c r="K39" i="146"/>
  <c r="J39" i="146"/>
  <c r="K38" i="146"/>
  <c r="M38" i="146" s="1"/>
  <c r="J38" i="146"/>
  <c r="O34" i="146"/>
  <c r="N34" i="146"/>
  <c r="M34" i="146"/>
  <c r="K34" i="146"/>
  <c r="K33" i="146"/>
  <c r="M33" i="146" s="1"/>
  <c r="O33" i="146" s="1"/>
  <c r="O32" i="146"/>
  <c r="K32" i="146"/>
  <c r="M32" i="146" s="1"/>
  <c r="N32" i="146" s="1"/>
  <c r="K31" i="146"/>
  <c r="M31" i="146" s="1"/>
  <c r="O31" i="146" s="1"/>
  <c r="N30" i="146"/>
  <c r="K30" i="146"/>
  <c r="M30" i="146" s="1"/>
  <c r="O30" i="146" s="1"/>
  <c r="M29" i="146"/>
  <c r="K29" i="146"/>
  <c r="K28" i="146"/>
  <c r="M28" i="146" s="1"/>
  <c r="K27" i="146"/>
  <c r="M27" i="146" s="1"/>
  <c r="O27" i="146" s="1"/>
  <c r="K26" i="146"/>
  <c r="M26" i="146" s="1"/>
  <c r="K25" i="146"/>
  <c r="M25" i="146" s="1"/>
  <c r="N25" i="146" s="1"/>
  <c r="K24" i="146"/>
  <c r="M24" i="146" s="1"/>
  <c r="O23" i="146"/>
  <c r="N23" i="146"/>
  <c r="M23" i="146"/>
  <c r="K23" i="146"/>
  <c r="M22" i="146"/>
  <c r="K22" i="146"/>
  <c r="K21" i="146"/>
  <c r="M21" i="146" s="1"/>
  <c r="O21" i="146" s="1"/>
  <c r="K20" i="146"/>
  <c r="M20" i="146" s="1"/>
  <c r="O20" i="146" s="1"/>
  <c r="K18" i="146"/>
  <c r="M18" i="146" s="1"/>
  <c r="N17" i="146"/>
  <c r="K17" i="146"/>
  <c r="M17" i="146" s="1"/>
  <c r="O17" i="146" s="1"/>
  <c r="K16" i="146"/>
  <c r="O15" i="146"/>
  <c r="N15" i="146"/>
  <c r="M15" i="146"/>
  <c r="K15" i="146"/>
  <c r="K14" i="146"/>
  <c r="M14" i="146" s="1"/>
  <c r="O14" i="146" s="1"/>
  <c r="L12" i="146"/>
  <c r="I12" i="146"/>
  <c r="G12" i="146" s="1"/>
  <c r="H12" i="146" s="1"/>
  <c r="E12" i="146"/>
  <c r="E9" i="146"/>
  <c r="O7" i="146"/>
  <c r="H7" i="146"/>
  <c r="D7" i="146"/>
  <c r="H5" i="146"/>
  <c r="D5" i="146"/>
  <c r="H3" i="146"/>
  <c r="D3" i="146"/>
  <c r="J102" i="145"/>
  <c r="I102" i="145"/>
  <c r="K102" i="145" s="1"/>
  <c r="G102" i="145"/>
  <c r="F101" i="145"/>
  <c r="G101" i="145" s="1"/>
  <c r="I101" i="145" s="1"/>
  <c r="F100" i="145"/>
  <c r="G100" i="145" s="1"/>
  <c r="I100" i="145" s="1"/>
  <c r="J99" i="145"/>
  <c r="I99" i="145"/>
  <c r="K99" i="145" s="1"/>
  <c r="G99" i="145"/>
  <c r="G98" i="145"/>
  <c r="I98" i="145" s="1"/>
  <c r="F97" i="145"/>
  <c r="G97" i="145" s="1"/>
  <c r="I97" i="145" s="1"/>
  <c r="J96" i="145"/>
  <c r="I96" i="145"/>
  <c r="K96" i="145" s="1"/>
  <c r="G96" i="145"/>
  <c r="G95" i="145" s="1"/>
  <c r="H95" i="145" s="1"/>
  <c r="F96" i="145"/>
  <c r="G93" i="145"/>
  <c r="I93" i="145" s="1"/>
  <c r="F93" i="145"/>
  <c r="F92" i="145"/>
  <c r="G92" i="145" s="1"/>
  <c r="I92" i="145" s="1"/>
  <c r="F91" i="145"/>
  <c r="G91" i="145" s="1"/>
  <c r="I91" i="145" s="1"/>
  <c r="J90" i="145"/>
  <c r="I90" i="145"/>
  <c r="K90" i="145" s="1"/>
  <c r="F90" i="145"/>
  <c r="G90" i="145" s="1"/>
  <c r="F89" i="145"/>
  <c r="G89" i="145" s="1"/>
  <c r="I89" i="145" s="1"/>
  <c r="F88" i="145"/>
  <c r="G88" i="145" s="1"/>
  <c r="I88" i="145" s="1"/>
  <c r="F87" i="145"/>
  <c r="G87" i="145" s="1"/>
  <c r="I87" i="145" s="1"/>
  <c r="K86" i="145"/>
  <c r="I86" i="145"/>
  <c r="J86" i="145" s="1"/>
  <c r="G86" i="145"/>
  <c r="F86" i="145"/>
  <c r="G85" i="145"/>
  <c r="F85" i="145"/>
  <c r="G82" i="145"/>
  <c r="I82" i="145" s="1"/>
  <c r="F82" i="145"/>
  <c r="F81" i="145"/>
  <c r="G81" i="145" s="1"/>
  <c r="I81" i="145" s="1"/>
  <c r="J81" i="145" s="1"/>
  <c r="K80" i="145"/>
  <c r="I80" i="145"/>
  <c r="J80" i="145" s="1"/>
  <c r="G80" i="145"/>
  <c r="F80" i="145"/>
  <c r="G79" i="145"/>
  <c r="I79" i="145" s="1"/>
  <c r="F79" i="145"/>
  <c r="G78" i="145"/>
  <c r="I78" i="145" s="1"/>
  <c r="F78" i="145"/>
  <c r="F77" i="145"/>
  <c r="G77" i="145" s="1"/>
  <c r="I77" i="145" s="1"/>
  <c r="F76" i="145"/>
  <c r="G76" i="145" s="1"/>
  <c r="I76" i="145" s="1"/>
  <c r="K76" i="145" s="1"/>
  <c r="J75" i="145"/>
  <c r="G75" i="145"/>
  <c r="I75" i="145" s="1"/>
  <c r="K75" i="145" s="1"/>
  <c r="F75" i="145"/>
  <c r="F74" i="145"/>
  <c r="G74" i="145" s="1"/>
  <c r="I74" i="145" s="1"/>
  <c r="F73" i="145"/>
  <c r="G73" i="145" s="1"/>
  <c r="I73" i="145" s="1"/>
  <c r="K72" i="145"/>
  <c r="J72" i="145"/>
  <c r="G72" i="145"/>
  <c r="I72" i="145" s="1"/>
  <c r="F72" i="145"/>
  <c r="I71" i="145"/>
  <c r="G71" i="145"/>
  <c r="F71" i="145"/>
  <c r="I70" i="145"/>
  <c r="F68" i="145"/>
  <c r="G68" i="145" s="1"/>
  <c r="I68" i="145" s="1"/>
  <c r="K67" i="145"/>
  <c r="F67" i="145"/>
  <c r="G67" i="145" s="1"/>
  <c r="I67" i="145" s="1"/>
  <c r="J67" i="145" s="1"/>
  <c r="K66" i="145"/>
  <c r="G66" i="145"/>
  <c r="I66" i="145" s="1"/>
  <c r="J66" i="145" s="1"/>
  <c r="F66" i="145"/>
  <c r="G65" i="145"/>
  <c r="I65" i="145" s="1"/>
  <c r="F65" i="145"/>
  <c r="F64" i="145"/>
  <c r="G64" i="145" s="1"/>
  <c r="I64" i="145" s="1"/>
  <c r="F63" i="145"/>
  <c r="G63" i="145" s="1"/>
  <c r="I63" i="145" s="1"/>
  <c r="F62" i="145"/>
  <c r="G62" i="145" s="1"/>
  <c r="I62" i="145" s="1"/>
  <c r="F61" i="145"/>
  <c r="G61" i="145" s="1"/>
  <c r="I61" i="145" s="1"/>
  <c r="F60" i="145"/>
  <c r="G60" i="145" s="1"/>
  <c r="I60" i="145" s="1"/>
  <c r="F59" i="145"/>
  <c r="G59" i="145" s="1"/>
  <c r="I59" i="145" s="1"/>
  <c r="K58" i="145"/>
  <c r="I58" i="145"/>
  <c r="J58" i="145" s="1"/>
  <c r="G58" i="145"/>
  <c r="F58" i="145"/>
  <c r="I57" i="145"/>
  <c r="G57" i="145"/>
  <c r="F57" i="145"/>
  <c r="L56" i="145"/>
  <c r="M56" i="145" s="1"/>
  <c r="K56" i="145"/>
  <c r="I56" i="145"/>
  <c r="J56" i="145" s="1"/>
  <c r="G56" i="145"/>
  <c r="F56" i="145"/>
  <c r="L55" i="145"/>
  <c r="M55" i="145" s="1"/>
  <c r="F55" i="145"/>
  <c r="G55" i="145" s="1"/>
  <c r="I55" i="145" s="1"/>
  <c r="J55" i="145" s="1"/>
  <c r="L54" i="145"/>
  <c r="M54" i="145" s="1"/>
  <c r="F54" i="145"/>
  <c r="G54" i="145" s="1"/>
  <c r="I54" i="145" s="1"/>
  <c r="L53" i="145"/>
  <c r="M53" i="145" s="1"/>
  <c r="F53" i="145"/>
  <c r="G53" i="145" s="1"/>
  <c r="I53" i="145" s="1"/>
  <c r="M52" i="145"/>
  <c r="L52" i="145"/>
  <c r="F52" i="145"/>
  <c r="G52" i="145" s="1"/>
  <c r="I52" i="145" s="1"/>
  <c r="L51" i="145"/>
  <c r="M51" i="145" s="1"/>
  <c r="G51" i="145"/>
  <c r="I51" i="145" s="1"/>
  <c r="F51" i="145"/>
  <c r="L50" i="145"/>
  <c r="M50" i="145" s="1"/>
  <c r="F50" i="145"/>
  <c r="G50" i="145" s="1"/>
  <c r="I50" i="145" s="1"/>
  <c r="M49" i="145"/>
  <c r="L49" i="145"/>
  <c r="G49" i="145"/>
  <c r="I49" i="145" s="1"/>
  <c r="F49" i="145"/>
  <c r="F47" i="145"/>
  <c r="G47" i="145" s="1"/>
  <c r="I47" i="145" s="1"/>
  <c r="J46" i="145"/>
  <c r="F46" i="145"/>
  <c r="G46" i="145" s="1"/>
  <c r="I46" i="145" s="1"/>
  <c r="K46" i="145" s="1"/>
  <c r="K45" i="145"/>
  <c r="G45" i="145"/>
  <c r="I45" i="145" s="1"/>
  <c r="J45" i="145" s="1"/>
  <c r="F45" i="145"/>
  <c r="F44" i="145"/>
  <c r="G44" i="145" s="1"/>
  <c r="I44" i="145" s="1"/>
  <c r="G43" i="145"/>
  <c r="I43" i="145" s="1"/>
  <c r="F43" i="145"/>
  <c r="K42" i="145"/>
  <c r="J42" i="145"/>
  <c r="G42" i="145"/>
  <c r="I42" i="145" s="1"/>
  <c r="F42" i="145"/>
  <c r="I41" i="145"/>
  <c r="G41" i="145"/>
  <c r="F41" i="145"/>
  <c r="I40" i="145"/>
  <c r="K40" i="145" s="1"/>
  <c r="G40" i="145"/>
  <c r="F40" i="145"/>
  <c r="F39" i="145"/>
  <c r="G39" i="145" s="1"/>
  <c r="I39" i="145" s="1"/>
  <c r="F38" i="145"/>
  <c r="G38" i="145" s="1"/>
  <c r="I38" i="145" s="1"/>
  <c r="I37" i="145"/>
  <c r="J37" i="145" s="1"/>
  <c r="G37" i="145"/>
  <c r="F37" i="145"/>
  <c r="I36" i="145"/>
  <c r="G36" i="145"/>
  <c r="F36" i="145"/>
  <c r="I35" i="145"/>
  <c r="F35" i="145"/>
  <c r="G35" i="145" s="1"/>
  <c r="F32" i="145"/>
  <c r="G32" i="145" s="1"/>
  <c r="I32" i="145" s="1"/>
  <c r="J32" i="145" s="1"/>
  <c r="J31" i="145"/>
  <c r="G31" i="145"/>
  <c r="I31" i="145" s="1"/>
  <c r="K31" i="145" s="1"/>
  <c r="F31" i="145"/>
  <c r="G30" i="145"/>
  <c r="I30" i="145" s="1"/>
  <c r="F30" i="145"/>
  <c r="F29" i="145"/>
  <c r="G29" i="145" s="1"/>
  <c r="I29" i="145" s="1"/>
  <c r="F28" i="145"/>
  <c r="G28" i="145" s="1"/>
  <c r="I28" i="145" s="1"/>
  <c r="J27" i="145"/>
  <c r="I27" i="145"/>
  <c r="K27" i="145" s="1"/>
  <c r="G27" i="145"/>
  <c r="F27" i="145"/>
  <c r="K26" i="145"/>
  <c r="G26" i="145"/>
  <c r="I26" i="145" s="1"/>
  <c r="J26" i="145" s="1"/>
  <c r="F26" i="145"/>
  <c r="G25" i="145"/>
  <c r="I25" i="145" s="1"/>
  <c r="F24" i="145"/>
  <c r="G24" i="145" s="1"/>
  <c r="I24" i="145" s="1"/>
  <c r="K23" i="145"/>
  <c r="I23" i="145"/>
  <c r="J23" i="145" s="1"/>
  <c r="G23" i="145"/>
  <c r="F23" i="145"/>
  <c r="I22" i="145"/>
  <c r="G22" i="145"/>
  <c r="F22" i="145"/>
  <c r="I21" i="145"/>
  <c r="K21" i="145" s="1"/>
  <c r="F21" i="145"/>
  <c r="G21" i="145" s="1"/>
  <c r="F20" i="145"/>
  <c r="G20" i="145" s="1"/>
  <c r="I20" i="145" s="1"/>
  <c r="F19" i="145"/>
  <c r="G19" i="145" s="1"/>
  <c r="I19" i="145" s="1"/>
  <c r="K18" i="145"/>
  <c r="I18" i="145"/>
  <c r="J18" i="145" s="1"/>
  <c r="G18" i="145"/>
  <c r="F18" i="145"/>
  <c r="I17" i="145"/>
  <c r="F17" i="145"/>
  <c r="G17" i="145" s="1"/>
  <c r="R16" i="145"/>
  <c r="I16" i="145"/>
  <c r="K16" i="145" s="1"/>
  <c r="F16" i="145"/>
  <c r="G16" i="145" s="1"/>
  <c r="G15" i="145"/>
  <c r="I15" i="145" s="1"/>
  <c r="F15" i="145"/>
  <c r="G14" i="145"/>
  <c r="F14" i="145"/>
  <c r="D10" i="145"/>
  <c r="K8" i="145"/>
  <c r="F8" i="145"/>
  <c r="C8" i="145"/>
  <c r="F6" i="145"/>
  <c r="C6" i="145"/>
  <c r="F4" i="145"/>
  <c r="C4" i="145"/>
  <c r="K197" i="144"/>
  <c r="M197" i="144" s="1"/>
  <c r="N197" i="144" s="1"/>
  <c r="O196" i="144"/>
  <c r="N196" i="144"/>
  <c r="M196" i="144"/>
  <c r="K196" i="144"/>
  <c r="O195" i="144"/>
  <c r="N195" i="144"/>
  <c r="M195" i="144"/>
  <c r="K195" i="144"/>
  <c r="O194" i="144"/>
  <c r="K194" i="144"/>
  <c r="M194" i="144" s="1"/>
  <c r="N194" i="144" s="1"/>
  <c r="M193" i="144"/>
  <c r="K193" i="144"/>
  <c r="O192" i="144"/>
  <c r="N192" i="144"/>
  <c r="M192" i="144"/>
  <c r="K192" i="144"/>
  <c r="O191" i="144"/>
  <c r="K191" i="144"/>
  <c r="M191" i="144" s="1"/>
  <c r="N191" i="144" s="1"/>
  <c r="O190" i="144"/>
  <c r="M190" i="144"/>
  <c r="N190" i="144" s="1"/>
  <c r="K190" i="144"/>
  <c r="O189" i="144"/>
  <c r="N189" i="144"/>
  <c r="M189" i="144"/>
  <c r="K189" i="144"/>
  <c r="O188" i="144"/>
  <c r="K188" i="144"/>
  <c r="M188" i="144" s="1"/>
  <c r="N188" i="144" s="1"/>
  <c r="M187" i="144"/>
  <c r="O187" i="144" s="1"/>
  <c r="K187" i="144"/>
  <c r="J186" i="144"/>
  <c r="K186" i="144" s="1"/>
  <c r="M186" i="144" s="1"/>
  <c r="J185" i="144"/>
  <c r="K185" i="144" s="1"/>
  <c r="M185" i="144" s="1"/>
  <c r="J184" i="144"/>
  <c r="K184" i="144" s="1"/>
  <c r="M184" i="144" s="1"/>
  <c r="O184" i="144" s="1"/>
  <c r="K183" i="144"/>
  <c r="J183" i="144"/>
  <c r="I180" i="144"/>
  <c r="J180" i="144" s="1"/>
  <c r="K180" i="144" s="1"/>
  <c r="M180" i="144" s="1"/>
  <c r="F180" i="144"/>
  <c r="E180" i="144"/>
  <c r="B180" i="144"/>
  <c r="K179" i="144"/>
  <c r="M179" i="144" s="1"/>
  <c r="J179" i="144"/>
  <c r="F179" i="144"/>
  <c r="E179" i="144"/>
  <c r="B179" i="144"/>
  <c r="J178" i="144"/>
  <c r="F178" i="144"/>
  <c r="E178" i="144"/>
  <c r="D178" i="144"/>
  <c r="B178" i="144"/>
  <c r="K177" i="144"/>
  <c r="M177" i="144" s="1"/>
  <c r="I177" i="144"/>
  <c r="I179" i="144" s="1"/>
  <c r="D177" i="144"/>
  <c r="C177" i="144"/>
  <c r="J177" i="144" s="1"/>
  <c r="B177" i="144"/>
  <c r="H176" i="144"/>
  <c r="F176" i="144"/>
  <c r="E176" i="144"/>
  <c r="D176" i="144"/>
  <c r="J175" i="144"/>
  <c r="H175" i="144"/>
  <c r="G175" i="144"/>
  <c r="D175" i="144"/>
  <c r="O174" i="144"/>
  <c r="N174" i="144"/>
  <c r="M174" i="144"/>
  <c r="K174" i="144"/>
  <c r="J174" i="144"/>
  <c r="H174" i="144"/>
  <c r="G174" i="144"/>
  <c r="N173" i="144"/>
  <c r="J173" i="144"/>
  <c r="K173" i="144" s="1"/>
  <c r="M173" i="144" s="1"/>
  <c r="O173" i="144" s="1"/>
  <c r="D172" i="144"/>
  <c r="J172" i="144" s="1"/>
  <c r="K172" i="144" s="1"/>
  <c r="M172" i="144" s="1"/>
  <c r="M171" i="144"/>
  <c r="K171" i="144"/>
  <c r="J171" i="144"/>
  <c r="E171" i="144"/>
  <c r="O170" i="144"/>
  <c r="M170" i="144"/>
  <c r="N170" i="144" s="1"/>
  <c r="J170" i="144"/>
  <c r="K170" i="144" s="1"/>
  <c r="K169" i="144"/>
  <c r="M169" i="144" s="1"/>
  <c r="J169" i="144"/>
  <c r="I165" i="144"/>
  <c r="H165" i="144"/>
  <c r="E165" i="144"/>
  <c r="D165" i="144"/>
  <c r="I164" i="144"/>
  <c r="J163" i="144"/>
  <c r="K163" i="144" s="1"/>
  <c r="M163" i="144" s="1"/>
  <c r="I163" i="144"/>
  <c r="F163" i="144"/>
  <c r="E163" i="144"/>
  <c r="B163" i="144"/>
  <c r="I162" i="144"/>
  <c r="J162" i="144" s="1"/>
  <c r="K162" i="144" s="1"/>
  <c r="M162" i="144" s="1"/>
  <c r="F162" i="144"/>
  <c r="E162" i="144"/>
  <c r="B162" i="144"/>
  <c r="J161" i="144"/>
  <c r="I161" i="144"/>
  <c r="F161" i="144"/>
  <c r="E161" i="144"/>
  <c r="D161" i="144"/>
  <c r="B161" i="144"/>
  <c r="I160" i="144"/>
  <c r="B160" i="144"/>
  <c r="H159" i="144"/>
  <c r="F159" i="144"/>
  <c r="E159" i="144"/>
  <c r="D159" i="144"/>
  <c r="J158" i="144"/>
  <c r="K158" i="144" s="1"/>
  <c r="M158" i="144" s="1"/>
  <c r="H158" i="144"/>
  <c r="G158" i="144"/>
  <c r="D158" i="144"/>
  <c r="K157" i="144"/>
  <c r="M157" i="144" s="1"/>
  <c r="J157" i="144"/>
  <c r="H157" i="144"/>
  <c r="G157" i="144"/>
  <c r="N156" i="144"/>
  <c r="J156" i="144"/>
  <c r="K156" i="144" s="1"/>
  <c r="M156" i="144" s="1"/>
  <c r="O156" i="144" s="1"/>
  <c r="J155" i="144"/>
  <c r="K155" i="144" s="1"/>
  <c r="M155" i="144" s="1"/>
  <c r="D155" i="144"/>
  <c r="M154" i="144"/>
  <c r="N154" i="144" s="1"/>
  <c r="K154" i="144"/>
  <c r="J154" i="144"/>
  <c r="E154" i="144"/>
  <c r="J153" i="144"/>
  <c r="K153" i="144" s="1"/>
  <c r="M153" i="144" s="1"/>
  <c r="O153" i="144" s="1"/>
  <c r="N152" i="144"/>
  <c r="K152" i="144"/>
  <c r="M152" i="144" s="1"/>
  <c r="O152" i="144" s="1"/>
  <c r="J152" i="144"/>
  <c r="K151" i="144"/>
  <c r="M151" i="144" s="1"/>
  <c r="I148" i="144"/>
  <c r="H148" i="144"/>
  <c r="C160" i="144" s="1"/>
  <c r="F148" i="144"/>
  <c r="C158" i="144" s="1"/>
  <c r="E158" i="144" s="1"/>
  <c r="E148" i="144"/>
  <c r="D148" i="144"/>
  <c r="G148" i="144" s="1"/>
  <c r="C148" i="144"/>
  <c r="J151" i="144" s="1"/>
  <c r="I147" i="144"/>
  <c r="F146" i="144"/>
  <c r="E146" i="144"/>
  <c r="B146" i="144"/>
  <c r="F145" i="144"/>
  <c r="E145" i="144"/>
  <c r="B145" i="144"/>
  <c r="F144" i="144"/>
  <c r="E144" i="144"/>
  <c r="D144" i="144"/>
  <c r="B144" i="144"/>
  <c r="I143" i="144"/>
  <c r="B143" i="144"/>
  <c r="H142" i="144"/>
  <c r="F142" i="144"/>
  <c r="E142" i="144"/>
  <c r="D142" i="144"/>
  <c r="H141" i="144"/>
  <c r="G141" i="144"/>
  <c r="D141" i="144"/>
  <c r="G140" i="144" s="1"/>
  <c r="O140" i="144"/>
  <c r="J140" i="144"/>
  <c r="K140" i="144" s="1"/>
  <c r="M140" i="144" s="1"/>
  <c r="N140" i="144" s="1"/>
  <c r="H140" i="144"/>
  <c r="O139" i="144"/>
  <c r="N139" i="144"/>
  <c r="M139" i="144"/>
  <c r="K139" i="144"/>
  <c r="J139" i="144"/>
  <c r="D138" i="144"/>
  <c r="J138" i="144" s="1"/>
  <c r="K138" i="144" s="1"/>
  <c r="M138" i="144" s="1"/>
  <c r="N138" i="144" s="1"/>
  <c r="J137" i="144"/>
  <c r="K137" i="144" s="1"/>
  <c r="M137" i="144" s="1"/>
  <c r="E137" i="144"/>
  <c r="O136" i="144"/>
  <c r="J136" i="144"/>
  <c r="K136" i="144" s="1"/>
  <c r="M136" i="144" s="1"/>
  <c r="N136" i="144" s="1"/>
  <c r="K135" i="144"/>
  <c r="M135" i="144" s="1"/>
  <c r="J135" i="144"/>
  <c r="I131" i="144"/>
  <c r="H131" i="144"/>
  <c r="C143" i="144" s="1"/>
  <c r="F131" i="144"/>
  <c r="E131" i="144"/>
  <c r="D131" i="144"/>
  <c r="C131" i="144"/>
  <c r="J134" i="144" s="1"/>
  <c r="K134" i="144" s="1"/>
  <c r="M134" i="144" s="1"/>
  <c r="I130" i="144"/>
  <c r="I129" i="144"/>
  <c r="F129" i="144"/>
  <c r="E129" i="144"/>
  <c r="B129" i="144"/>
  <c r="J129" i="144" s="1"/>
  <c r="K129" i="144" s="1"/>
  <c r="M129" i="144" s="1"/>
  <c r="J128" i="144"/>
  <c r="K128" i="144" s="1"/>
  <c r="M128" i="144" s="1"/>
  <c r="I128" i="144"/>
  <c r="F128" i="144"/>
  <c r="E128" i="144"/>
  <c r="B128" i="144"/>
  <c r="J127" i="144"/>
  <c r="F127" i="144"/>
  <c r="E127" i="144"/>
  <c r="D127" i="144"/>
  <c r="B127" i="144"/>
  <c r="I126" i="144"/>
  <c r="C126" i="144"/>
  <c r="B126" i="144"/>
  <c r="H125" i="144"/>
  <c r="F125" i="144"/>
  <c r="E125" i="144"/>
  <c r="D125" i="144"/>
  <c r="J124" i="144"/>
  <c r="H124" i="144"/>
  <c r="G124" i="144"/>
  <c r="D124" i="144"/>
  <c r="O123" i="144"/>
  <c r="N123" i="144"/>
  <c r="M123" i="144"/>
  <c r="J123" i="144"/>
  <c r="K123" i="144" s="1"/>
  <c r="H123" i="144"/>
  <c r="G123" i="144"/>
  <c r="M122" i="144"/>
  <c r="O122" i="144" s="1"/>
  <c r="J122" i="144"/>
  <c r="K122" i="144" s="1"/>
  <c r="D121" i="144"/>
  <c r="J121" i="144" s="1"/>
  <c r="K121" i="144" s="1"/>
  <c r="M121" i="144" s="1"/>
  <c r="M120" i="144"/>
  <c r="K120" i="144"/>
  <c r="J120" i="144"/>
  <c r="E120" i="144"/>
  <c r="J119" i="144"/>
  <c r="K119" i="144" s="1"/>
  <c r="M119" i="144" s="1"/>
  <c r="J118" i="144"/>
  <c r="K118" i="144" s="1"/>
  <c r="M118" i="144" s="1"/>
  <c r="N117" i="144"/>
  <c r="J117" i="144"/>
  <c r="K117" i="144" s="1"/>
  <c r="M117" i="144" s="1"/>
  <c r="O117" i="144" s="1"/>
  <c r="I114" i="144"/>
  <c r="H114" i="144"/>
  <c r="C114" i="144" s="1"/>
  <c r="F114" i="144"/>
  <c r="E114" i="144"/>
  <c r="D114" i="144"/>
  <c r="I113" i="144"/>
  <c r="I112" i="144"/>
  <c r="F112" i="144"/>
  <c r="E112" i="144"/>
  <c r="B112" i="144"/>
  <c r="J112" i="144" s="1"/>
  <c r="K112" i="144" s="1"/>
  <c r="M112" i="144" s="1"/>
  <c r="N112" i="144" s="1"/>
  <c r="M111" i="144"/>
  <c r="K111" i="144"/>
  <c r="I111" i="144"/>
  <c r="J111" i="144" s="1"/>
  <c r="F111" i="144"/>
  <c r="E111" i="144"/>
  <c r="B111" i="144"/>
  <c r="J110" i="144"/>
  <c r="K110" i="144" s="1"/>
  <c r="M110" i="144" s="1"/>
  <c r="I110" i="144"/>
  <c r="F110" i="144"/>
  <c r="E110" i="144"/>
  <c r="D110" i="144"/>
  <c r="B110" i="144"/>
  <c r="I109" i="144"/>
  <c r="B109" i="144"/>
  <c r="M108" i="144"/>
  <c r="H108" i="144"/>
  <c r="F108" i="144"/>
  <c r="E108" i="144"/>
  <c r="D108" i="144"/>
  <c r="K108" i="144" s="1"/>
  <c r="K107" i="144"/>
  <c r="M107" i="144" s="1"/>
  <c r="J107" i="144"/>
  <c r="H107" i="144"/>
  <c r="G107" i="144"/>
  <c r="F107" i="144"/>
  <c r="E107" i="144"/>
  <c r="D107" i="144"/>
  <c r="J106" i="144"/>
  <c r="K106" i="144" s="1"/>
  <c r="M106" i="144" s="1"/>
  <c r="O106" i="144" s="1"/>
  <c r="H106" i="144"/>
  <c r="G106" i="144"/>
  <c r="J105" i="144"/>
  <c r="K105" i="144" s="1"/>
  <c r="M105" i="144" s="1"/>
  <c r="D104" i="144"/>
  <c r="J104" i="144" s="1"/>
  <c r="K104" i="144" s="1"/>
  <c r="M104" i="144" s="1"/>
  <c r="M103" i="144"/>
  <c r="N103" i="144" s="1"/>
  <c r="K103" i="144"/>
  <c r="J103" i="144"/>
  <c r="E103" i="144"/>
  <c r="K102" i="144"/>
  <c r="M102" i="144" s="1"/>
  <c r="J102" i="144"/>
  <c r="K101" i="144"/>
  <c r="M101" i="144" s="1"/>
  <c r="O101" i="144" s="1"/>
  <c r="J101" i="144"/>
  <c r="I97" i="144"/>
  <c r="H97" i="144"/>
  <c r="C109" i="144" s="1"/>
  <c r="F97" i="144"/>
  <c r="C107" i="144" s="1"/>
  <c r="E97" i="144"/>
  <c r="D97" i="144"/>
  <c r="G97" i="144" s="1"/>
  <c r="C97" i="144"/>
  <c r="J100" i="144" s="1"/>
  <c r="K100" i="144" s="1"/>
  <c r="M100" i="144" s="1"/>
  <c r="I96" i="144"/>
  <c r="F95" i="144"/>
  <c r="E95" i="144"/>
  <c r="B95" i="144"/>
  <c r="F94" i="144"/>
  <c r="E94" i="144"/>
  <c r="B94" i="144"/>
  <c r="F93" i="144"/>
  <c r="E93" i="144"/>
  <c r="D93" i="144"/>
  <c r="B93" i="144"/>
  <c r="J92" i="144"/>
  <c r="K92" i="144" s="1"/>
  <c r="M92" i="144" s="1"/>
  <c r="I92" i="144"/>
  <c r="B92" i="144"/>
  <c r="H91" i="144"/>
  <c r="F91" i="144"/>
  <c r="E91" i="144"/>
  <c r="D91" i="144"/>
  <c r="K91" i="144" s="1"/>
  <c r="M91" i="144" s="1"/>
  <c r="N91" i="144" s="1"/>
  <c r="J90" i="144"/>
  <c r="H90" i="144"/>
  <c r="D90" i="144"/>
  <c r="G89" i="144" s="1"/>
  <c r="J89" i="144"/>
  <c r="K89" i="144" s="1"/>
  <c r="M89" i="144" s="1"/>
  <c r="H89" i="144"/>
  <c r="M88" i="144"/>
  <c r="O88" i="144" s="1"/>
  <c r="K88" i="144"/>
  <c r="J88" i="144"/>
  <c r="D87" i="144"/>
  <c r="J87" i="144" s="1"/>
  <c r="K87" i="144" s="1"/>
  <c r="M87" i="144" s="1"/>
  <c r="N86" i="144"/>
  <c r="J86" i="144"/>
  <c r="K86" i="144" s="1"/>
  <c r="M86" i="144" s="1"/>
  <c r="O86" i="144" s="1"/>
  <c r="E86" i="144"/>
  <c r="J85" i="144"/>
  <c r="K85" i="144" s="1"/>
  <c r="M85" i="144" s="1"/>
  <c r="J84" i="144"/>
  <c r="K84" i="144" s="1"/>
  <c r="M84" i="144" s="1"/>
  <c r="K83" i="144"/>
  <c r="M83" i="144" s="1"/>
  <c r="I80" i="144"/>
  <c r="H80" i="144"/>
  <c r="C92" i="144" s="1"/>
  <c r="F92" i="144" s="1"/>
  <c r="F80" i="144"/>
  <c r="E80" i="144"/>
  <c r="D80" i="144"/>
  <c r="C80" i="144"/>
  <c r="J83" i="144" s="1"/>
  <c r="I79" i="144"/>
  <c r="I78" i="144"/>
  <c r="F78" i="144"/>
  <c r="E78" i="144"/>
  <c r="B78" i="144"/>
  <c r="J78" i="144" s="1"/>
  <c r="K78" i="144" s="1"/>
  <c r="M78" i="144" s="1"/>
  <c r="K77" i="144"/>
  <c r="M77" i="144" s="1"/>
  <c r="O77" i="144" s="1"/>
  <c r="J77" i="144"/>
  <c r="I77" i="144"/>
  <c r="F77" i="144"/>
  <c r="E77" i="144"/>
  <c r="B77" i="144"/>
  <c r="J76" i="144"/>
  <c r="F76" i="144"/>
  <c r="E76" i="144"/>
  <c r="D76" i="144"/>
  <c r="B76" i="144"/>
  <c r="J75" i="144"/>
  <c r="K75" i="144" s="1"/>
  <c r="M75" i="144" s="1"/>
  <c r="I75" i="144"/>
  <c r="D75" i="144"/>
  <c r="B75" i="144"/>
  <c r="N74" i="144"/>
  <c r="K74" i="144"/>
  <c r="M74" i="144" s="1"/>
  <c r="O74" i="144" s="1"/>
  <c r="H74" i="144"/>
  <c r="G74" i="144"/>
  <c r="F74" i="144"/>
  <c r="E74" i="144"/>
  <c r="D74" i="144"/>
  <c r="O73" i="144"/>
  <c r="J73" i="144"/>
  <c r="K73" i="144" s="1"/>
  <c r="M73" i="144" s="1"/>
  <c r="N73" i="144" s="1"/>
  <c r="H73" i="144"/>
  <c r="G73" i="144"/>
  <c r="D73" i="144"/>
  <c r="C73" i="144"/>
  <c r="I76" i="144" s="1"/>
  <c r="J72" i="144"/>
  <c r="K72" i="144" s="1"/>
  <c r="M72" i="144" s="1"/>
  <c r="H72" i="144"/>
  <c r="G72" i="144"/>
  <c r="J71" i="144"/>
  <c r="K71" i="144" s="1"/>
  <c r="M71" i="144" s="1"/>
  <c r="N70" i="144"/>
  <c r="D70" i="144"/>
  <c r="J70" i="144" s="1"/>
  <c r="K70" i="144" s="1"/>
  <c r="M70" i="144" s="1"/>
  <c r="O70" i="144" s="1"/>
  <c r="K69" i="144"/>
  <c r="M69" i="144" s="1"/>
  <c r="O69" i="144" s="1"/>
  <c r="J69" i="144"/>
  <c r="E69" i="144"/>
  <c r="J68" i="144"/>
  <c r="K68" i="144" s="1"/>
  <c r="M68" i="144" s="1"/>
  <c r="J67" i="144"/>
  <c r="K67" i="144" s="1"/>
  <c r="J66" i="144"/>
  <c r="K66" i="144" s="1"/>
  <c r="M66" i="144" s="1"/>
  <c r="J65" i="144"/>
  <c r="K65" i="144" s="1"/>
  <c r="M65" i="144" s="1"/>
  <c r="I63" i="144"/>
  <c r="H63" i="144"/>
  <c r="C75" i="144" s="1"/>
  <c r="F75" i="144" s="1"/>
  <c r="F63" i="144"/>
  <c r="G63" i="144" s="1"/>
  <c r="E63" i="144"/>
  <c r="D63" i="144"/>
  <c r="C63" i="144"/>
  <c r="I62" i="144"/>
  <c r="I61" i="144"/>
  <c r="F61" i="144"/>
  <c r="E61" i="144"/>
  <c r="B61" i="144"/>
  <c r="J61" i="144" s="1"/>
  <c r="K61" i="144" s="1"/>
  <c r="M61" i="144" s="1"/>
  <c r="I60" i="144"/>
  <c r="J60" i="144" s="1"/>
  <c r="K60" i="144" s="1"/>
  <c r="M60" i="144" s="1"/>
  <c r="F60" i="144"/>
  <c r="E60" i="144"/>
  <c r="B60" i="144"/>
  <c r="J59" i="144"/>
  <c r="F59" i="144"/>
  <c r="E59" i="144"/>
  <c r="D59" i="144"/>
  <c r="B59" i="144"/>
  <c r="I58" i="144"/>
  <c r="B58" i="144"/>
  <c r="N57" i="144"/>
  <c r="M57" i="144"/>
  <c r="O57" i="144" s="1"/>
  <c r="H57" i="144"/>
  <c r="G57" i="144"/>
  <c r="F57" i="144"/>
  <c r="E57" i="144"/>
  <c r="D57" i="144"/>
  <c r="K57" i="144" s="1"/>
  <c r="M56" i="144"/>
  <c r="N56" i="144" s="1"/>
  <c r="J56" i="144"/>
  <c r="K56" i="144" s="1"/>
  <c r="H56" i="144"/>
  <c r="G56" i="144"/>
  <c r="D56" i="144"/>
  <c r="C56" i="144"/>
  <c r="K55" i="144"/>
  <c r="M55" i="144" s="1"/>
  <c r="J55" i="144"/>
  <c r="H55" i="144"/>
  <c r="G55" i="144"/>
  <c r="M54" i="144"/>
  <c r="O54" i="144" s="1"/>
  <c r="J54" i="144"/>
  <c r="K54" i="144" s="1"/>
  <c r="K53" i="144"/>
  <c r="M53" i="144" s="1"/>
  <c r="J53" i="144"/>
  <c r="D53" i="144"/>
  <c r="O52" i="144"/>
  <c r="M52" i="144"/>
  <c r="N52" i="144" s="1"/>
  <c r="K52" i="144"/>
  <c r="J52" i="144"/>
  <c r="E52" i="144"/>
  <c r="J51" i="144"/>
  <c r="K51" i="144" s="1"/>
  <c r="M51" i="144" s="1"/>
  <c r="O50" i="144"/>
  <c r="J50" i="144"/>
  <c r="K50" i="144" s="1"/>
  <c r="M50" i="144" s="1"/>
  <c r="N50" i="144" s="1"/>
  <c r="N49" i="144"/>
  <c r="I46" i="144"/>
  <c r="H46" i="144"/>
  <c r="C58" i="144" s="1"/>
  <c r="F46" i="144"/>
  <c r="E46" i="144"/>
  <c r="D46" i="144"/>
  <c r="G46" i="144" s="1"/>
  <c r="C46" i="144"/>
  <c r="J49" i="144" s="1"/>
  <c r="K49" i="144" s="1"/>
  <c r="M49" i="144" s="1"/>
  <c r="O49" i="144" s="1"/>
  <c r="I45" i="144"/>
  <c r="F44" i="144"/>
  <c r="E44" i="144"/>
  <c r="B44" i="144"/>
  <c r="I43" i="144"/>
  <c r="J43" i="144" s="1"/>
  <c r="F43" i="144"/>
  <c r="E43" i="144"/>
  <c r="B43" i="144"/>
  <c r="F42" i="144"/>
  <c r="E42" i="144"/>
  <c r="D42" i="144"/>
  <c r="B42" i="144"/>
  <c r="I41" i="144"/>
  <c r="B41" i="144"/>
  <c r="H40" i="144"/>
  <c r="F40" i="144"/>
  <c r="E40" i="144"/>
  <c r="D40" i="144"/>
  <c r="K40" i="144" s="1"/>
  <c r="M40" i="144" s="1"/>
  <c r="H39" i="144"/>
  <c r="D39" i="144"/>
  <c r="G38" i="144" s="1"/>
  <c r="O38" i="144"/>
  <c r="N38" i="144"/>
  <c r="K38" i="144"/>
  <c r="M38" i="144" s="1"/>
  <c r="J38" i="144"/>
  <c r="H38" i="144"/>
  <c r="O37" i="144"/>
  <c r="J37" i="144"/>
  <c r="K37" i="144" s="1"/>
  <c r="M37" i="144" s="1"/>
  <c r="N37" i="144" s="1"/>
  <c r="J36" i="144"/>
  <c r="K36" i="144" s="1"/>
  <c r="M36" i="144" s="1"/>
  <c r="D36" i="144"/>
  <c r="K35" i="144"/>
  <c r="M35" i="144" s="1"/>
  <c r="J35" i="144"/>
  <c r="M34" i="144"/>
  <c r="O34" i="144" s="1"/>
  <c r="J34" i="144"/>
  <c r="K34" i="144" s="1"/>
  <c r="K33" i="144"/>
  <c r="M33" i="144" s="1"/>
  <c r="J33" i="144"/>
  <c r="I29" i="144"/>
  <c r="H29" i="144"/>
  <c r="E29" i="144"/>
  <c r="D29" i="144"/>
  <c r="I28" i="144"/>
  <c r="F27" i="144"/>
  <c r="E27" i="144"/>
  <c r="B27" i="144"/>
  <c r="F26" i="144"/>
  <c r="E26" i="144"/>
  <c r="B26" i="144"/>
  <c r="F25" i="144"/>
  <c r="E25" i="144"/>
  <c r="D25" i="144"/>
  <c r="B25" i="144"/>
  <c r="I24" i="144"/>
  <c r="B24" i="144"/>
  <c r="K23" i="144"/>
  <c r="M23" i="144" s="1"/>
  <c r="H23" i="144"/>
  <c r="F23" i="144"/>
  <c r="E23" i="144"/>
  <c r="D23" i="144"/>
  <c r="G23" i="144" s="1"/>
  <c r="H22" i="144"/>
  <c r="D22" i="144"/>
  <c r="O21" i="144"/>
  <c r="J21" i="144"/>
  <c r="K21" i="144" s="1"/>
  <c r="M21" i="144" s="1"/>
  <c r="N21" i="144" s="1"/>
  <c r="H21" i="144"/>
  <c r="N20" i="144"/>
  <c r="M20" i="144"/>
  <c r="O20" i="144" s="1"/>
  <c r="K20" i="144"/>
  <c r="J20" i="144"/>
  <c r="J19" i="144"/>
  <c r="K19" i="144" s="1"/>
  <c r="M19" i="144" s="1"/>
  <c r="N19" i="144" s="1"/>
  <c r="D19" i="144"/>
  <c r="M18" i="144"/>
  <c r="K18" i="144"/>
  <c r="J18" i="144"/>
  <c r="E18" i="144"/>
  <c r="J17" i="144"/>
  <c r="K17" i="144" s="1"/>
  <c r="M17" i="144" s="1"/>
  <c r="N17" i="144" s="1"/>
  <c r="K16" i="144"/>
  <c r="M16" i="144" s="1"/>
  <c r="J16" i="144"/>
  <c r="I12" i="144"/>
  <c r="H12" i="144"/>
  <c r="E12" i="144"/>
  <c r="D12" i="144"/>
  <c r="I11" i="144"/>
  <c r="D9" i="144"/>
  <c r="O7" i="144"/>
  <c r="I7" i="144"/>
  <c r="G7" i="144"/>
  <c r="C7" i="144"/>
  <c r="I5" i="144"/>
  <c r="G5" i="144"/>
  <c r="C5" i="144"/>
  <c r="I3" i="144"/>
  <c r="G3" i="144"/>
  <c r="C3" i="144"/>
  <c r="N197" i="143"/>
  <c r="M197" i="143"/>
  <c r="O197" i="143" s="1"/>
  <c r="K197" i="143"/>
  <c r="M196" i="143"/>
  <c r="O196" i="143" s="1"/>
  <c r="K196" i="143"/>
  <c r="K195" i="143"/>
  <c r="M195" i="143" s="1"/>
  <c r="K194" i="143"/>
  <c r="M194" i="143" s="1"/>
  <c r="K193" i="143"/>
  <c r="M193" i="143" s="1"/>
  <c r="K192" i="143"/>
  <c r="M192" i="143" s="1"/>
  <c r="O192" i="143" s="1"/>
  <c r="O191" i="143"/>
  <c r="N191" i="143"/>
  <c r="K191" i="143"/>
  <c r="M191" i="143" s="1"/>
  <c r="O190" i="143"/>
  <c r="M190" i="143"/>
  <c r="N190" i="143" s="1"/>
  <c r="K190" i="143"/>
  <c r="O189" i="143"/>
  <c r="K189" i="143"/>
  <c r="M189" i="143" s="1"/>
  <c r="N189" i="143" s="1"/>
  <c r="M188" i="143"/>
  <c r="O188" i="143" s="1"/>
  <c r="C188" i="143"/>
  <c r="K188" i="143" s="1"/>
  <c r="O187" i="143"/>
  <c r="M187" i="143"/>
  <c r="N187" i="143" s="1"/>
  <c r="K187" i="143"/>
  <c r="J186" i="143"/>
  <c r="K186" i="143" s="1"/>
  <c r="M186" i="143" s="1"/>
  <c r="J185" i="143"/>
  <c r="K185" i="143" s="1"/>
  <c r="M185" i="143" s="1"/>
  <c r="J184" i="143"/>
  <c r="K184" i="143" s="1"/>
  <c r="M184" i="143" s="1"/>
  <c r="J183" i="143"/>
  <c r="K183" i="143" s="1"/>
  <c r="I180" i="143"/>
  <c r="J180" i="143" s="1"/>
  <c r="K180" i="143" s="1"/>
  <c r="M180" i="143" s="1"/>
  <c r="F180" i="143"/>
  <c r="E180" i="143"/>
  <c r="B180" i="143"/>
  <c r="J179" i="143"/>
  <c r="I179" i="143"/>
  <c r="F179" i="143"/>
  <c r="E179" i="143"/>
  <c r="B179" i="143"/>
  <c r="J178" i="143"/>
  <c r="F178" i="143"/>
  <c r="E178" i="143"/>
  <c r="D178" i="143"/>
  <c r="B178" i="143"/>
  <c r="I177" i="143"/>
  <c r="B177" i="143"/>
  <c r="J176" i="143"/>
  <c r="K176" i="143" s="1"/>
  <c r="M176" i="143" s="1"/>
  <c r="H176" i="143"/>
  <c r="G176" i="143"/>
  <c r="F176" i="143"/>
  <c r="E176" i="143"/>
  <c r="D176" i="143"/>
  <c r="J175" i="143"/>
  <c r="H175" i="143"/>
  <c r="G175" i="143"/>
  <c r="D175" i="143"/>
  <c r="K174" i="143"/>
  <c r="M174" i="143" s="1"/>
  <c r="O174" i="143" s="1"/>
  <c r="J174" i="143"/>
  <c r="H174" i="143"/>
  <c r="G174" i="143"/>
  <c r="K173" i="143"/>
  <c r="M173" i="143" s="1"/>
  <c r="J173" i="143"/>
  <c r="J172" i="143"/>
  <c r="K172" i="143" s="1"/>
  <c r="M172" i="143" s="1"/>
  <c r="D172" i="143"/>
  <c r="J171" i="143"/>
  <c r="K171" i="143" s="1"/>
  <c r="M171" i="143" s="1"/>
  <c r="E171" i="143"/>
  <c r="K170" i="143"/>
  <c r="M170" i="143" s="1"/>
  <c r="J170" i="143"/>
  <c r="E170" i="143"/>
  <c r="J169" i="143"/>
  <c r="K169" i="143" s="1"/>
  <c r="M169" i="143" s="1"/>
  <c r="E169" i="143"/>
  <c r="L165" i="143"/>
  <c r="I165" i="143"/>
  <c r="H165" i="143"/>
  <c r="E165" i="143"/>
  <c r="D165" i="143"/>
  <c r="I164" i="143"/>
  <c r="F163" i="143"/>
  <c r="E163" i="143"/>
  <c r="B163" i="143"/>
  <c r="I162" i="143"/>
  <c r="J162" i="143" s="1"/>
  <c r="K162" i="143" s="1"/>
  <c r="M162" i="143" s="1"/>
  <c r="F162" i="143"/>
  <c r="E162" i="143"/>
  <c r="B162" i="143"/>
  <c r="J161" i="143"/>
  <c r="F161" i="143"/>
  <c r="E161" i="143"/>
  <c r="D161" i="143"/>
  <c r="B161" i="143"/>
  <c r="K160" i="143"/>
  <c r="M160" i="143" s="1"/>
  <c r="O160" i="143" s="1"/>
  <c r="J160" i="143"/>
  <c r="I160" i="143"/>
  <c r="I163" i="143" s="1"/>
  <c r="J163" i="143" s="1"/>
  <c r="K163" i="143" s="1"/>
  <c r="M163" i="143" s="1"/>
  <c r="F160" i="143"/>
  <c r="D160" i="143"/>
  <c r="B160" i="143"/>
  <c r="K159" i="143"/>
  <c r="M159" i="143" s="1"/>
  <c r="J159" i="143"/>
  <c r="H159" i="143"/>
  <c r="G159" i="143"/>
  <c r="F159" i="143"/>
  <c r="E159" i="143"/>
  <c r="D159" i="143"/>
  <c r="J158" i="143"/>
  <c r="H158" i="143"/>
  <c r="G158" i="143"/>
  <c r="D158" i="143"/>
  <c r="K157" i="143"/>
  <c r="M157" i="143" s="1"/>
  <c r="J157" i="143"/>
  <c r="H157" i="143"/>
  <c r="G157" i="143"/>
  <c r="J156" i="143"/>
  <c r="K156" i="143" s="1"/>
  <c r="M156" i="143" s="1"/>
  <c r="J155" i="143"/>
  <c r="K155" i="143" s="1"/>
  <c r="M155" i="143" s="1"/>
  <c r="D155" i="143"/>
  <c r="K154" i="143"/>
  <c r="M154" i="143" s="1"/>
  <c r="J154" i="143"/>
  <c r="E154" i="143"/>
  <c r="K153" i="143"/>
  <c r="M153" i="143" s="1"/>
  <c r="N153" i="143" s="1"/>
  <c r="J153" i="143"/>
  <c r="E153" i="143"/>
  <c r="M152" i="143"/>
  <c r="K152" i="143"/>
  <c r="J152" i="143"/>
  <c r="E152" i="143"/>
  <c r="M151" i="143"/>
  <c r="N151" i="143" s="1"/>
  <c r="I148" i="143"/>
  <c r="H148" i="143"/>
  <c r="C160" i="143" s="1"/>
  <c r="E160" i="143" s="1"/>
  <c r="E148" i="143"/>
  <c r="D148" i="143"/>
  <c r="C148" i="143"/>
  <c r="J151" i="143" s="1"/>
  <c r="K151" i="143" s="1"/>
  <c r="I147" i="143"/>
  <c r="J146" i="143"/>
  <c r="K146" i="143" s="1"/>
  <c r="M146" i="143" s="1"/>
  <c r="O146" i="143" s="1"/>
  <c r="I146" i="143"/>
  <c r="F146" i="143"/>
  <c r="E146" i="143"/>
  <c r="B146" i="143"/>
  <c r="J145" i="143"/>
  <c r="K145" i="143" s="1"/>
  <c r="M145" i="143" s="1"/>
  <c r="F145" i="143"/>
  <c r="E145" i="143"/>
  <c r="B145" i="143"/>
  <c r="J144" i="143"/>
  <c r="F144" i="143"/>
  <c r="E144" i="143"/>
  <c r="D144" i="143"/>
  <c r="B144" i="143"/>
  <c r="I143" i="143"/>
  <c r="I145" i="143" s="1"/>
  <c r="C143" i="143"/>
  <c r="B143" i="143"/>
  <c r="H142" i="143"/>
  <c r="F142" i="143"/>
  <c r="E142" i="143"/>
  <c r="D142" i="143"/>
  <c r="J142" i="143" s="1"/>
  <c r="K142" i="143" s="1"/>
  <c r="M142" i="143" s="1"/>
  <c r="K141" i="143"/>
  <c r="M141" i="143" s="1"/>
  <c r="J141" i="143"/>
  <c r="H141" i="143"/>
  <c r="G141" i="143"/>
  <c r="D141" i="143"/>
  <c r="J140" i="143"/>
  <c r="K140" i="143" s="1"/>
  <c r="M140" i="143" s="1"/>
  <c r="H140" i="143"/>
  <c r="G140" i="143"/>
  <c r="O139" i="143"/>
  <c r="K139" i="143"/>
  <c r="M139" i="143" s="1"/>
  <c r="N139" i="143" s="1"/>
  <c r="J139" i="143"/>
  <c r="J138" i="143"/>
  <c r="K138" i="143" s="1"/>
  <c r="M138" i="143" s="1"/>
  <c r="D138" i="143"/>
  <c r="K137" i="143"/>
  <c r="M137" i="143" s="1"/>
  <c r="J137" i="143"/>
  <c r="E137" i="143"/>
  <c r="J136" i="143"/>
  <c r="K136" i="143" s="1"/>
  <c r="M136" i="143" s="1"/>
  <c r="E136" i="143"/>
  <c r="K135" i="143"/>
  <c r="M135" i="143" s="1"/>
  <c r="O135" i="143" s="1"/>
  <c r="J135" i="143"/>
  <c r="E135" i="143"/>
  <c r="I131" i="143"/>
  <c r="H131" i="143"/>
  <c r="F131" i="143" s="1"/>
  <c r="C141" i="143" s="1"/>
  <c r="E131" i="143"/>
  <c r="D131" i="143"/>
  <c r="C131" i="143"/>
  <c r="I130" i="143"/>
  <c r="F129" i="143"/>
  <c r="E129" i="143"/>
  <c r="B129" i="143"/>
  <c r="J129" i="143" s="1"/>
  <c r="K129" i="143" s="1"/>
  <c r="M129" i="143" s="1"/>
  <c r="O129" i="143" s="1"/>
  <c r="I128" i="143"/>
  <c r="J128" i="143" s="1"/>
  <c r="K128" i="143" s="1"/>
  <c r="M128" i="143" s="1"/>
  <c r="F128" i="143"/>
  <c r="E128" i="143"/>
  <c r="B128" i="143"/>
  <c r="F127" i="143"/>
  <c r="E127" i="143"/>
  <c r="D127" i="143"/>
  <c r="B127" i="143"/>
  <c r="I126" i="143"/>
  <c r="I129" i="143" s="1"/>
  <c r="E126" i="143"/>
  <c r="C126" i="143"/>
  <c r="B126" i="143"/>
  <c r="H125" i="143"/>
  <c r="F125" i="143"/>
  <c r="E125" i="143"/>
  <c r="D125" i="143"/>
  <c r="H124" i="143"/>
  <c r="D124" i="143"/>
  <c r="C124" i="143"/>
  <c r="O123" i="143"/>
  <c r="M123" i="143"/>
  <c r="N123" i="143" s="1"/>
  <c r="K123" i="143"/>
  <c r="J123" i="143"/>
  <c r="H123" i="143"/>
  <c r="J122" i="143"/>
  <c r="K122" i="143" s="1"/>
  <c r="M122" i="143" s="1"/>
  <c r="K121" i="143"/>
  <c r="M121" i="143" s="1"/>
  <c r="D121" i="143"/>
  <c r="J121" i="143" s="1"/>
  <c r="J120" i="143"/>
  <c r="K120" i="143" s="1"/>
  <c r="M120" i="143" s="1"/>
  <c r="E120" i="143"/>
  <c r="K119" i="143"/>
  <c r="M119" i="143" s="1"/>
  <c r="J119" i="143"/>
  <c r="E119" i="143"/>
  <c r="J118" i="143"/>
  <c r="K118" i="143" s="1"/>
  <c r="M118" i="143" s="1"/>
  <c r="E118" i="143"/>
  <c r="I114" i="143"/>
  <c r="H114" i="143"/>
  <c r="F114" i="143" s="1"/>
  <c r="E114" i="143"/>
  <c r="D114" i="143"/>
  <c r="G114" i="143" s="1"/>
  <c r="C114" i="143"/>
  <c r="J117" i="143" s="1"/>
  <c r="K117" i="143" s="1"/>
  <c r="M117" i="143" s="1"/>
  <c r="I113" i="143"/>
  <c r="F112" i="143"/>
  <c r="E112" i="143"/>
  <c r="B112" i="143"/>
  <c r="J111" i="143"/>
  <c r="K111" i="143" s="1"/>
  <c r="M111" i="143" s="1"/>
  <c r="F111" i="143"/>
  <c r="E111" i="143"/>
  <c r="B111" i="143"/>
  <c r="J110" i="143"/>
  <c r="F110" i="143"/>
  <c r="E110" i="143"/>
  <c r="D110" i="143"/>
  <c r="B110" i="143"/>
  <c r="I109" i="143"/>
  <c r="I111" i="143" s="1"/>
  <c r="E109" i="143"/>
  <c r="D109" i="143"/>
  <c r="C109" i="143"/>
  <c r="B109" i="143"/>
  <c r="H108" i="143"/>
  <c r="F108" i="143"/>
  <c r="E108" i="143"/>
  <c r="D108" i="143"/>
  <c r="H107" i="143"/>
  <c r="D107" i="143"/>
  <c r="J107" i="143" s="1"/>
  <c r="K106" i="143"/>
  <c r="M106" i="143" s="1"/>
  <c r="O106" i="143" s="1"/>
  <c r="J106" i="143"/>
  <c r="H106" i="143"/>
  <c r="J105" i="143"/>
  <c r="K105" i="143" s="1"/>
  <c r="M105" i="143" s="1"/>
  <c r="K104" i="143"/>
  <c r="M104" i="143" s="1"/>
  <c r="O104" i="143" s="1"/>
  <c r="J104" i="143"/>
  <c r="D104" i="143"/>
  <c r="J103" i="143"/>
  <c r="K103" i="143" s="1"/>
  <c r="M103" i="143" s="1"/>
  <c r="E103" i="143"/>
  <c r="N102" i="143"/>
  <c r="K102" i="143"/>
  <c r="M102" i="143" s="1"/>
  <c r="O102" i="143" s="1"/>
  <c r="J102" i="143"/>
  <c r="E102" i="143"/>
  <c r="J101" i="143"/>
  <c r="K101" i="143" s="1"/>
  <c r="M101" i="143" s="1"/>
  <c r="E101" i="143"/>
  <c r="I97" i="143"/>
  <c r="H97" i="143"/>
  <c r="E97" i="143"/>
  <c r="D97" i="143"/>
  <c r="I96" i="143"/>
  <c r="J95" i="143"/>
  <c r="K95" i="143" s="1"/>
  <c r="M95" i="143" s="1"/>
  <c r="I95" i="143"/>
  <c r="F95" i="143"/>
  <c r="E95" i="143"/>
  <c r="B95" i="143"/>
  <c r="J94" i="143"/>
  <c r="K94" i="143" s="1"/>
  <c r="M94" i="143" s="1"/>
  <c r="I94" i="143"/>
  <c r="F94" i="143"/>
  <c r="E94" i="143"/>
  <c r="B94" i="143"/>
  <c r="F93" i="143"/>
  <c r="E93" i="143"/>
  <c r="D93" i="143"/>
  <c r="B93" i="143"/>
  <c r="I92" i="143"/>
  <c r="J93" i="143" s="1"/>
  <c r="D92" i="143"/>
  <c r="C92" i="143"/>
  <c r="B92" i="143"/>
  <c r="H91" i="143"/>
  <c r="F91" i="143"/>
  <c r="E91" i="143"/>
  <c r="D91" i="143"/>
  <c r="J90" i="143"/>
  <c r="K90" i="143" s="1"/>
  <c r="M90" i="143" s="1"/>
  <c r="H90" i="143"/>
  <c r="D90" i="143"/>
  <c r="G89" i="143" s="1"/>
  <c r="J89" i="143"/>
  <c r="K89" i="143" s="1"/>
  <c r="M89" i="143" s="1"/>
  <c r="H89" i="143"/>
  <c r="J88" i="143"/>
  <c r="K88" i="143" s="1"/>
  <c r="M88" i="143" s="1"/>
  <c r="J87" i="143"/>
  <c r="K87" i="143" s="1"/>
  <c r="M87" i="143" s="1"/>
  <c r="D87" i="143"/>
  <c r="K86" i="143"/>
  <c r="M86" i="143" s="1"/>
  <c r="J86" i="143"/>
  <c r="E86" i="143"/>
  <c r="J85" i="143"/>
  <c r="K85" i="143" s="1"/>
  <c r="M85" i="143" s="1"/>
  <c r="E85" i="143"/>
  <c r="K84" i="143"/>
  <c r="M84" i="143" s="1"/>
  <c r="J84" i="143"/>
  <c r="E84" i="143"/>
  <c r="M83" i="143"/>
  <c r="O83" i="143" s="1"/>
  <c r="I80" i="143"/>
  <c r="H80" i="143"/>
  <c r="C80" i="143" s="1"/>
  <c r="G80" i="143"/>
  <c r="F80" i="143"/>
  <c r="C90" i="143" s="1"/>
  <c r="E80" i="143"/>
  <c r="D80" i="143"/>
  <c r="I79" i="143"/>
  <c r="M78" i="143"/>
  <c r="K78" i="143"/>
  <c r="J78" i="143"/>
  <c r="I78" i="143"/>
  <c r="F78" i="143"/>
  <c r="E78" i="143"/>
  <c r="B78" i="143"/>
  <c r="I77" i="143"/>
  <c r="J77" i="143" s="1"/>
  <c r="K77" i="143" s="1"/>
  <c r="M77" i="143" s="1"/>
  <c r="F77" i="143"/>
  <c r="E77" i="143"/>
  <c r="B77" i="143"/>
  <c r="F76" i="143"/>
  <c r="E76" i="143"/>
  <c r="D76" i="143"/>
  <c r="B76" i="143"/>
  <c r="I75" i="143"/>
  <c r="J76" i="143" s="1"/>
  <c r="B75" i="143"/>
  <c r="K74" i="143"/>
  <c r="M74" i="143" s="1"/>
  <c r="O74" i="143" s="1"/>
  <c r="J74" i="143"/>
  <c r="H74" i="143"/>
  <c r="F74" i="143"/>
  <c r="E74" i="143"/>
  <c r="D74" i="143"/>
  <c r="G74" i="143" s="1"/>
  <c r="J73" i="143"/>
  <c r="H73" i="143"/>
  <c r="G73" i="143"/>
  <c r="D73" i="143"/>
  <c r="J72" i="143"/>
  <c r="K72" i="143" s="1"/>
  <c r="M72" i="143" s="1"/>
  <c r="H72" i="143"/>
  <c r="G72" i="143"/>
  <c r="O71" i="143"/>
  <c r="J71" i="143"/>
  <c r="K71" i="143" s="1"/>
  <c r="M71" i="143" s="1"/>
  <c r="N71" i="143" s="1"/>
  <c r="K70" i="143"/>
  <c r="M70" i="143" s="1"/>
  <c r="J70" i="143"/>
  <c r="D70" i="143"/>
  <c r="O69" i="143"/>
  <c r="N69" i="143"/>
  <c r="K69" i="143"/>
  <c r="M69" i="143" s="1"/>
  <c r="J69" i="143"/>
  <c r="E69" i="143"/>
  <c r="K68" i="143"/>
  <c r="M68" i="143" s="1"/>
  <c r="J68" i="143"/>
  <c r="E68" i="143"/>
  <c r="O67" i="143"/>
  <c r="K67" i="143"/>
  <c r="M67" i="143" s="1"/>
  <c r="N67" i="143" s="1"/>
  <c r="J67" i="143"/>
  <c r="E67" i="143"/>
  <c r="I63" i="143"/>
  <c r="H63" i="143"/>
  <c r="F63" i="143" s="1"/>
  <c r="E63" i="143"/>
  <c r="D63" i="143"/>
  <c r="I62" i="143"/>
  <c r="J61" i="143"/>
  <c r="K61" i="143" s="1"/>
  <c r="M61" i="143" s="1"/>
  <c r="I61" i="143"/>
  <c r="F61" i="143"/>
  <c r="E61" i="143"/>
  <c r="B61" i="143"/>
  <c r="I60" i="143"/>
  <c r="J60" i="143" s="1"/>
  <c r="F60" i="143"/>
  <c r="E60" i="143"/>
  <c r="B60" i="143"/>
  <c r="J59" i="143"/>
  <c r="F59" i="143"/>
  <c r="E59" i="143"/>
  <c r="D59" i="143"/>
  <c r="B59" i="143"/>
  <c r="I58" i="143"/>
  <c r="B58" i="143"/>
  <c r="J57" i="143"/>
  <c r="H57" i="143"/>
  <c r="F57" i="143"/>
  <c r="E57" i="143"/>
  <c r="D57" i="143"/>
  <c r="J56" i="143"/>
  <c r="H56" i="143"/>
  <c r="G56" i="143"/>
  <c r="D56" i="143"/>
  <c r="K55" i="143"/>
  <c r="M55" i="143" s="1"/>
  <c r="J55" i="143"/>
  <c r="H55" i="143"/>
  <c r="G55" i="143"/>
  <c r="O54" i="143"/>
  <c r="N54" i="143"/>
  <c r="K54" i="143"/>
  <c r="M54" i="143" s="1"/>
  <c r="J54" i="143"/>
  <c r="K53" i="143"/>
  <c r="M53" i="143" s="1"/>
  <c r="J53" i="143"/>
  <c r="D53" i="143"/>
  <c r="N52" i="143"/>
  <c r="M52" i="143"/>
  <c r="O52" i="143" s="1"/>
  <c r="J52" i="143"/>
  <c r="K52" i="143" s="1"/>
  <c r="E52" i="143"/>
  <c r="K51" i="143"/>
  <c r="M51" i="143" s="1"/>
  <c r="J51" i="143"/>
  <c r="E51" i="143"/>
  <c r="J50" i="143"/>
  <c r="K50" i="143" s="1"/>
  <c r="M50" i="143" s="1"/>
  <c r="E50" i="143"/>
  <c r="I46" i="143"/>
  <c r="H46" i="143"/>
  <c r="E46" i="143"/>
  <c r="D46" i="143"/>
  <c r="I45" i="143"/>
  <c r="I44" i="143"/>
  <c r="F44" i="143"/>
  <c r="E44" i="143"/>
  <c r="B44" i="143"/>
  <c r="J44" i="143" s="1"/>
  <c r="K44" i="143" s="1"/>
  <c r="M44" i="143" s="1"/>
  <c r="F43" i="143"/>
  <c r="E43" i="143"/>
  <c r="B43" i="143"/>
  <c r="F42" i="143"/>
  <c r="E42" i="143"/>
  <c r="D42" i="143"/>
  <c r="B42" i="143"/>
  <c r="I41" i="143"/>
  <c r="C41" i="143"/>
  <c r="B41" i="143"/>
  <c r="M40" i="143"/>
  <c r="O40" i="143" s="1"/>
  <c r="K40" i="143"/>
  <c r="J40" i="143"/>
  <c r="H40" i="143"/>
  <c r="G40" i="143"/>
  <c r="F40" i="143"/>
  <c r="E40" i="143"/>
  <c r="D40" i="143"/>
  <c r="J39" i="143"/>
  <c r="H39" i="143"/>
  <c r="G39" i="143"/>
  <c r="D39" i="143"/>
  <c r="N38" i="143"/>
  <c r="J38" i="143"/>
  <c r="K38" i="143" s="1"/>
  <c r="M38" i="143" s="1"/>
  <c r="O38" i="143" s="1"/>
  <c r="H38" i="143"/>
  <c r="G38" i="143"/>
  <c r="M37" i="143"/>
  <c r="O37" i="143" s="1"/>
  <c r="J37" i="143"/>
  <c r="K37" i="143" s="1"/>
  <c r="J36" i="143"/>
  <c r="K36" i="143" s="1"/>
  <c r="M36" i="143" s="1"/>
  <c r="O36" i="143" s="1"/>
  <c r="D36" i="143"/>
  <c r="M35" i="143"/>
  <c r="N35" i="143" s="1"/>
  <c r="K35" i="143"/>
  <c r="J35" i="143"/>
  <c r="M34" i="143"/>
  <c r="J34" i="143"/>
  <c r="K34" i="143" s="1"/>
  <c r="E34" i="143"/>
  <c r="J33" i="143"/>
  <c r="K33" i="143" s="1"/>
  <c r="M33" i="143" s="1"/>
  <c r="E33" i="143"/>
  <c r="I29" i="143"/>
  <c r="H29" i="143"/>
  <c r="F29" i="143"/>
  <c r="C39" i="143" s="1"/>
  <c r="I42" i="143" s="1"/>
  <c r="E29" i="143"/>
  <c r="D29" i="143"/>
  <c r="C29" i="143"/>
  <c r="J32" i="143" s="1"/>
  <c r="K32" i="143" s="1"/>
  <c r="M32" i="143" s="1"/>
  <c r="I28" i="143"/>
  <c r="I27" i="143"/>
  <c r="F27" i="143"/>
  <c r="E27" i="143"/>
  <c r="B27" i="143"/>
  <c r="J27" i="143" s="1"/>
  <c r="K27" i="143" s="1"/>
  <c r="M27" i="143" s="1"/>
  <c r="F26" i="143"/>
  <c r="E26" i="143"/>
  <c r="B26" i="143"/>
  <c r="J25" i="143"/>
  <c r="F25" i="143"/>
  <c r="E25" i="143"/>
  <c r="D25" i="143"/>
  <c r="B25" i="143"/>
  <c r="I24" i="143"/>
  <c r="I26" i="143" s="1"/>
  <c r="J26" i="143" s="1"/>
  <c r="K26" i="143" s="1"/>
  <c r="M26" i="143" s="1"/>
  <c r="B24" i="143"/>
  <c r="J23" i="143"/>
  <c r="K23" i="143" s="1"/>
  <c r="M23" i="143" s="1"/>
  <c r="H23" i="143"/>
  <c r="G23" i="143"/>
  <c r="F23" i="143"/>
  <c r="E23" i="143"/>
  <c r="D23" i="143"/>
  <c r="H22" i="143"/>
  <c r="G22" i="143"/>
  <c r="D22" i="143"/>
  <c r="K21" i="143"/>
  <c r="M21" i="143" s="1"/>
  <c r="J21" i="143"/>
  <c r="H21" i="143"/>
  <c r="G21" i="143"/>
  <c r="K20" i="143"/>
  <c r="M20" i="143" s="1"/>
  <c r="O20" i="143" s="1"/>
  <c r="J20" i="143"/>
  <c r="D19" i="143"/>
  <c r="J19" i="143" s="1"/>
  <c r="K19" i="143" s="1"/>
  <c r="M19" i="143" s="1"/>
  <c r="M18" i="143"/>
  <c r="O18" i="143" s="1"/>
  <c r="J18" i="143"/>
  <c r="K18" i="143" s="1"/>
  <c r="E18" i="143"/>
  <c r="K17" i="143"/>
  <c r="M17" i="143" s="1"/>
  <c r="J17" i="143"/>
  <c r="E17" i="143"/>
  <c r="J16" i="143"/>
  <c r="K16" i="143" s="1"/>
  <c r="M16" i="143" s="1"/>
  <c r="E16" i="143"/>
  <c r="I12" i="143"/>
  <c r="H12" i="143"/>
  <c r="C12" i="143" s="1"/>
  <c r="F12" i="143"/>
  <c r="C22" i="143" s="1"/>
  <c r="E12" i="143"/>
  <c r="D12" i="143"/>
  <c r="I11" i="143"/>
  <c r="D9" i="143"/>
  <c r="K47" i="141"/>
  <c r="M47" i="141" s="1"/>
  <c r="K46" i="141"/>
  <c r="M46" i="141" s="1"/>
  <c r="M45" i="141"/>
  <c r="O45" i="141" s="1"/>
  <c r="K45" i="141"/>
  <c r="K44" i="141"/>
  <c r="M44" i="141" s="1"/>
  <c r="K43" i="141"/>
  <c r="M43" i="141" s="1"/>
  <c r="N42" i="141"/>
  <c r="M42" i="141"/>
  <c r="O42" i="141" s="1"/>
  <c r="K42" i="141"/>
  <c r="K41" i="141"/>
  <c r="M41" i="141" s="1"/>
  <c r="K40" i="141"/>
  <c r="M40" i="141" s="1"/>
  <c r="N39" i="141"/>
  <c r="J39" i="141"/>
  <c r="K39" i="141" s="1"/>
  <c r="M39" i="141" s="1"/>
  <c r="O39" i="141" s="1"/>
  <c r="J38" i="141"/>
  <c r="K38" i="141" s="1"/>
  <c r="M38" i="141" s="1"/>
  <c r="K37" i="141"/>
  <c r="J37" i="141"/>
  <c r="K33" i="141"/>
  <c r="M33" i="141" s="1"/>
  <c r="N32" i="141"/>
  <c r="M32" i="141"/>
  <c r="O32" i="141" s="1"/>
  <c r="K32" i="141"/>
  <c r="O31" i="141"/>
  <c r="K31" i="141"/>
  <c r="M31" i="141" s="1"/>
  <c r="N31" i="141" s="1"/>
  <c r="K30" i="141"/>
  <c r="M30" i="141" s="1"/>
  <c r="N29" i="141"/>
  <c r="M29" i="141"/>
  <c r="O29" i="141" s="1"/>
  <c r="K29" i="141"/>
  <c r="K28" i="141"/>
  <c r="M28" i="141" s="1"/>
  <c r="N28" i="141" s="1"/>
  <c r="K27" i="141"/>
  <c r="M27" i="141" s="1"/>
  <c r="N26" i="141"/>
  <c r="M26" i="141"/>
  <c r="O26" i="141" s="1"/>
  <c r="K26" i="141"/>
  <c r="O25" i="141"/>
  <c r="K25" i="141"/>
  <c r="M25" i="141" s="1"/>
  <c r="N25" i="141" s="1"/>
  <c r="K24" i="141"/>
  <c r="M24" i="141" s="1"/>
  <c r="N23" i="141"/>
  <c r="M23" i="141"/>
  <c r="O23" i="141" s="1"/>
  <c r="K23" i="141"/>
  <c r="K22" i="141"/>
  <c r="M22" i="141" s="1"/>
  <c r="N22" i="141" s="1"/>
  <c r="K21" i="141"/>
  <c r="M21" i="141" s="1"/>
  <c r="N20" i="141"/>
  <c r="M20" i="141"/>
  <c r="O20" i="141" s="1"/>
  <c r="K20" i="141"/>
  <c r="O19" i="141"/>
  <c r="K19" i="141"/>
  <c r="M19" i="141" s="1"/>
  <c r="N19" i="141" s="1"/>
  <c r="K18" i="141"/>
  <c r="M18" i="141" s="1"/>
  <c r="N17" i="141"/>
  <c r="M17" i="141"/>
  <c r="O17" i="141" s="1"/>
  <c r="K17" i="141"/>
  <c r="K16" i="141"/>
  <c r="M16" i="141" s="1"/>
  <c r="N16" i="141" s="1"/>
  <c r="K15" i="141"/>
  <c r="M15" i="141" s="1"/>
  <c r="N14" i="141"/>
  <c r="M14" i="141"/>
  <c r="K14" i="141"/>
  <c r="K12" i="141" s="1"/>
  <c r="L12" i="141"/>
  <c r="I12" i="141"/>
  <c r="G12" i="141"/>
  <c r="E12" i="141"/>
  <c r="H12" i="141" s="1"/>
  <c r="E9" i="141"/>
  <c r="O7" i="141"/>
  <c r="H7" i="141"/>
  <c r="D7" i="141"/>
  <c r="H5" i="141"/>
  <c r="D5" i="141"/>
  <c r="H3" i="141"/>
  <c r="D3" i="141"/>
  <c r="M48" i="140"/>
  <c r="N48" i="140" s="1"/>
  <c r="K48" i="140"/>
  <c r="K47" i="140"/>
  <c r="M47" i="140" s="1"/>
  <c r="O47" i="140" s="1"/>
  <c r="K46" i="140"/>
  <c r="M46" i="140" s="1"/>
  <c r="M45" i="140"/>
  <c r="N45" i="140" s="1"/>
  <c r="K45" i="140"/>
  <c r="K44" i="140"/>
  <c r="M44" i="140" s="1"/>
  <c r="O44" i="140" s="1"/>
  <c r="M43" i="140"/>
  <c r="K43" i="140"/>
  <c r="O42" i="140"/>
  <c r="M42" i="140"/>
  <c r="N42" i="140" s="1"/>
  <c r="K42" i="140"/>
  <c r="N41" i="140"/>
  <c r="K41" i="140"/>
  <c r="M41" i="140" s="1"/>
  <c r="O41" i="140" s="1"/>
  <c r="J40" i="140"/>
  <c r="K40" i="140" s="1"/>
  <c r="M40" i="140" s="1"/>
  <c r="J39" i="140"/>
  <c r="K39" i="140" s="1"/>
  <c r="M39" i="140" s="1"/>
  <c r="O39" i="140" s="1"/>
  <c r="J38" i="140"/>
  <c r="K38" i="140" s="1"/>
  <c r="K34" i="140"/>
  <c r="M34" i="140" s="1"/>
  <c r="O34" i="140" s="1"/>
  <c r="M33" i="140"/>
  <c r="K33" i="140"/>
  <c r="M32" i="140"/>
  <c r="K32" i="140"/>
  <c r="K31" i="140"/>
  <c r="M31" i="140" s="1"/>
  <c r="O31" i="140" s="1"/>
  <c r="K30" i="140"/>
  <c r="M30" i="140" s="1"/>
  <c r="M29" i="140"/>
  <c r="N29" i="140" s="1"/>
  <c r="K29" i="140"/>
  <c r="N28" i="140"/>
  <c r="K28" i="140"/>
  <c r="M28" i="140" s="1"/>
  <c r="O28" i="140" s="1"/>
  <c r="K27" i="140"/>
  <c r="M27" i="140" s="1"/>
  <c r="M26" i="140"/>
  <c r="N26" i="140" s="1"/>
  <c r="K26" i="140"/>
  <c r="K25" i="140"/>
  <c r="M25" i="140" s="1"/>
  <c r="O25" i="140" s="1"/>
  <c r="K24" i="140"/>
  <c r="M24" i="140" s="1"/>
  <c r="O23" i="140"/>
  <c r="M23" i="140"/>
  <c r="N23" i="140" s="1"/>
  <c r="K23" i="140"/>
  <c r="K22" i="140"/>
  <c r="M22" i="140" s="1"/>
  <c r="K21" i="140"/>
  <c r="M21" i="140" s="1"/>
  <c r="O20" i="140"/>
  <c r="M20" i="140"/>
  <c r="N20" i="140" s="1"/>
  <c r="K20" i="140"/>
  <c r="K18" i="140"/>
  <c r="M18" i="140" s="1"/>
  <c r="O18" i="140" s="1"/>
  <c r="M17" i="140"/>
  <c r="K17" i="140"/>
  <c r="M16" i="140"/>
  <c r="N16" i="140" s="1"/>
  <c r="K16" i="140"/>
  <c r="K15" i="140"/>
  <c r="M15" i="140" s="1"/>
  <c r="O15" i="140" s="1"/>
  <c r="M14" i="140"/>
  <c r="K14" i="140"/>
  <c r="I12" i="140"/>
  <c r="G12" i="140" s="1"/>
  <c r="E12" i="140"/>
  <c r="H12" i="140" s="1"/>
  <c r="E9" i="140"/>
  <c r="O7" i="140"/>
  <c r="H7" i="140"/>
  <c r="D7" i="140"/>
  <c r="H5" i="140"/>
  <c r="D5" i="140"/>
  <c r="H3" i="140"/>
  <c r="D3" i="140"/>
  <c r="I102" i="139"/>
  <c r="G102" i="139"/>
  <c r="F101" i="139"/>
  <c r="G101" i="139" s="1"/>
  <c r="I101" i="139" s="1"/>
  <c r="I100" i="139"/>
  <c r="J100" i="139" s="1"/>
  <c r="F100" i="139"/>
  <c r="G100" i="139" s="1"/>
  <c r="K99" i="139"/>
  <c r="I99" i="139"/>
  <c r="J99" i="139" s="1"/>
  <c r="G99" i="139"/>
  <c r="I98" i="139"/>
  <c r="G98" i="139"/>
  <c r="F97" i="139"/>
  <c r="G97" i="139" s="1"/>
  <c r="I97" i="139" s="1"/>
  <c r="K97" i="139" s="1"/>
  <c r="F96" i="139"/>
  <c r="G96" i="139" s="1"/>
  <c r="G93" i="139"/>
  <c r="I93" i="139" s="1"/>
  <c r="K93" i="139" s="1"/>
  <c r="F93" i="139"/>
  <c r="G92" i="139"/>
  <c r="I92" i="139" s="1"/>
  <c r="F92" i="139"/>
  <c r="G91" i="139"/>
  <c r="I91" i="139" s="1"/>
  <c r="F91" i="139"/>
  <c r="G90" i="139"/>
  <c r="I90" i="139" s="1"/>
  <c r="F90" i="139"/>
  <c r="I89" i="139"/>
  <c r="J89" i="139" s="1"/>
  <c r="F89" i="139"/>
  <c r="G89" i="139" s="1"/>
  <c r="F88" i="139"/>
  <c r="G88" i="139" s="1"/>
  <c r="I88" i="139" s="1"/>
  <c r="F87" i="139"/>
  <c r="G87" i="139" s="1"/>
  <c r="I87" i="139" s="1"/>
  <c r="J87" i="139" s="1"/>
  <c r="F86" i="139"/>
  <c r="G86" i="139" s="1"/>
  <c r="I86" i="139" s="1"/>
  <c r="F85" i="139"/>
  <c r="G85" i="139" s="1"/>
  <c r="F82" i="139"/>
  <c r="G82" i="139" s="1"/>
  <c r="I82" i="139" s="1"/>
  <c r="K81" i="139"/>
  <c r="G81" i="139"/>
  <c r="I81" i="139" s="1"/>
  <c r="J81" i="139" s="1"/>
  <c r="F81" i="139"/>
  <c r="G80" i="139"/>
  <c r="I80" i="139" s="1"/>
  <c r="K80" i="139" s="1"/>
  <c r="F80" i="139"/>
  <c r="I79" i="139"/>
  <c r="K79" i="139" s="1"/>
  <c r="G79" i="139"/>
  <c r="F79" i="139"/>
  <c r="G78" i="139"/>
  <c r="I78" i="139" s="1"/>
  <c r="J78" i="139" s="1"/>
  <c r="F78" i="139"/>
  <c r="F77" i="139"/>
  <c r="G77" i="139" s="1"/>
  <c r="I77" i="139" s="1"/>
  <c r="I76" i="139"/>
  <c r="J76" i="139" s="1"/>
  <c r="F76" i="139"/>
  <c r="G76" i="139" s="1"/>
  <c r="F75" i="139"/>
  <c r="G75" i="139" s="1"/>
  <c r="I75" i="139" s="1"/>
  <c r="J75" i="139" s="1"/>
  <c r="I74" i="139"/>
  <c r="F74" i="139"/>
  <c r="G74" i="139" s="1"/>
  <c r="F73" i="139"/>
  <c r="G73" i="139" s="1"/>
  <c r="I73" i="139" s="1"/>
  <c r="I72" i="139"/>
  <c r="F72" i="139"/>
  <c r="G72" i="139" s="1"/>
  <c r="F71" i="139"/>
  <c r="G71" i="139" s="1"/>
  <c r="I71" i="139" s="1"/>
  <c r="G68" i="139"/>
  <c r="I68" i="139" s="1"/>
  <c r="F68" i="139"/>
  <c r="G67" i="139"/>
  <c r="I67" i="139" s="1"/>
  <c r="K67" i="139" s="1"/>
  <c r="F67" i="139"/>
  <c r="I66" i="139"/>
  <c r="K66" i="139" s="1"/>
  <c r="G66" i="139"/>
  <c r="F66" i="139"/>
  <c r="K65" i="139"/>
  <c r="G65" i="139"/>
  <c r="I65" i="139" s="1"/>
  <c r="J65" i="139" s="1"/>
  <c r="F65" i="139"/>
  <c r="F64" i="139"/>
  <c r="G64" i="139" s="1"/>
  <c r="I64" i="139" s="1"/>
  <c r="F63" i="139"/>
  <c r="G63" i="139" s="1"/>
  <c r="I63" i="139" s="1"/>
  <c r="F62" i="139"/>
  <c r="G62" i="139" s="1"/>
  <c r="I62" i="139" s="1"/>
  <c r="J62" i="139" s="1"/>
  <c r="I61" i="139"/>
  <c r="K61" i="139" s="1"/>
  <c r="F61" i="139"/>
  <c r="G61" i="139" s="1"/>
  <c r="F60" i="139"/>
  <c r="G60" i="139" s="1"/>
  <c r="I60" i="139" s="1"/>
  <c r="I59" i="139"/>
  <c r="F59" i="139"/>
  <c r="G59" i="139" s="1"/>
  <c r="J58" i="139"/>
  <c r="F58" i="139"/>
  <c r="G58" i="139" s="1"/>
  <c r="I58" i="139" s="1"/>
  <c r="K58" i="139" s="1"/>
  <c r="F57" i="139"/>
  <c r="G57" i="139" s="1"/>
  <c r="I57" i="139" s="1"/>
  <c r="L56" i="139"/>
  <c r="M56" i="139" s="1"/>
  <c r="J56" i="139"/>
  <c r="F56" i="139"/>
  <c r="G56" i="139" s="1"/>
  <c r="I56" i="139" s="1"/>
  <c r="K56" i="139" s="1"/>
  <c r="L55" i="139"/>
  <c r="M55" i="139" s="1"/>
  <c r="I55" i="139"/>
  <c r="G55" i="139"/>
  <c r="F55" i="139"/>
  <c r="L54" i="139"/>
  <c r="M54" i="139" s="1"/>
  <c r="I54" i="139"/>
  <c r="F54" i="139"/>
  <c r="G54" i="139" s="1"/>
  <c r="L53" i="139"/>
  <c r="M53" i="139" s="1"/>
  <c r="I53" i="139"/>
  <c r="K53" i="139" s="1"/>
  <c r="F53" i="139"/>
  <c r="G53" i="139" s="1"/>
  <c r="L52" i="139"/>
  <c r="M52" i="139" s="1"/>
  <c r="F52" i="139"/>
  <c r="G52" i="139" s="1"/>
  <c r="I52" i="139" s="1"/>
  <c r="L51" i="139"/>
  <c r="M51" i="139" s="1"/>
  <c r="O14" i="139" s="1"/>
  <c r="F51" i="139"/>
  <c r="G51" i="139" s="1"/>
  <c r="I51" i="139" s="1"/>
  <c r="M50" i="139"/>
  <c r="L50" i="139"/>
  <c r="G50" i="139"/>
  <c r="I50" i="139" s="1"/>
  <c r="F50" i="139"/>
  <c r="M49" i="139"/>
  <c r="L49" i="139"/>
  <c r="K49" i="139"/>
  <c r="G49" i="139"/>
  <c r="I49" i="139" s="1"/>
  <c r="J49" i="139" s="1"/>
  <c r="F49" i="139"/>
  <c r="G47" i="139"/>
  <c r="I47" i="139" s="1"/>
  <c r="F47" i="139"/>
  <c r="F46" i="139"/>
  <c r="G46" i="139" s="1"/>
  <c r="I46" i="139" s="1"/>
  <c r="K45" i="139"/>
  <c r="F45" i="139"/>
  <c r="G45" i="139" s="1"/>
  <c r="I45" i="139" s="1"/>
  <c r="J45" i="139" s="1"/>
  <c r="I44" i="139"/>
  <c r="K44" i="139" s="1"/>
  <c r="F44" i="139"/>
  <c r="G44" i="139" s="1"/>
  <c r="F43" i="139"/>
  <c r="G43" i="139" s="1"/>
  <c r="I43" i="139" s="1"/>
  <c r="F42" i="139"/>
  <c r="G42" i="139" s="1"/>
  <c r="I42" i="139" s="1"/>
  <c r="J41" i="139"/>
  <c r="F41" i="139"/>
  <c r="G41" i="139" s="1"/>
  <c r="I41" i="139" s="1"/>
  <c r="K41" i="139" s="1"/>
  <c r="F40" i="139"/>
  <c r="G40" i="139" s="1"/>
  <c r="I40" i="139" s="1"/>
  <c r="K39" i="139"/>
  <c r="G39" i="139"/>
  <c r="I39" i="139" s="1"/>
  <c r="J39" i="139" s="1"/>
  <c r="F39" i="139"/>
  <c r="G38" i="139"/>
  <c r="I38" i="139" s="1"/>
  <c r="K38" i="139" s="1"/>
  <c r="F38" i="139"/>
  <c r="J37" i="139"/>
  <c r="I37" i="139"/>
  <c r="K37" i="139" s="1"/>
  <c r="G37" i="139"/>
  <c r="F37" i="139"/>
  <c r="K36" i="139"/>
  <c r="G36" i="139"/>
  <c r="I36" i="139" s="1"/>
  <c r="J36" i="139" s="1"/>
  <c r="F36" i="139"/>
  <c r="F35" i="139"/>
  <c r="G35" i="139" s="1"/>
  <c r="K32" i="139"/>
  <c r="F32" i="139"/>
  <c r="G32" i="139" s="1"/>
  <c r="I32" i="139" s="1"/>
  <c r="J32" i="139" s="1"/>
  <c r="I31" i="139"/>
  <c r="K31" i="139" s="1"/>
  <c r="F31" i="139"/>
  <c r="G31" i="139" s="1"/>
  <c r="F30" i="139"/>
  <c r="G30" i="139" s="1"/>
  <c r="I30" i="139" s="1"/>
  <c r="F29" i="139"/>
  <c r="G29" i="139" s="1"/>
  <c r="I29" i="139" s="1"/>
  <c r="J28" i="139"/>
  <c r="F28" i="139"/>
  <c r="G28" i="139" s="1"/>
  <c r="I28" i="139" s="1"/>
  <c r="K28" i="139" s="1"/>
  <c r="F27" i="139"/>
  <c r="G27" i="139" s="1"/>
  <c r="I27" i="139" s="1"/>
  <c r="K26" i="139"/>
  <c r="G26" i="139"/>
  <c r="I26" i="139" s="1"/>
  <c r="J26" i="139" s="1"/>
  <c r="F26" i="139"/>
  <c r="G25" i="139"/>
  <c r="I25" i="139" s="1"/>
  <c r="K25" i="139" s="1"/>
  <c r="G24" i="139"/>
  <c r="I24" i="139" s="1"/>
  <c r="F24" i="139"/>
  <c r="F23" i="139"/>
  <c r="G23" i="139" s="1"/>
  <c r="I23" i="139" s="1"/>
  <c r="G22" i="139"/>
  <c r="I22" i="139" s="1"/>
  <c r="F22" i="139"/>
  <c r="K21" i="139"/>
  <c r="J21" i="139"/>
  <c r="G21" i="139"/>
  <c r="I21" i="139" s="1"/>
  <c r="F21" i="139"/>
  <c r="G20" i="139"/>
  <c r="I20" i="139" s="1"/>
  <c r="K20" i="139" s="1"/>
  <c r="F20" i="139"/>
  <c r="G19" i="139"/>
  <c r="I19" i="139" s="1"/>
  <c r="F19" i="139"/>
  <c r="G18" i="139"/>
  <c r="I18" i="139" s="1"/>
  <c r="F18" i="139"/>
  <c r="F17" i="139"/>
  <c r="G17" i="139" s="1"/>
  <c r="I17" i="139" s="1"/>
  <c r="R16" i="139"/>
  <c r="J16" i="139"/>
  <c r="F16" i="139"/>
  <c r="G16" i="139" s="1"/>
  <c r="I16" i="139" s="1"/>
  <c r="K16" i="139" s="1"/>
  <c r="F15" i="139"/>
  <c r="G15" i="139" s="1"/>
  <c r="I14" i="139"/>
  <c r="F14" i="139"/>
  <c r="G14" i="139" s="1"/>
  <c r="D10" i="139"/>
  <c r="K8" i="139"/>
  <c r="F8" i="139"/>
  <c r="C8" i="139"/>
  <c r="F6" i="139"/>
  <c r="C6" i="139"/>
  <c r="F4" i="139"/>
  <c r="C4" i="139"/>
  <c r="O197" i="138"/>
  <c r="N197" i="138"/>
  <c r="K197" i="138"/>
  <c r="M197" i="138" s="1"/>
  <c r="M196" i="138"/>
  <c r="K196" i="138"/>
  <c r="M195" i="138"/>
  <c r="K195" i="138"/>
  <c r="O194" i="138"/>
  <c r="N194" i="138"/>
  <c r="K194" i="138"/>
  <c r="M194" i="138" s="1"/>
  <c r="N193" i="138"/>
  <c r="M193" i="138"/>
  <c r="O193" i="138" s="1"/>
  <c r="K193" i="138"/>
  <c r="M192" i="138"/>
  <c r="K192" i="138"/>
  <c r="N191" i="138"/>
  <c r="K191" i="138"/>
  <c r="M191" i="138" s="1"/>
  <c r="O191" i="138" s="1"/>
  <c r="M190" i="138"/>
  <c r="K190" i="138"/>
  <c r="M189" i="138"/>
  <c r="K189" i="138"/>
  <c r="K188" i="138"/>
  <c r="M188" i="138" s="1"/>
  <c r="O188" i="138" s="1"/>
  <c r="N187" i="138"/>
  <c r="M187" i="138"/>
  <c r="O187" i="138" s="1"/>
  <c r="K187" i="138"/>
  <c r="J186" i="138"/>
  <c r="K186" i="138" s="1"/>
  <c r="M186" i="138" s="1"/>
  <c r="O185" i="138"/>
  <c r="M185" i="138"/>
  <c r="N185" i="138" s="1"/>
  <c r="J185" i="138"/>
  <c r="K185" i="138" s="1"/>
  <c r="J184" i="138"/>
  <c r="K184" i="138" s="1"/>
  <c r="M184" i="138" s="1"/>
  <c r="J183" i="138"/>
  <c r="K183" i="138" s="1"/>
  <c r="F180" i="138"/>
  <c r="E180" i="138"/>
  <c r="B180" i="138"/>
  <c r="I179" i="138"/>
  <c r="J179" i="138" s="1"/>
  <c r="F179" i="138"/>
  <c r="E179" i="138"/>
  <c r="B179" i="138"/>
  <c r="F178" i="138"/>
  <c r="E178" i="138"/>
  <c r="D178" i="138"/>
  <c r="B178" i="138"/>
  <c r="I177" i="138"/>
  <c r="B177" i="138"/>
  <c r="O176" i="138"/>
  <c r="N176" i="138"/>
  <c r="K176" i="138"/>
  <c r="M176" i="138" s="1"/>
  <c r="H176" i="138"/>
  <c r="G176" i="138"/>
  <c r="F176" i="138"/>
  <c r="E176" i="138"/>
  <c r="D176" i="138"/>
  <c r="J175" i="138"/>
  <c r="H175" i="138"/>
  <c r="D175" i="138"/>
  <c r="M174" i="138"/>
  <c r="K174" i="138"/>
  <c r="J174" i="138"/>
  <c r="H174" i="138"/>
  <c r="K173" i="138"/>
  <c r="M173" i="138" s="1"/>
  <c r="J173" i="138"/>
  <c r="D172" i="138"/>
  <c r="J172" i="138" s="1"/>
  <c r="K172" i="138" s="1"/>
  <c r="M172" i="138" s="1"/>
  <c r="N171" i="138"/>
  <c r="K171" i="138"/>
  <c r="M171" i="138" s="1"/>
  <c r="O171" i="138" s="1"/>
  <c r="J171" i="138"/>
  <c r="E171" i="138"/>
  <c r="J170" i="138"/>
  <c r="K170" i="138" s="1"/>
  <c r="M170" i="138" s="1"/>
  <c r="O169" i="138"/>
  <c r="M169" i="138"/>
  <c r="N169" i="138" s="1"/>
  <c r="J169" i="138"/>
  <c r="K169" i="138" s="1"/>
  <c r="J168" i="138"/>
  <c r="K168" i="138" s="1"/>
  <c r="M168" i="138" s="1"/>
  <c r="I165" i="138"/>
  <c r="H165" i="138"/>
  <c r="F165" i="138" s="1"/>
  <c r="E165" i="138"/>
  <c r="D165" i="138"/>
  <c r="C165" i="138"/>
  <c r="J167" i="138" s="1"/>
  <c r="K167" i="138" s="1"/>
  <c r="I164" i="138"/>
  <c r="I163" i="138"/>
  <c r="F163" i="138"/>
  <c r="E163" i="138"/>
  <c r="B163" i="138"/>
  <c r="F162" i="138"/>
  <c r="E162" i="138"/>
  <c r="B162" i="138"/>
  <c r="J161" i="138"/>
  <c r="F161" i="138"/>
  <c r="E161" i="138"/>
  <c r="D161" i="138"/>
  <c r="B161" i="138"/>
  <c r="J160" i="138"/>
  <c r="K160" i="138" s="1"/>
  <c r="M160" i="138" s="1"/>
  <c r="I160" i="138"/>
  <c r="I162" i="138" s="1"/>
  <c r="J162" i="138" s="1"/>
  <c r="K162" i="138" s="1"/>
  <c r="M162" i="138" s="1"/>
  <c r="O162" i="138" s="1"/>
  <c r="F160" i="138"/>
  <c r="D160" i="138"/>
  <c r="C160" i="138"/>
  <c r="E160" i="138" s="1"/>
  <c r="B160" i="138"/>
  <c r="K159" i="138"/>
  <c r="M159" i="138" s="1"/>
  <c r="H159" i="138"/>
  <c r="G159" i="138"/>
  <c r="F159" i="138"/>
  <c r="E159" i="138"/>
  <c r="D159" i="138"/>
  <c r="H158" i="138"/>
  <c r="G158" i="138"/>
  <c r="F158" i="138"/>
  <c r="E158" i="138"/>
  <c r="D158" i="138"/>
  <c r="C158" i="138"/>
  <c r="I161" i="138" s="1"/>
  <c r="M157" i="138"/>
  <c r="K157" i="138"/>
  <c r="J157" i="138"/>
  <c r="H157" i="138"/>
  <c r="G157" i="138"/>
  <c r="J156" i="138"/>
  <c r="K156" i="138" s="1"/>
  <c r="M156" i="138" s="1"/>
  <c r="M155" i="138"/>
  <c r="O155" i="138" s="1"/>
  <c r="D155" i="138"/>
  <c r="J155" i="138" s="1"/>
  <c r="K155" i="138" s="1"/>
  <c r="O154" i="138"/>
  <c r="N154" i="138"/>
  <c r="M154" i="138"/>
  <c r="K154" i="138"/>
  <c r="J154" i="138"/>
  <c r="E154" i="138"/>
  <c r="M153" i="138"/>
  <c r="K153" i="138"/>
  <c r="J153" i="138"/>
  <c r="K152" i="138"/>
  <c r="M152" i="138" s="1"/>
  <c r="O152" i="138" s="1"/>
  <c r="J152" i="138"/>
  <c r="I148" i="138"/>
  <c r="H148" i="138"/>
  <c r="F148" i="138" s="1"/>
  <c r="E148" i="138"/>
  <c r="D148" i="138"/>
  <c r="G148" i="138" s="1"/>
  <c r="C148" i="138"/>
  <c r="I147" i="138"/>
  <c r="F146" i="138"/>
  <c r="E146" i="138"/>
  <c r="B146" i="138"/>
  <c r="F145" i="138"/>
  <c r="E145" i="138"/>
  <c r="B145" i="138"/>
  <c r="K144" i="138"/>
  <c r="M144" i="138" s="1"/>
  <c r="J144" i="138"/>
  <c r="F144" i="138"/>
  <c r="E144" i="138"/>
  <c r="D144" i="138"/>
  <c r="B144" i="138"/>
  <c r="O143" i="138"/>
  <c r="I143" i="138"/>
  <c r="I145" i="138" s="1"/>
  <c r="J145" i="138" s="1"/>
  <c r="K145" i="138" s="1"/>
  <c r="M145" i="138" s="1"/>
  <c r="F143" i="138"/>
  <c r="D143" i="138"/>
  <c r="B143" i="138"/>
  <c r="H142" i="138"/>
  <c r="F142" i="138"/>
  <c r="E142" i="138"/>
  <c r="D142" i="138"/>
  <c r="H141" i="138"/>
  <c r="G141" i="138"/>
  <c r="D141" i="138"/>
  <c r="C141" i="138"/>
  <c r="N140" i="138"/>
  <c r="M140" i="138"/>
  <c r="O140" i="138" s="1"/>
  <c r="K140" i="138"/>
  <c r="J140" i="138"/>
  <c r="H140" i="138"/>
  <c r="J139" i="138"/>
  <c r="K139" i="138" s="1"/>
  <c r="M139" i="138" s="1"/>
  <c r="D138" i="138"/>
  <c r="J138" i="138" s="1"/>
  <c r="K138" i="138" s="1"/>
  <c r="M138" i="138" s="1"/>
  <c r="N137" i="138"/>
  <c r="J137" i="138"/>
  <c r="K137" i="138" s="1"/>
  <c r="M137" i="138" s="1"/>
  <c r="O137" i="138" s="1"/>
  <c r="E137" i="138"/>
  <c r="K136" i="138"/>
  <c r="M136" i="138" s="1"/>
  <c r="J136" i="138"/>
  <c r="O135" i="138"/>
  <c r="N135" i="138"/>
  <c r="M135" i="138"/>
  <c r="J135" i="138"/>
  <c r="K135" i="138" s="1"/>
  <c r="I131" i="138"/>
  <c r="H131" i="138"/>
  <c r="C143" i="138" s="1"/>
  <c r="J143" i="138" s="1"/>
  <c r="K143" i="138" s="1"/>
  <c r="M143" i="138" s="1"/>
  <c r="N143" i="138" s="1"/>
  <c r="G131" i="138"/>
  <c r="F131" i="138"/>
  <c r="E131" i="138"/>
  <c r="D131" i="138"/>
  <c r="I130" i="138"/>
  <c r="I129" i="138"/>
  <c r="F129" i="138"/>
  <c r="E129" i="138"/>
  <c r="B129" i="138"/>
  <c r="I128" i="138"/>
  <c r="J128" i="138" s="1"/>
  <c r="F128" i="138"/>
  <c r="E128" i="138"/>
  <c r="B128" i="138"/>
  <c r="J127" i="138"/>
  <c r="K127" i="138" s="1"/>
  <c r="M127" i="138" s="1"/>
  <c r="F127" i="138"/>
  <c r="E127" i="138"/>
  <c r="D127" i="138"/>
  <c r="B127" i="138"/>
  <c r="I126" i="138"/>
  <c r="C126" i="138"/>
  <c r="B126" i="138"/>
  <c r="O125" i="138"/>
  <c r="M125" i="138"/>
  <c r="N125" i="138" s="1"/>
  <c r="K125" i="138"/>
  <c r="H125" i="138"/>
  <c r="G125" i="138"/>
  <c r="F125" i="138"/>
  <c r="E125" i="138"/>
  <c r="D125" i="138"/>
  <c r="K124" i="138"/>
  <c r="M124" i="138" s="1"/>
  <c r="J124" i="138"/>
  <c r="H124" i="138"/>
  <c r="G124" i="138"/>
  <c r="D124" i="138"/>
  <c r="M123" i="138"/>
  <c r="J123" i="138"/>
  <c r="K123" i="138" s="1"/>
  <c r="H123" i="138"/>
  <c r="G123" i="138"/>
  <c r="M122" i="138"/>
  <c r="N122" i="138" s="1"/>
  <c r="K122" i="138"/>
  <c r="J122" i="138"/>
  <c r="D121" i="138"/>
  <c r="J121" i="138" s="1"/>
  <c r="K121" i="138" s="1"/>
  <c r="M121" i="138" s="1"/>
  <c r="J120" i="138"/>
  <c r="K120" i="138" s="1"/>
  <c r="M120" i="138" s="1"/>
  <c r="E120" i="138"/>
  <c r="N119" i="138"/>
  <c r="K119" i="138"/>
  <c r="M119" i="138" s="1"/>
  <c r="O119" i="138" s="1"/>
  <c r="J119" i="138"/>
  <c r="J118" i="138"/>
  <c r="K118" i="138" s="1"/>
  <c r="M118" i="138" s="1"/>
  <c r="O118" i="138" s="1"/>
  <c r="I114" i="138"/>
  <c r="H114" i="138"/>
  <c r="F114" i="138" s="1"/>
  <c r="C124" i="138" s="1"/>
  <c r="E114" i="138"/>
  <c r="D114" i="138"/>
  <c r="I113" i="138"/>
  <c r="I112" i="138"/>
  <c r="F112" i="138"/>
  <c r="E112" i="138"/>
  <c r="B112" i="138"/>
  <c r="I111" i="138"/>
  <c r="J111" i="138" s="1"/>
  <c r="K111" i="138" s="1"/>
  <c r="M111" i="138" s="1"/>
  <c r="F111" i="138"/>
  <c r="E111" i="138"/>
  <c r="B111" i="138"/>
  <c r="F110" i="138"/>
  <c r="E110" i="138"/>
  <c r="D110" i="138"/>
  <c r="B110" i="138"/>
  <c r="I109" i="138"/>
  <c r="J110" i="138" s="1"/>
  <c r="B109" i="138"/>
  <c r="K108" i="138"/>
  <c r="M108" i="138" s="1"/>
  <c r="H108" i="138"/>
  <c r="F108" i="138"/>
  <c r="E108" i="138"/>
  <c r="D108" i="138"/>
  <c r="G108" i="138" s="1"/>
  <c r="H107" i="138"/>
  <c r="D107" i="138"/>
  <c r="C107" i="138"/>
  <c r="O106" i="138"/>
  <c r="N106" i="138"/>
  <c r="J106" i="138"/>
  <c r="K106" i="138" s="1"/>
  <c r="M106" i="138" s="1"/>
  <c r="H106" i="138"/>
  <c r="J105" i="138"/>
  <c r="K105" i="138" s="1"/>
  <c r="M105" i="138" s="1"/>
  <c r="N104" i="138"/>
  <c r="M104" i="138"/>
  <c r="O104" i="138" s="1"/>
  <c r="K104" i="138"/>
  <c r="J104" i="138"/>
  <c r="D104" i="138"/>
  <c r="J103" i="138"/>
  <c r="K103" i="138" s="1"/>
  <c r="M103" i="138" s="1"/>
  <c r="E103" i="138"/>
  <c r="O102" i="138"/>
  <c r="N102" i="138"/>
  <c r="M102" i="138"/>
  <c r="K102" i="138"/>
  <c r="J102" i="138"/>
  <c r="M101" i="138"/>
  <c r="O101" i="138" s="1"/>
  <c r="K101" i="138"/>
  <c r="J101" i="138"/>
  <c r="J100" i="138"/>
  <c r="K100" i="138" s="1"/>
  <c r="M100" i="138" s="1"/>
  <c r="I97" i="138"/>
  <c r="H97" i="138"/>
  <c r="C109" i="138" s="1"/>
  <c r="F97" i="138"/>
  <c r="E97" i="138"/>
  <c r="D97" i="138"/>
  <c r="G97" i="138" s="1"/>
  <c r="C97" i="138"/>
  <c r="J99" i="138" s="1"/>
  <c r="K99" i="138" s="1"/>
  <c r="I96" i="138"/>
  <c r="F95" i="138"/>
  <c r="E95" i="138"/>
  <c r="B95" i="138"/>
  <c r="F94" i="138"/>
  <c r="E94" i="138"/>
  <c r="B94" i="138"/>
  <c r="J93" i="138"/>
  <c r="K93" i="138" s="1"/>
  <c r="M93" i="138" s="1"/>
  <c r="F93" i="138"/>
  <c r="E93" i="138"/>
  <c r="D93" i="138"/>
  <c r="B93" i="138"/>
  <c r="I92" i="138"/>
  <c r="I94" i="138" s="1"/>
  <c r="J94" i="138" s="1"/>
  <c r="K94" i="138" s="1"/>
  <c r="M94" i="138" s="1"/>
  <c r="F92" i="138"/>
  <c r="E92" i="138"/>
  <c r="C92" i="138"/>
  <c r="B92" i="138"/>
  <c r="H91" i="138"/>
  <c r="F91" i="138"/>
  <c r="E91" i="138"/>
  <c r="D91" i="138"/>
  <c r="G91" i="138" s="1"/>
  <c r="J90" i="138"/>
  <c r="K90" i="138" s="1"/>
  <c r="M90" i="138" s="1"/>
  <c r="H90" i="138"/>
  <c r="D90" i="138"/>
  <c r="G90" i="138" s="1"/>
  <c r="J89" i="138"/>
  <c r="K89" i="138" s="1"/>
  <c r="M89" i="138" s="1"/>
  <c r="H89" i="138"/>
  <c r="G89" i="138"/>
  <c r="O88" i="138"/>
  <c r="J88" i="138"/>
  <c r="K88" i="138" s="1"/>
  <c r="M88" i="138" s="1"/>
  <c r="N88" i="138" s="1"/>
  <c r="D87" i="138"/>
  <c r="J87" i="138" s="1"/>
  <c r="K87" i="138" s="1"/>
  <c r="M87" i="138" s="1"/>
  <c r="J86" i="138"/>
  <c r="K86" i="138" s="1"/>
  <c r="M86" i="138" s="1"/>
  <c r="E86" i="138"/>
  <c r="J85" i="138"/>
  <c r="K85" i="138" s="1"/>
  <c r="M85" i="138" s="1"/>
  <c r="K84" i="138"/>
  <c r="M84" i="138" s="1"/>
  <c r="J84" i="138"/>
  <c r="I80" i="138"/>
  <c r="H80" i="138"/>
  <c r="F80" i="138" s="1"/>
  <c r="C90" i="138" s="1"/>
  <c r="E80" i="138"/>
  <c r="D80" i="138"/>
  <c r="G80" i="138" s="1"/>
  <c r="I79" i="138"/>
  <c r="I78" i="138"/>
  <c r="F78" i="138"/>
  <c r="E78" i="138"/>
  <c r="B78" i="138"/>
  <c r="F77" i="138"/>
  <c r="E77" i="138"/>
  <c r="B77" i="138"/>
  <c r="F76" i="138"/>
  <c r="E76" i="138"/>
  <c r="D76" i="138"/>
  <c r="B76" i="138"/>
  <c r="I75" i="138"/>
  <c r="J76" i="138" s="1"/>
  <c r="B75" i="138"/>
  <c r="H74" i="138"/>
  <c r="G74" i="138"/>
  <c r="F74" i="138"/>
  <c r="E74" i="138"/>
  <c r="D74" i="138"/>
  <c r="K74" i="138" s="1"/>
  <c r="M74" i="138" s="1"/>
  <c r="H73" i="138"/>
  <c r="D73" i="138"/>
  <c r="M72" i="138"/>
  <c r="N72" i="138" s="1"/>
  <c r="K72" i="138"/>
  <c r="J72" i="138"/>
  <c r="H72" i="138"/>
  <c r="J71" i="138"/>
  <c r="K71" i="138" s="1"/>
  <c r="M71" i="138" s="1"/>
  <c r="O70" i="138"/>
  <c r="M70" i="138"/>
  <c r="N70" i="138" s="1"/>
  <c r="K70" i="138"/>
  <c r="J70" i="138"/>
  <c r="D70" i="138"/>
  <c r="J69" i="138"/>
  <c r="K69" i="138" s="1"/>
  <c r="M69" i="138" s="1"/>
  <c r="E69" i="138"/>
  <c r="J68" i="138"/>
  <c r="K68" i="138" s="1"/>
  <c r="M68" i="138" s="1"/>
  <c r="J67" i="138"/>
  <c r="K67" i="138" s="1"/>
  <c r="M67" i="138" s="1"/>
  <c r="I63" i="138"/>
  <c r="H63" i="138"/>
  <c r="F63" i="138"/>
  <c r="C73" i="138" s="1"/>
  <c r="E63" i="138"/>
  <c r="D63" i="138"/>
  <c r="I62" i="138"/>
  <c r="F61" i="138"/>
  <c r="E61" i="138"/>
  <c r="B61" i="138"/>
  <c r="F60" i="138"/>
  <c r="E60" i="138"/>
  <c r="B60" i="138"/>
  <c r="F59" i="138"/>
  <c r="E59" i="138"/>
  <c r="D59" i="138"/>
  <c r="B59" i="138"/>
  <c r="I58" i="138"/>
  <c r="B58" i="138"/>
  <c r="H57" i="138"/>
  <c r="G57" i="138"/>
  <c r="F57" i="138"/>
  <c r="E57" i="138"/>
  <c r="D57" i="138"/>
  <c r="K57" i="138" s="1"/>
  <c r="M57" i="138" s="1"/>
  <c r="H56" i="138"/>
  <c r="D56" i="138"/>
  <c r="N55" i="138"/>
  <c r="J55" i="138"/>
  <c r="K55" i="138" s="1"/>
  <c r="M55" i="138" s="1"/>
  <c r="O55" i="138" s="1"/>
  <c r="H55" i="138"/>
  <c r="J54" i="138"/>
  <c r="K54" i="138" s="1"/>
  <c r="M54" i="138" s="1"/>
  <c r="N53" i="138"/>
  <c r="J53" i="138"/>
  <c r="K53" i="138" s="1"/>
  <c r="M53" i="138" s="1"/>
  <c r="O53" i="138" s="1"/>
  <c r="D53" i="138"/>
  <c r="J52" i="138"/>
  <c r="K52" i="138" s="1"/>
  <c r="M52" i="138" s="1"/>
  <c r="E52" i="138"/>
  <c r="N51" i="138"/>
  <c r="J51" i="138"/>
  <c r="K51" i="138" s="1"/>
  <c r="M51" i="138" s="1"/>
  <c r="O51" i="138" s="1"/>
  <c r="J50" i="138"/>
  <c r="K50" i="138" s="1"/>
  <c r="M50" i="138" s="1"/>
  <c r="I46" i="138"/>
  <c r="H46" i="138"/>
  <c r="E46" i="138"/>
  <c r="D46" i="138"/>
  <c r="I45" i="138"/>
  <c r="I44" i="138"/>
  <c r="J44" i="138" s="1"/>
  <c r="K44" i="138" s="1"/>
  <c r="M44" i="138" s="1"/>
  <c r="F44" i="138"/>
  <c r="E44" i="138"/>
  <c r="B44" i="138"/>
  <c r="F43" i="138"/>
  <c r="E43" i="138"/>
  <c r="B43" i="138"/>
  <c r="F42" i="138"/>
  <c r="E42" i="138"/>
  <c r="D42" i="138"/>
  <c r="B42" i="138"/>
  <c r="I41" i="138"/>
  <c r="J42" i="138" s="1"/>
  <c r="B41" i="138"/>
  <c r="M40" i="138"/>
  <c r="K40" i="138"/>
  <c r="H40" i="138"/>
  <c r="F40" i="138"/>
  <c r="E40" i="138"/>
  <c r="D40" i="138"/>
  <c r="G40" i="138" s="1"/>
  <c r="H39" i="138"/>
  <c r="D39" i="138"/>
  <c r="J38" i="138"/>
  <c r="K38" i="138" s="1"/>
  <c r="M38" i="138" s="1"/>
  <c r="H38" i="138"/>
  <c r="K37" i="138"/>
  <c r="M37" i="138" s="1"/>
  <c r="J37" i="138"/>
  <c r="D36" i="138"/>
  <c r="J36" i="138" s="1"/>
  <c r="K36" i="138" s="1"/>
  <c r="M36" i="138" s="1"/>
  <c r="N36" i="138" s="1"/>
  <c r="J35" i="138"/>
  <c r="K35" i="138" s="1"/>
  <c r="M35" i="138" s="1"/>
  <c r="N34" i="138"/>
  <c r="M34" i="138"/>
  <c r="O34" i="138" s="1"/>
  <c r="K34" i="138"/>
  <c r="J34" i="138"/>
  <c r="J33" i="138"/>
  <c r="K33" i="138" s="1"/>
  <c r="M33" i="138" s="1"/>
  <c r="I29" i="138"/>
  <c r="H29" i="138"/>
  <c r="F29" i="138"/>
  <c r="E29" i="138"/>
  <c r="D29" i="138"/>
  <c r="I28" i="138"/>
  <c r="F27" i="138"/>
  <c r="E27" i="138"/>
  <c r="B27" i="138"/>
  <c r="F26" i="138"/>
  <c r="E26" i="138"/>
  <c r="B26" i="138"/>
  <c r="F25" i="138"/>
  <c r="E25" i="138"/>
  <c r="D25" i="138"/>
  <c r="B25" i="138"/>
  <c r="I24" i="138"/>
  <c r="B24" i="138"/>
  <c r="K23" i="138"/>
  <c r="M23" i="138" s="1"/>
  <c r="H23" i="138"/>
  <c r="G23" i="138"/>
  <c r="F23" i="138"/>
  <c r="E23" i="138"/>
  <c r="D23" i="138"/>
  <c r="H22" i="138"/>
  <c r="D22" i="138"/>
  <c r="O21" i="138"/>
  <c r="J21" i="138"/>
  <c r="K21" i="138" s="1"/>
  <c r="M21" i="138" s="1"/>
  <c r="N21" i="138" s="1"/>
  <c r="H21" i="138"/>
  <c r="K20" i="138"/>
  <c r="M20" i="138" s="1"/>
  <c r="J20" i="138"/>
  <c r="O19" i="138"/>
  <c r="N19" i="138"/>
  <c r="D19" i="138"/>
  <c r="J19" i="138" s="1"/>
  <c r="K19" i="138" s="1"/>
  <c r="M19" i="138" s="1"/>
  <c r="J18" i="138"/>
  <c r="K18" i="138" s="1"/>
  <c r="M18" i="138" s="1"/>
  <c r="E18" i="138"/>
  <c r="K17" i="138"/>
  <c r="M17" i="138" s="1"/>
  <c r="J17" i="138"/>
  <c r="K16" i="138"/>
  <c r="M16" i="138" s="1"/>
  <c r="J16" i="138"/>
  <c r="I12" i="138"/>
  <c r="H12" i="138"/>
  <c r="E12" i="138"/>
  <c r="D12" i="138"/>
  <c r="I11" i="138"/>
  <c r="D9" i="138"/>
  <c r="O7" i="138"/>
  <c r="I7" i="138"/>
  <c r="G7" i="138"/>
  <c r="C7" i="138"/>
  <c r="I5" i="138"/>
  <c r="G5" i="138"/>
  <c r="C5" i="138"/>
  <c r="I3" i="138"/>
  <c r="G3" i="138"/>
  <c r="C3" i="138"/>
  <c r="O197" i="137"/>
  <c r="M197" i="137"/>
  <c r="N197" i="137" s="1"/>
  <c r="K197" i="137"/>
  <c r="K196" i="137"/>
  <c r="M196" i="137" s="1"/>
  <c r="K195" i="137"/>
  <c r="M195" i="137" s="1"/>
  <c r="M194" i="137"/>
  <c r="K194" i="137"/>
  <c r="K193" i="137"/>
  <c r="M193" i="137" s="1"/>
  <c r="K192" i="137"/>
  <c r="M192" i="137" s="1"/>
  <c r="O191" i="137"/>
  <c r="M191" i="137"/>
  <c r="N191" i="137" s="1"/>
  <c r="K191" i="137"/>
  <c r="K190" i="137"/>
  <c r="M190" i="137" s="1"/>
  <c r="K189" i="137"/>
  <c r="M189" i="137" s="1"/>
  <c r="M188" i="137"/>
  <c r="C188" i="137"/>
  <c r="K188" i="137" s="1"/>
  <c r="K187" i="137"/>
  <c r="M187" i="137" s="1"/>
  <c r="M186" i="137"/>
  <c r="K186" i="137"/>
  <c r="J186" i="137"/>
  <c r="O185" i="137"/>
  <c r="K185" i="137"/>
  <c r="M185" i="137" s="1"/>
  <c r="N185" i="137" s="1"/>
  <c r="J185" i="137"/>
  <c r="N184" i="137"/>
  <c r="J184" i="137"/>
  <c r="K184" i="137" s="1"/>
  <c r="M184" i="137" s="1"/>
  <c r="O184" i="137" s="1"/>
  <c r="J183" i="137"/>
  <c r="K183" i="137" s="1"/>
  <c r="K180" i="137"/>
  <c r="M180" i="137" s="1"/>
  <c r="J180" i="137"/>
  <c r="I180" i="137"/>
  <c r="F180" i="137"/>
  <c r="E180" i="137"/>
  <c r="B180" i="137"/>
  <c r="N179" i="137"/>
  <c r="I179" i="137"/>
  <c r="J179" i="137" s="1"/>
  <c r="K179" i="137" s="1"/>
  <c r="M179" i="137" s="1"/>
  <c r="O179" i="137" s="1"/>
  <c r="F179" i="137"/>
  <c r="E179" i="137"/>
  <c r="B179" i="137"/>
  <c r="J178" i="137"/>
  <c r="F178" i="137"/>
  <c r="E178" i="137"/>
  <c r="D178" i="137"/>
  <c r="B178" i="137"/>
  <c r="I177" i="137"/>
  <c r="C177" i="137"/>
  <c r="B177" i="137"/>
  <c r="O176" i="137"/>
  <c r="J176" i="137"/>
  <c r="K176" i="137" s="1"/>
  <c r="M176" i="137" s="1"/>
  <c r="N176" i="137" s="1"/>
  <c r="H176" i="137"/>
  <c r="F176" i="137"/>
  <c r="E176" i="137"/>
  <c r="D176" i="137"/>
  <c r="G176" i="137" s="1"/>
  <c r="H175" i="137"/>
  <c r="D175" i="137"/>
  <c r="J174" i="137"/>
  <c r="K174" i="137" s="1"/>
  <c r="M174" i="137" s="1"/>
  <c r="H174" i="137"/>
  <c r="K173" i="137"/>
  <c r="M173" i="137" s="1"/>
  <c r="J173" i="137"/>
  <c r="J172" i="137"/>
  <c r="K172" i="137" s="1"/>
  <c r="M172" i="137" s="1"/>
  <c r="D172" i="137"/>
  <c r="J171" i="137"/>
  <c r="K171" i="137" s="1"/>
  <c r="M171" i="137" s="1"/>
  <c r="E171" i="137"/>
  <c r="M170" i="137"/>
  <c r="K170" i="137"/>
  <c r="J170" i="137"/>
  <c r="E170" i="137"/>
  <c r="J169" i="137"/>
  <c r="K169" i="137" s="1"/>
  <c r="M169" i="137" s="1"/>
  <c r="E169" i="137"/>
  <c r="L165" i="137"/>
  <c r="I165" i="137"/>
  <c r="H165" i="137"/>
  <c r="E165" i="137"/>
  <c r="D165" i="137"/>
  <c r="I164" i="137"/>
  <c r="M163" i="137"/>
  <c r="K163" i="137"/>
  <c r="J163" i="137"/>
  <c r="I163" i="137"/>
  <c r="F163" i="137"/>
  <c r="E163" i="137"/>
  <c r="B163" i="137"/>
  <c r="I162" i="137"/>
  <c r="J162" i="137" s="1"/>
  <c r="F162" i="137"/>
  <c r="E162" i="137"/>
  <c r="B162" i="137"/>
  <c r="J161" i="137"/>
  <c r="F161" i="137"/>
  <c r="E161" i="137"/>
  <c r="D161" i="137"/>
  <c r="B161" i="137"/>
  <c r="I160" i="137"/>
  <c r="B160" i="137"/>
  <c r="O159" i="137"/>
  <c r="K159" i="137"/>
  <c r="M159" i="137" s="1"/>
  <c r="N159" i="137" s="1"/>
  <c r="J159" i="137"/>
  <c r="H159" i="137"/>
  <c r="F159" i="137"/>
  <c r="E159" i="137"/>
  <c r="D159" i="137"/>
  <c r="G159" i="137" s="1"/>
  <c r="J158" i="137"/>
  <c r="H158" i="137"/>
  <c r="G158" i="137"/>
  <c r="D158" i="137"/>
  <c r="M157" i="137"/>
  <c r="K157" i="137"/>
  <c r="J157" i="137"/>
  <c r="H157" i="137"/>
  <c r="G157" i="137"/>
  <c r="J156" i="137"/>
  <c r="K156" i="137" s="1"/>
  <c r="M156" i="137" s="1"/>
  <c r="M155" i="137"/>
  <c r="K155" i="137"/>
  <c r="J155" i="137"/>
  <c r="D155" i="137"/>
  <c r="O154" i="137"/>
  <c r="J154" i="137"/>
  <c r="K154" i="137" s="1"/>
  <c r="M154" i="137" s="1"/>
  <c r="N154" i="137" s="1"/>
  <c r="E154" i="137"/>
  <c r="J153" i="137"/>
  <c r="K153" i="137" s="1"/>
  <c r="M153" i="137" s="1"/>
  <c r="E153" i="137"/>
  <c r="J152" i="137"/>
  <c r="K152" i="137" s="1"/>
  <c r="M152" i="137" s="1"/>
  <c r="E152" i="137"/>
  <c r="I148" i="137"/>
  <c r="H148" i="137"/>
  <c r="F148" i="137"/>
  <c r="E148" i="137"/>
  <c r="D148" i="137"/>
  <c r="I147" i="137"/>
  <c r="J146" i="137"/>
  <c r="K146" i="137" s="1"/>
  <c r="M146" i="137" s="1"/>
  <c r="I146" i="137"/>
  <c r="F146" i="137"/>
  <c r="E146" i="137"/>
  <c r="B146" i="137"/>
  <c r="F145" i="137"/>
  <c r="E145" i="137"/>
  <c r="B145" i="137"/>
  <c r="F144" i="137"/>
  <c r="E144" i="137"/>
  <c r="D144" i="137"/>
  <c r="B144" i="137"/>
  <c r="I143" i="137"/>
  <c r="B143" i="137"/>
  <c r="K142" i="137"/>
  <c r="M142" i="137" s="1"/>
  <c r="J142" i="137"/>
  <c r="H142" i="137"/>
  <c r="G142" i="137"/>
  <c r="F142" i="137"/>
  <c r="E142" i="137"/>
  <c r="D142" i="137"/>
  <c r="J141" i="137"/>
  <c r="H141" i="137"/>
  <c r="G141" i="137"/>
  <c r="F141" i="137"/>
  <c r="D141" i="137"/>
  <c r="O140" i="137"/>
  <c r="K140" i="137"/>
  <c r="M140" i="137" s="1"/>
  <c r="N140" i="137" s="1"/>
  <c r="J140" i="137"/>
  <c r="H140" i="137"/>
  <c r="G140" i="137"/>
  <c r="O139" i="137"/>
  <c r="J139" i="137"/>
  <c r="K139" i="137" s="1"/>
  <c r="M139" i="137" s="1"/>
  <c r="N139" i="137" s="1"/>
  <c r="D138" i="137"/>
  <c r="J138" i="137" s="1"/>
  <c r="K138" i="137" s="1"/>
  <c r="M138" i="137" s="1"/>
  <c r="O137" i="137"/>
  <c r="M137" i="137"/>
  <c r="N137" i="137" s="1"/>
  <c r="K137" i="137"/>
  <c r="J137" i="137"/>
  <c r="E137" i="137"/>
  <c r="J136" i="137"/>
  <c r="K136" i="137" s="1"/>
  <c r="M136" i="137" s="1"/>
  <c r="E136" i="137"/>
  <c r="O135" i="137"/>
  <c r="N135" i="137"/>
  <c r="M135" i="137"/>
  <c r="K135" i="137"/>
  <c r="J135" i="137"/>
  <c r="E135" i="137"/>
  <c r="O134" i="137"/>
  <c r="J133" i="137"/>
  <c r="K133" i="137" s="1"/>
  <c r="I131" i="137"/>
  <c r="H131" i="137"/>
  <c r="C143" i="137" s="1"/>
  <c r="D143" i="137" s="1"/>
  <c r="F131" i="137"/>
  <c r="C141" i="137" s="1"/>
  <c r="E131" i="137"/>
  <c r="D131" i="137"/>
  <c r="C131" i="137"/>
  <c r="J134" i="137" s="1"/>
  <c r="K134" i="137" s="1"/>
  <c r="M134" i="137" s="1"/>
  <c r="N134" i="137" s="1"/>
  <c r="I130" i="137"/>
  <c r="N129" i="137"/>
  <c r="J129" i="137"/>
  <c r="K129" i="137" s="1"/>
  <c r="M129" i="137" s="1"/>
  <c r="O129" i="137" s="1"/>
  <c r="I129" i="137"/>
  <c r="F129" i="137"/>
  <c r="E129" i="137"/>
  <c r="B129" i="137"/>
  <c r="J128" i="137"/>
  <c r="K128" i="137" s="1"/>
  <c r="M128" i="137" s="1"/>
  <c r="N128" i="137" s="1"/>
  <c r="F128" i="137"/>
  <c r="E128" i="137"/>
  <c r="B128" i="137"/>
  <c r="J127" i="137"/>
  <c r="F127" i="137"/>
  <c r="E127" i="137"/>
  <c r="D127" i="137"/>
  <c r="B127" i="137"/>
  <c r="I126" i="137"/>
  <c r="I128" i="137" s="1"/>
  <c r="C126" i="137"/>
  <c r="B126" i="137"/>
  <c r="K125" i="137"/>
  <c r="M125" i="137" s="1"/>
  <c r="J125" i="137"/>
  <c r="H125" i="137"/>
  <c r="G125" i="137"/>
  <c r="F125" i="137"/>
  <c r="E125" i="137"/>
  <c r="D125" i="137"/>
  <c r="H124" i="137"/>
  <c r="G124" i="137"/>
  <c r="D124" i="137"/>
  <c r="K123" i="137"/>
  <c r="M123" i="137" s="1"/>
  <c r="J123" i="137"/>
  <c r="H123" i="137"/>
  <c r="K122" i="137"/>
  <c r="M122" i="137" s="1"/>
  <c r="J122" i="137"/>
  <c r="K121" i="137"/>
  <c r="M121" i="137" s="1"/>
  <c r="J121" i="137"/>
  <c r="D121" i="137"/>
  <c r="J120" i="137"/>
  <c r="K120" i="137" s="1"/>
  <c r="M120" i="137" s="1"/>
  <c r="E120" i="137"/>
  <c r="K119" i="137"/>
  <c r="M119" i="137" s="1"/>
  <c r="J119" i="137"/>
  <c r="E119" i="137"/>
  <c r="K118" i="137"/>
  <c r="M118" i="137" s="1"/>
  <c r="O118" i="137" s="1"/>
  <c r="J118" i="137"/>
  <c r="E118" i="137"/>
  <c r="I114" i="137"/>
  <c r="H114" i="137"/>
  <c r="F114" i="137"/>
  <c r="C124" i="137" s="1"/>
  <c r="E114" i="137"/>
  <c r="D114" i="137"/>
  <c r="G114" i="137" s="1"/>
  <c r="C114" i="137"/>
  <c r="J117" i="137" s="1"/>
  <c r="K117" i="137" s="1"/>
  <c r="M117" i="137" s="1"/>
  <c r="I113" i="137"/>
  <c r="F112" i="137"/>
  <c r="E112" i="137"/>
  <c r="B112" i="137"/>
  <c r="F111" i="137"/>
  <c r="E111" i="137"/>
  <c r="B111" i="137"/>
  <c r="J110" i="137"/>
  <c r="F110" i="137"/>
  <c r="E110" i="137"/>
  <c r="D110" i="137"/>
  <c r="B110" i="137"/>
  <c r="I109" i="137"/>
  <c r="I111" i="137" s="1"/>
  <c r="J111" i="137" s="1"/>
  <c r="B109" i="137"/>
  <c r="J108" i="137"/>
  <c r="H108" i="137"/>
  <c r="G108" i="137"/>
  <c r="F108" i="137"/>
  <c r="E108" i="137"/>
  <c r="D108" i="137"/>
  <c r="K108" i="137" s="1"/>
  <c r="M108" i="137" s="1"/>
  <c r="H107" i="137"/>
  <c r="D107" i="137"/>
  <c r="J106" i="137"/>
  <c r="K106" i="137" s="1"/>
  <c r="M106" i="137" s="1"/>
  <c r="H106" i="137"/>
  <c r="N105" i="137"/>
  <c r="K105" i="137"/>
  <c r="M105" i="137" s="1"/>
  <c r="O105" i="137" s="1"/>
  <c r="J105" i="137"/>
  <c r="J104" i="137"/>
  <c r="K104" i="137" s="1"/>
  <c r="M104" i="137" s="1"/>
  <c r="D104" i="137"/>
  <c r="M103" i="137"/>
  <c r="J103" i="137"/>
  <c r="K103" i="137" s="1"/>
  <c r="E103" i="137"/>
  <c r="J102" i="137"/>
  <c r="K102" i="137" s="1"/>
  <c r="M102" i="137" s="1"/>
  <c r="E102" i="137"/>
  <c r="M101" i="137"/>
  <c r="J101" i="137"/>
  <c r="K101" i="137" s="1"/>
  <c r="E101" i="137"/>
  <c r="I97" i="137"/>
  <c r="H97" i="137"/>
  <c r="E97" i="137"/>
  <c r="D97" i="137"/>
  <c r="I96" i="137"/>
  <c r="F95" i="137"/>
  <c r="E95" i="137"/>
  <c r="B95" i="137"/>
  <c r="F94" i="137"/>
  <c r="E94" i="137"/>
  <c r="B94" i="137"/>
  <c r="I93" i="137"/>
  <c r="F93" i="137"/>
  <c r="E93" i="137"/>
  <c r="D93" i="137"/>
  <c r="B93" i="137"/>
  <c r="J92" i="137"/>
  <c r="K92" i="137" s="1"/>
  <c r="M92" i="137" s="1"/>
  <c r="I92" i="137"/>
  <c r="I95" i="137" s="1"/>
  <c r="F92" i="137"/>
  <c r="E92" i="137"/>
  <c r="D92" i="137"/>
  <c r="C92" i="137"/>
  <c r="B92" i="137"/>
  <c r="H91" i="137"/>
  <c r="F91" i="137"/>
  <c r="E91" i="137"/>
  <c r="D91" i="137"/>
  <c r="J90" i="137"/>
  <c r="H90" i="137"/>
  <c r="D90" i="137"/>
  <c r="C90" i="137"/>
  <c r="F90" i="137" s="1"/>
  <c r="O89" i="137"/>
  <c r="J89" i="137"/>
  <c r="K89" i="137" s="1"/>
  <c r="M89" i="137" s="1"/>
  <c r="N89" i="137" s="1"/>
  <c r="H89" i="137"/>
  <c r="G89" i="137"/>
  <c r="J88" i="137"/>
  <c r="K88" i="137" s="1"/>
  <c r="M88" i="137" s="1"/>
  <c r="O87" i="137"/>
  <c r="D87" i="137"/>
  <c r="J87" i="137" s="1"/>
  <c r="K87" i="137" s="1"/>
  <c r="M87" i="137" s="1"/>
  <c r="N87" i="137" s="1"/>
  <c r="K86" i="137"/>
  <c r="M86" i="137" s="1"/>
  <c r="J86" i="137"/>
  <c r="E86" i="137"/>
  <c r="J85" i="137"/>
  <c r="K85" i="137" s="1"/>
  <c r="M85" i="137" s="1"/>
  <c r="N85" i="137" s="1"/>
  <c r="E85" i="137"/>
  <c r="K84" i="137"/>
  <c r="M84" i="137" s="1"/>
  <c r="J84" i="137"/>
  <c r="E84" i="137"/>
  <c r="O83" i="137"/>
  <c r="N83" i="137"/>
  <c r="M83" i="137"/>
  <c r="I80" i="137"/>
  <c r="H80" i="137"/>
  <c r="F80" i="137"/>
  <c r="E80" i="137"/>
  <c r="D80" i="137"/>
  <c r="C80" i="137"/>
  <c r="J83" i="137" s="1"/>
  <c r="I79" i="137"/>
  <c r="F78" i="137"/>
  <c r="E78" i="137"/>
  <c r="B78" i="137"/>
  <c r="J78" i="137" s="1"/>
  <c r="K78" i="137" s="1"/>
  <c r="M78" i="137" s="1"/>
  <c r="I77" i="137"/>
  <c r="J77" i="137" s="1"/>
  <c r="K77" i="137" s="1"/>
  <c r="M77" i="137" s="1"/>
  <c r="F77" i="137"/>
  <c r="E77" i="137"/>
  <c r="B77" i="137"/>
  <c r="J76" i="137"/>
  <c r="F76" i="137"/>
  <c r="E76" i="137"/>
  <c r="D76" i="137"/>
  <c r="B76" i="137"/>
  <c r="I75" i="137"/>
  <c r="I78" i="137" s="1"/>
  <c r="E75" i="137"/>
  <c r="C75" i="137"/>
  <c r="B75" i="137"/>
  <c r="J74" i="137"/>
  <c r="H74" i="137"/>
  <c r="F74" i="137"/>
  <c r="E74" i="137"/>
  <c r="D74" i="137"/>
  <c r="H73" i="137"/>
  <c r="G73" i="137"/>
  <c r="D73" i="137"/>
  <c r="M72" i="137"/>
  <c r="K72" i="137"/>
  <c r="J72" i="137"/>
  <c r="H72" i="137"/>
  <c r="J71" i="137"/>
  <c r="K71" i="137" s="1"/>
  <c r="M71" i="137" s="1"/>
  <c r="N71" i="137" s="1"/>
  <c r="D70" i="137"/>
  <c r="J70" i="137" s="1"/>
  <c r="K70" i="137" s="1"/>
  <c r="M70" i="137" s="1"/>
  <c r="N69" i="137"/>
  <c r="J69" i="137"/>
  <c r="K69" i="137" s="1"/>
  <c r="M69" i="137" s="1"/>
  <c r="O69" i="137" s="1"/>
  <c r="E69" i="137"/>
  <c r="N68" i="137"/>
  <c r="M68" i="137"/>
  <c r="O68" i="137" s="1"/>
  <c r="K68" i="137"/>
  <c r="J68" i="137"/>
  <c r="E68" i="137"/>
  <c r="J67" i="137"/>
  <c r="K67" i="137" s="1"/>
  <c r="M67" i="137" s="1"/>
  <c r="O67" i="137" s="1"/>
  <c r="E67" i="137"/>
  <c r="I63" i="137"/>
  <c r="H63" i="137"/>
  <c r="F63" i="137" s="1"/>
  <c r="C73" i="137" s="1"/>
  <c r="E63" i="137"/>
  <c r="D63" i="137"/>
  <c r="G63" i="137" s="1"/>
  <c r="C63" i="137"/>
  <c r="J66" i="137" s="1"/>
  <c r="K66" i="137" s="1"/>
  <c r="M66" i="137" s="1"/>
  <c r="I62" i="137"/>
  <c r="F61" i="137"/>
  <c r="E61" i="137"/>
  <c r="B61" i="137"/>
  <c r="K60" i="137"/>
  <c r="M60" i="137" s="1"/>
  <c r="I60" i="137"/>
  <c r="J60" i="137" s="1"/>
  <c r="F60" i="137"/>
  <c r="E60" i="137"/>
  <c r="B60" i="137"/>
  <c r="F59" i="137"/>
  <c r="E59" i="137"/>
  <c r="D59" i="137"/>
  <c r="B59" i="137"/>
  <c r="I58" i="137"/>
  <c r="I61" i="137" s="1"/>
  <c r="B58" i="137"/>
  <c r="H57" i="137"/>
  <c r="F57" i="137"/>
  <c r="E57" i="137"/>
  <c r="D57" i="137"/>
  <c r="H56" i="137"/>
  <c r="F56" i="137"/>
  <c r="D56" i="137"/>
  <c r="K55" i="137"/>
  <c r="M55" i="137" s="1"/>
  <c r="J55" i="137"/>
  <c r="H55" i="137"/>
  <c r="J54" i="137"/>
  <c r="K54" i="137" s="1"/>
  <c r="M54" i="137" s="1"/>
  <c r="O54" i="137" s="1"/>
  <c r="K53" i="137"/>
  <c r="M53" i="137" s="1"/>
  <c r="J53" i="137"/>
  <c r="D53" i="137"/>
  <c r="M52" i="137"/>
  <c r="K52" i="137"/>
  <c r="J52" i="137"/>
  <c r="E52" i="137"/>
  <c r="K51" i="137"/>
  <c r="M51" i="137" s="1"/>
  <c r="J51" i="137"/>
  <c r="E51" i="137"/>
  <c r="M50" i="137"/>
  <c r="K50" i="137"/>
  <c r="J50" i="137"/>
  <c r="E50" i="137"/>
  <c r="K49" i="137"/>
  <c r="M49" i="137" s="1"/>
  <c r="I46" i="137"/>
  <c r="H46" i="137"/>
  <c r="F46" i="137" s="1"/>
  <c r="C56" i="137" s="1"/>
  <c r="E46" i="137"/>
  <c r="D46" i="137"/>
  <c r="G46" i="137" s="1"/>
  <c r="C46" i="137"/>
  <c r="J49" i="137" s="1"/>
  <c r="I45" i="137"/>
  <c r="F44" i="137"/>
  <c r="E44" i="137"/>
  <c r="B44" i="137"/>
  <c r="F43" i="137"/>
  <c r="E43" i="137"/>
  <c r="B43" i="137"/>
  <c r="F42" i="137"/>
  <c r="E42" i="137"/>
  <c r="D42" i="137"/>
  <c r="B42" i="137"/>
  <c r="I41" i="137"/>
  <c r="B41" i="137"/>
  <c r="H40" i="137"/>
  <c r="G40" i="137"/>
  <c r="F40" i="137"/>
  <c r="E40" i="137"/>
  <c r="D40" i="137"/>
  <c r="H39" i="137"/>
  <c r="D39" i="137"/>
  <c r="J39" i="137" s="1"/>
  <c r="N38" i="137"/>
  <c r="K38" i="137"/>
  <c r="M38" i="137" s="1"/>
  <c r="O38" i="137" s="1"/>
  <c r="J38" i="137"/>
  <c r="H38" i="137"/>
  <c r="M37" i="137"/>
  <c r="K37" i="137"/>
  <c r="J37" i="137"/>
  <c r="K36" i="137"/>
  <c r="M36" i="137" s="1"/>
  <c r="O36" i="137" s="1"/>
  <c r="J36" i="137"/>
  <c r="D36" i="137"/>
  <c r="K35" i="137"/>
  <c r="M35" i="137" s="1"/>
  <c r="J35" i="137"/>
  <c r="M34" i="137"/>
  <c r="J34" i="137"/>
  <c r="K34" i="137" s="1"/>
  <c r="E34" i="137"/>
  <c r="J33" i="137"/>
  <c r="K33" i="137" s="1"/>
  <c r="M33" i="137" s="1"/>
  <c r="E33" i="137"/>
  <c r="I29" i="137"/>
  <c r="H29" i="137"/>
  <c r="E29" i="137"/>
  <c r="D29" i="137"/>
  <c r="I28" i="137"/>
  <c r="I27" i="137"/>
  <c r="J27" i="137" s="1"/>
  <c r="K27" i="137" s="1"/>
  <c r="M27" i="137" s="1"/>
  <c r="F27" i="137"/>
  <c r="E27" i="137"/>
  <c r="B27" i="137"/>
  <c r="I26" i="137"/>
  <c r="J26" i="137" s="1"/>
  <c r="K26" i="137" s="1"/>
  <c r="M26" i="137" s="1"/>
  <c r="F26" i="137"/>
  <c r="E26" i="137"/>
  <c r="B26" i="137"/>
  <c r="J25" i="137"/>
  <c r="I25" i="137"/>
  <c r="F25" i="137"/>
  <c r="E25" i="137"/>
  <c r="D25" i="137"/>
  <c r="B25" i="137"/>
  <c r="I24" i="137"/>
  <c r="B24" i="137"/>
  <c r="K23" i="137"/>
  <c r="M23" i="137" s="1"/>
  <c r="H23" i="137"/>
  <c r="F23" i="137"/>
  <c r="E23" i="137"/>
  <c r="D23" i="137"/>
  <c r="J23" i="137" s="1"/>
  <c r="J22" i="137"/>
  <c r="K22" i="137" s="1"/>
  <c r="M22" i="137" s="1"/>
  <c r="H22" i="137"/>
  <c r="G22" i="137"/>
  <c r="D22" i="137"/>
  <c r="C22" i="137"/>
  <c r="K21" i="137"/>
  <c r="M21" i="137" s="1"/>
  <c r="J21" i="137"/>
  <c r="H21" i="137"/>
  <c r="G21" i="137"/>
  <c r="J20" i="137"/>
  <c r="K20" i="137" s="1"/>
  <c r="M20" i="137" s="1"/>
  <c r="K19" i="137"/>
  <c r="M19" i="137" s="1"/>
  <c r="D19" i="137"/>
  <c r="J19" i="137" s="1"/>
  <c r="O18" i="137"/>
  <c r="J18" i="137"/>
  <c r="K18" i="137" s="1"/>
  <c r="M18" i="137" s="1"/>
  <c r="N18" i="137" s="1"/>
  <c r="E18" i="137"/>
  <c r="K17" i="137"/>
  <c r="M17" i="137" s="1"/>
  <c r="J17" i="137"/>
  <c r="E17" i="137"/>
  <c r="O16" i="137"/>
  <c r="J16" i="137"/>
  <c r="K16" i="137" s="1"/>
  <c r="M16" i="137" s="1"/>
  <c r="N16" i="137" s="1"/>
  <c r="E16" i="137"/>
  <c r="I12" i="137"/>
  <c r="H12" i="137"/>
  <c r="C12" i="137" s="1"/>
  <c r="G12" i="137"/>
  <c r="F12" i="137"/>
  <c r="E12" i="137"/>
  <c r="D12" i="137"/>
  <c r="I11" i="137"/>
  <c r="D9" i="137"/>
  <c r="O47" i="136"/>
  <c r="N47" i="136"/>
  <c r="M47" i="136"/>
  <c r="K47" i="136"/>
  <c r="M46" i="136"/>
  <c r="K46" i="136"/>
  <c r="M45" i="136"/>
  <c r="K45" i="136"/>
  <c r="O44" i="136"/>
  <c r="M44" i="136"/>
  <c r="N44" i="136" s="1"/>
  <c r="K44" i="136"/>
  <c r="M43" i="136"/>
  <c r="K43" i="136"/>
  <c r="K42" i="136"/>
  <c r="M42" i="136" s="1"/>
  <c r="O41" i="136"/>
  <c r="N41" i="136"/>
  <c r="M41" i="136"/>
  <c r="K41" i="136"/>
  <c r="K40" i="136"/>
  <c r="M40" i="136" s="1"/>
  <c r="O39" i="136"/>
  <c r="K39" i="136"/>
  <c r="M39" i="136" s="1"/>
  <c r="N39" i="136" s="1"/>
  <c r="J39" i="136"/>
  <c r="N38" i="136"/>
  <c r="J38" i="136"/>
  <c r="K38" i="136" s="1"/>
  <c r="M38" i="136" s="1"/>
  <c r="O38" i="136" s="1"/>
  <c r="K37" i="136"/>
  <c r="J37" i="136"/>
  <c r="K33" i="136"/>
  <c r="M33" i="136" s="1"/>
  <c r="K32" i="136"/>
  <c r="M32" i="136" s="1"/>
  <c r="O31" i="136"/>
  <c r="N31" i="136"/>
  <c r="M31" i="136"/>
  <c r="K31" i="136"/>
  <c r="M30" i="136"/>
  <c r="K30" i="136"/>
  <c r="N29" i="136"/>
  <c r="M29" i="136"/>
  <c r="O29" i="136" s="1"/>
  <c r="K29" i="136"/>
  <c r="M28" i="136"/>
  <c r="K28" i="136"/>
  <c r="K27" i="136"/>
  <c r="M27" i="136" s="1"/>
  <c r="K26" i="136"/>
  <c r="M26" i="136" s="1"/>
  <c r="O25" i="136"/>
  <c r="N25" i="136"/>
  <c r="M25" i="136"/>
  <c r="K25" i="136"/>
  <c r="K24" i="136"/>
  <c r="M24" i="136" s="1"/>
  <c r="M23" i="136"/>
  <c r="O23" i="136" s="1"/>
  <c r="K23" i="136"/>
  <c r="N22" i="136"/>
  <c r="M22" i="136"/>
  <c r="O22" i="136" s="1"/>
  <c r="K22" i="136"/>
  <c r="K21" i="136"/>
  <c r="M21" i="136" s="1"/>
  <c r="N20" i="136"/>
  <c r="K20" i="136"/>
  <c r="M20" i="136" s="1"/>
  <c r="O20" i="136" s="1"/>
  <c r="O19" i="136"/>
  <c r="M19" i="136"/>
  <c r="N19" i="136" s="1"/>
  <c r="K19" i="136"/>
  <c r="M18" i="136"/>
  <c r="K18" i="136"/>
  <c r="M17" i="136"/>
  <c r="K17" i="136"/>
  <c r="M16" i="136"/>
  <c r="O16" i="136" s="1"/>
  <c r="K16" i="136"/>
  <c r="K15" i="136"/>
  <c r="M15" i="136" s="1"/>
  <c r="K14" i="136"/>
  <c r="I12" i="136"/>
  <c r="H12" i="136"/>
  <c r="G12" i="136"/>
  <c r="E12" i="136"/>
  <c r="E9" i="136"/>
  <c r="O7" i="136"/>
  <c r="H7" i="136"/>
  <c r="D7" i="136"/>
  <c r="H5" i="136"/>
  <c r="D5" i="136"/>
  <c r="H3" i="136"/>
  <c r="D3" i="136"/>
  <c r="K48" i="135"/>
  <c r="M48" i="135" s="1"/>
  <c r="K47" i="135"/>
  <c r="M47" i="135" s="1"/>
  <c r="N47" i="135" s="1"/>
  <c r="M46" i="135"/>
  <c r="O46" i="135" s="1"/>
  <c r="K46" i="135"/>
  <c r="N45" i="135"/>
  <c r="K45" i="135"/>
  <c r="M45" i="135" s="1"/>
  <c r="O45" i="135" s="1"/>
  <c r="K44" i="135"/>
  <c r="M44" i="135" s="1"/>
  <c r="N44" i="135" s="1"/>
  <c r="O43" i="135"/>
  <c r="N43" i="135"/>
  <c r="K43" i="135"/>
  <c r="M43" i="135" s="1"/>
  <c r="K42" i="135"/>
  <c r="M42" i="135" s="1"/>
  <c r="O41" i="135"/>
  <c r="M41" i="135"/>
  <c r="N41" i="135" s="1"/>
  <c r="K41" i="135"/>
  <c r="J40" i="135"/>
  <c r="K40" i="135" s="1"/>
  <c r="M40" i="135" s="1"/>
  <c r="K39" i="135"/>
  <c r="M39" i="135" s="1"/>
  <c r="J39" i="135"/>
  <c r="M38" i="135"/>
  <c r="J38" i="135"/>
  <c r="K38" i="135" s="1"/>
  <c r="K37" i="135" s="1"/>
  <c r="K34" i="135"/>
  <c r="M34" i="135" s="1"/>
  <c r="N34" i="135" s="1"/>
  <c r="M33" i="135"/>
  <c r="N33" i="135" s="1"/>
  <c r="K33" i="135"/>
  <c r="M32" i="135"/>
  <c r="K32" i="135"/>
  <c r="K31" i="135"/>
  <c r="M31" i="135" s="1"/>
  <c r="N31" i="135" s="1"/>
  <c r="M30" i="135"/>
  <c r="K30" i="135"/>
  <c r="K29" i="135"/>
  <c r="M29" i="135" s="1"/>
  <c r="N29" i="135" s="1"/>
  <c r="O28" i="135"/>
  <c r="K28" i="135"/>
  <c r="M28" i="135" s="1"/>
  <c r="N28" i="135" s="1"/>
  <c r="K27" i="135"/>
  <c r="M27" i="135" s="1"/>
  <c r="O26" i="135"/>
  <c r="M26" i="135"/>
  <c r="N26" i="135" s="1"/>
  <c r="K26" i="135"/>
  <c r="K25" i="135"/>
  <c r="M25" i="135" s="1"/>
  <c r="K24" i="135"/>
  <c r="M24" i="135" s="1"/>
  <c r="M23" i="135"/>
  <c r="K23" i="135"/>
  <c r="O22" i="135"/>
  <c r="K22" i="135"/>
  <c r="M22" i="135" s="1"/>
  <c r="N22" i="135" s="1"/>
  <c r="M21" i="135"/>
  <c r="O21" i="135" s="1"/>
  <c r="K21" i="135"/>
  <c r="K20" i="135"/>
  <c r="M20" i="135" s="1"/>
  <c r="O18" i="135"/>
  <c r="K18" i="135"/>
  <c r="M18" i="135" s="1"/>
  <c r="N18" i="135" s="1"/>
  <c r="K17" i="135"/>
  <c r="M17" i="135" s="1"/>
  <c r="O16" i="135"/>
  <c r="K16" i="135"/>
  <c r="M16" i="135" s="1"/>
  <c r="N16" i="135" s="1"/>
  <c r="K15" i="135"/>
  <c r="M15" i="135" s="1"/>
  <c r="N15" i="135" s="1"/>
  <c r="O14" i="135"/>
  <c r="M14" i="135"/>
  <c r="N14" i="135" s="1"/>
  <c r="K14" i="135"/>
  <c r="L12" i="135"/>
  <c r="I12" i="135"/>
  <c r="G12" i="135" s="1"/>
  <c r="E12" i="135"/>
  <c r="E9" i="135"/>
  <c r="O7" i="135"/>
  <c r="H7" i="135"/>
  <c r="D7" i="135"/>
  <c r="H5" i="135"/>
  <c r="D5" i="135"/>
  <c r="H3" i="135"/>
  <c r="D3" i="135"/>
  <c r="K102" i="134"/>
  <c r="J102" i="134"/>
  <c r="G102" i="134"/>
  <c r="I102" i="134" s="1"/>
  <c r="F101" i="134"/>
  <c r="G101" i="134" s="1"/>
  <c r="I101" i="134" s="1"/>
  <c r="F100" i="134"/>
  <c r="G100" i="134" s="1"/>
  <c r="I100" i="134" s="1"/>
  <c r="J99" i="134"/>
  <c r="I99" i="134"/>
  <c r="K99" i="134" s="1"/>
  <c r="G99" i="134"/>
  <c r="G98" i="134"/>
  <c r="I98" i="134" s="1"/>
  <c r="K98" i="134" s="1"/>
  <c r="I97" i="134"/>
  <c r="J97" i="134" s="1"/>
  <c r="G97" i="134"/>
  <c r="F97" i="134"/>
  <c r="F96" i="134"/>
  <c r="G96" i="134" s="1"/>
  <c r="I96" i="134" s="1"/>
  <c r="K96" i="134" s="1"/>
  <c r="G93" i="134"/>
  <c r="I93" i="134" s="1"/>
  <c r="F93" i="134"/>
  <c r="F92" i="134"/>
  <c r="G92" i="134" s="1"/>
  <c r="I92" i="134" s="1"/>
  <c r="K91" i="134"/>
  <c r="F91" i="134"/>
  <c r="G91" i="134" s="1"/>
  <c r="I91" i="134" s="1"/>
  <c r="J91" i="134" s="1"/>
  <c r="F90" i="134"/>
  <c r="G90" i="134" s="1"/>
  <c r="I90" i="134" s="1"/>
  <c r="K90" i="134" s="1"/>
  <c r="I89" i="134"/>
  <c r="F89" i="134"/>
  <c r="G89" i="134" s="1"/>
  <c r="I88" i="134"/>
  <c r="G88" i="134"/>
  <c r="F88" i="134"/>
  <c r="J87" i="134"/>
  <c r="F87" i="134"/>
  <c r="G87" i="134" s="1"/>
  <c r="I87" i="134" s="1"/>
  <c r="K87" i="134" s="1"/>
  <c r="F86" i="134"/>
  <c r="G86" i="134" s="1"/>
  <c r="I86" i="134" s="1"/>
  <c r="K86" i="134" s="1"/>
  <c r="G85" i="134"/>
  <c r="F85" i="134"/>
  <c r="F82" i="134"/>
  <c r="G82" i="134" s="1"/>
  <c r="I82" i="134" s="1"/>
  <c r="K82" i="134" s="1"/>
  <c r="K81" i="134"/>
  <c r="G81" i="134"/>
  <c r="I81" i="134" s="1"/>
  <c r="J81" i="134" s="1"/>
  <c r="F81" i="134"/>
  <c r="F80" i="134"/>
  <c r="G80" i="134" s="1"/>
  <c r="I80" i="134" s="1"/>
  <c r="I79" i="134"/>
  <c r="F79" i="134"/>
  <c r="G79" i="134" s="1"/>
  <c r="I78" i="134"/>
  <c r="F78" i="134"/>
  <c r="G78" i="134" s="1"/>
  <c r="F77" i="134"/>
  <c r="G77" i="134" s="1"/>
  <c r="I77" i="134" s="1"/>
  <c r="F76" i="134"/>
  <c r="G76" i="134" s="1"/>
  <c r="I76" i="134" s="1"/>
  <c r="G75" i="134"/>
  <c r="I75" i="134" s="1"/>
  <c r="F75" i="134"/>
  <c r="J74" i="134"/>
  <c r="F74" i="134"/>
  <c r="G74" i="134" s="1"/>
  <c r="I74" i="134" s="1"/>
  <c r="K74" i="134" s="1"/>
  <c r="J73" i="134"/>
  <c r="F73" i="134"/>
  <c r="G73" i="134" s="1"/>
  <c r="I73" i="134" s="1"/>
  <c r="K73" i="134" s="1"/>
  <c r="G72" i="134"/>
  <c r="F72" i="134"/>
  <c r="G71" i="134"/>
  <c r="I71" i="134" s="1"/>
  <c r="K71" i="134" s="1"/>
  <c r="F71" i="134"/>
  <c r="G68" i="134"/>
  <c r="I68" i="134" s="1"/>
  <c r="F68" i="134"/>
  <c r="G67" i="134"/>
  <c r="I67" i="134" s="1"/>
  <c r="F67" i="134"/>
  <c r="I66" i="134"/>
  <c r="K66" i="134" s="1"/>
  <c r="F66" i="134"/>
  <c r="G66" i="134" s="1"/>
  <c r="I65" i="134"/>
  <c r="J65" i="134" s="1"/>
  <c r="F65" i="134"/>
  <c r="G65" i="134" s="1"/>
  <c r="J64" i="134"/>
  <c r="F64" i="134"/>
  <c r="G64" i="134" s="1"/>
  <c r="I64" i="134" s="1"/>
  <c r="K64" i="134" s="1"/>
  <c r="I63" i="134"/>
  <c r="F63" i="134"/>
  <c r="G63" i="134" s="1"/>
  <c r="G62" i="134"/>
  <c r="I62" i="134" s="1"/>
  <c r="F62" i="134"/>
  <c r="J61" i="134"/>
  <c r="F61" i="134"/>
  <c r="G61" i="134" s="1"/>
  <c r="I61" i="134" s="1"/>
  <c r="K61" i="134" s="1"/>
  <c r="F60" i="134"/>
  <c r="G60" i="134" s="1"/>
  <c r="I60" i="134" s="1"/>
  <c r="G59" i="134"/>
  <c r="I59" i="134" s="1"/>
  <c r="F59" i="134"/>
  <c r="G58" i="134"/>
  <c r="I58" i="134" s="1"/>
  <c r="K58" i="134" s="1"/>
  <c r="F58" i="134"/>
  <c r="I57" i="134"/>
  <c r="K57" i="134" s="1"/>
  <c r="F57" i="134"/>
  <c r="G57" i="134" s="1"/>
  <c r="M56" i="134"/>
  <c r="L56" i="134"/>
  <c r="G56" i="134"/>
  <c r="I56" i="134" s="1"/>
  <c r="K56" i="134" s="1"/>
  <c r="F56" i="134"/>
  <c r="L55" i="134"/>
  <c r="M55" i="134" s="1"/>
  <c r="I55" i="134"/>
  <c r="J55" i="134" s="1"/>
  <c r="G55" i="134"/>
  <c r="F55" i="134"/>
  <c r="L54" i="134"/>
  <c r="M54" i="134" s="1"/>
  <c r="J54" i="134"/>
  <c r="F54" i="134"/>
  <c r="G54" i="134" s="1"/>
  <c r="I54" i="134" s="1"/>
  <c r="K54" i="134" s="1"/>
  <c r="M53" i="134"/>
  <c r="L53" i="134"/>
  <c r="J53" i="134"/>
  <c r="F53" i="134"/>
  <c r="G53" i="134" s="1"/>
  <c r="I53" i="134" s="1"/>
  <c r="K53" i="134" s="1"/>
  <c r="L52" i="134"/>
  <c r="M52" i="134" s="1"/>
  <c r="I52" i="134"/>
  <c r="G52" i="134"/>
  <c r="F52" i="134"/>
  <c r="M51" i="134"/>
  <c r="L51" i="134"/>
  <c r="F51" i="134"/>
  <c r="G51" i="134" s="1"/>
  <c r="I51" i="134" s="1"/>
  <c r="L50" i="134"/>
  <c r="M50" i="134" s="1"/>
  <c r="J50" i="134"/>
  <c r="G50" i="134"/>
  <c r="I50" i="134" s="1"/>
  <c r="K50" i="134" s="1"/>
  <c r="F50" i="134"/>
  <c r="L49" i="134"/>
  <c r="M49" i="134" s="1"/>
  <c r="F49" i="134"/>
  <c r="G49" i="134" s="1"/>
  <c r="I49" i="134" s="1"/>
  <c r="G47" i="134"/>
  <c r="I47" i="134" s="1"/>
  <c r="F47" i="134"/>
  <c r="F46" i="134"/>
  <c r="G46" i="134" s="1"/>
  <c r="I46" i="134" s="1"/>
  <c r="I45" i="134"/>
  <c r="G45" i="134"/>
  <c r="F45" i="134"/>
  <c r="F44" i="134"/>
  <c r="G44" i="134" s="1"/>
  <c r="I44" i="134" s="1"/>
  <c r="K44" i="134" s="1"/>
  <c r="J43" i="134"/>
  <c r="F43" i="134"/>
  <c r="G43" i="134" s="1"/>
  <c r="I43" i="134" s="1"/>
  <c r="K43" i="134" s="1"/>
  <c r="K42" i="134"/>
  <c r="G42" i="134"/>
  <c r="I42" i="134" s="1"/>
  <c r="J42" i="134" s="1"/>
  <c r="F42" i="134"/>
  <c r="J41" i="134"/>
  <c r="G41" i="134"/>
  <c r="I41" i="134" s="1"/>
  <c r="K41" i="134" s="1"/>
  <c r="F41" i="134"/>
  <c r="F40" i="134"/>
  <c r="G40" i="134" s="1"/>
  <c r="I40" i="134" s="1"/>
  <c r="K39" i="134"/>
  <c r="G39" i="134"/>
  <c r="I39" i="134" s="1"/>
  <c r="J39" i="134" s="1"/>
  <c r="F39" i="134"/>
  <c r="F38" i="134"/>
  <c r="G38" i="134" s="1"/>
  <c r="I38" i="134" s="1"/>
  <c r="F37" i="134"/>
  <c r="G37" i="134" s="1"/>
  <c r="I37" i="134" s="1"/>
  <c r="F36" i="134"/>
  <c r="G36" i="134" s="1"/>
  <c r="I36" i="134" s="1"/>
  <c r="G35" i="134"/>
  <c r="I35" i="134" s="1"/>
  <c r="F35" i="134"/>
  <c r="I32" i="134"/>
  <c r="G32" i="134"/>
  <c r="F32" i="134"/>
  <c r="F31" i="134"/>
  <c r="G31" i="134" s="1"/>
  <c r="I31" i="134" s="1"/>
  <c r="K31" i="134" s="1"/>
  <c r="J30" i="134"/>
  <c r="F30" i="134"/>
  <c r="G30" i="134" s="1"/>
  <c r="I30" i="134" s="1"/>
  <c r="K30" i="134" s="1"/>
  <c r="G29" i="134"/>
  <c r="I29" i="134" s="1"/>
  <c r="F29" i="134"/>
  <c r="J28" i="134"/>
  <c r="G28" i="134"/>
  <c r="I28" i="134" s="1"/>
  <c r="K28" i="134" s="1"/>
  <c r="F28" i="134"/>
  <c r="F27" i="134"/>
  <c r="G27" i="134" s="1"/>
  <c r="I27" i="134" s="1"/>
  <c r="K26" i="134"/>
  <c r="G26" i="134"/>
  <c r="I26" i="134" s="1"/>
  <c r="J26" i="134" s="1"/>
  <c r="F26" i="134"/>
  <c r="G25" i="134"/>
  <c r="I25" i="134" s="1"/>
  <c r="J25" i="134" s="1"/>
  <c r="K24" i="134"/>
  <c r="I24" i="134"/>
  <c r="J24" i="134" s="1"/>
  <c r="G24" i="134"/>
  <c r="F24" i="134"/>
  <c r="G23" i="134"/>
  <c r="I23" i="134" s="1"/>
  <c r="K23" i="134" s="1"/>
  <c r="F23" i="134"/>
  <c r="F22" i="134"/>
  <c r="G22" i="134" s="1"/>
  <c r="I22" i="134" s="1"/>
  <c r="G21" i="134"/>
  <c r="I21" i="134" s="1"/>
  <c r="J21" i="134" s="1"/>
  <c r="F21" i="134"/>
  <c r="F20" i="134"/>
  <c r="G20" i="134" s="1"/>
  <c r="I20" i="134" s="1"/>
  <c r="F19" i="134"/>
  <c r="G19" i="134" s="1"/>
  <c r="I19" i="134" s="1"/>
  <c r="F18" i="134"/>
  <c r="G18" i="134" s="1"/>
  <c r="I18" i="134" s="1"/>
  <c r="F17" i="134"/>
  <c r="G17" i="134" s="1"/>
  <c r="I17" i="134" s="1"/>
  <c r="R16" i="134"/>
  <c r="J16" i="134"/>
  <c r="G16" i="134"/>
  <c r="I16" i="134" s="1"/>
  <c r="K16" i="134" s="1"/>
  <c r="F16" i="134"/>
  <c r="J15" i="134"/>
  <c r="I15" i="134"/>
  <c r="K15" i="134" s="1"/>
  <c r="F15" i="134"/>
  <c r="G15" i="134" s="1"/>
  <c r="O14" i="134"/>
  <c r="F14" i="134"/>
  <c r="G14" i="134" s="1"/>
  <c r="D10" i="134"/>
  <c r="K8" i="134"/>
  <c r="F8" i="134"/>
  <c r="C8" i="134"/>
  <c r="F6" i="134"/>
  <c r="C6" i="134"/>
  <c r="F4" i="134"/>
  <c r="C4" i="134"/>
  <c r="O197" i="133"/>
  <c r="K197" i="133"/>
  <c r="M197" i="133" s="1"/>
  <c r="N197" i="133" s="1"/>
  <c r="N196" i="133"/>
  <c r="M196" i="133"/>
  <c r="O196" i="133" s="1"/>
  <c r="K196" i="133"/>
  <c r="O195" i="133"/>
  <c r="N195" i="133"/>
  <c r="K195" i="133"/>
  <c r="M195" i="133" s="1"/>
  <c r="O194" i="133"/>
  <c r="K194" i="133"/>
  <c r="M194" i="133" s="1"/>
  <c r="N194" i="133" s="1"/>
  <c r="M193" i="133"/>
  <c r="K193" i="133"/>
  <c r="K192" i="133"/>
  <c r="M192" i="133" s="1"/>
  <c r="O191" i="133"/>
  <c r="K191" i="133"/>
  <c r="M191" i="133" s="1"/>
  <c r="N191" i="133" s="1"/>
  <c r="M190" i="133"/>
  <c r="K190" i="133"/>
  <c r="M189" i="133"/>
  <c r="O189" i="133" s="1"/>
  <c r="K189" i="133"/>
  <c r="O188" i="133"/>
  <c r="K188" i="133"/>
  <c r="M188" i="133" s="1"/>
  <c r="N188" i="133" s="1"/>
  <c r="M187" i="133"/>
  <c r="O187" i="133" s="1"/>
  <c r="K187" i="133"/>
  <c r="N186" i="133"/>
  <c r="J186" i="133"/>
  <c r="K186" i="133" s="1"/>
  <c r="M186" i="133" s="1"/>
  <c r="O186" i="133" s="1"/>
  <c r="M185" i="133"/>
  <c r="J185" i="133"/>
  <c r="K185" i="133" s="1"/>
  <c r="J184" i="133"/>
  <c r="K184" i="133" s="1"/>
  <c r="J183" i="133"/>
  <c r="K183" i="133" s="1"/>
  <c r="M183" i="133" s="1"/>
  <c r="F180" i="133"/>
  <c r="E180" i="133"/>
  <c r="B180" i="133"/>
  <c r="I179" i="133"/>
  <c r="J179" i="133" s="1"/>
  <c r="K179" i="133" s="1"/>
  <c r="M179" i="133" s="1"/>
  <c r="F179" i="133"/>
  <c r="E179" i="133"/>
  <c r="B179" i="133"/>
  <c r="F178" i="133"/>
  <c r="E178" i="133"/>
  <c r="D178" i="133"/>
  <c r="B178" i="133"/>
  <c r="I177" i="133"/>
  <c r="B177" i="133"/>
  <c r="H176" i="133"/>
  <c r="F176" i="133"/>
  <c r="E176" i="133"/>
  <c r="D176" i="133"/>
  <c r="H175" i="133"/>
  <c r="G175" i="133"/>
  <c r="D175" i="133"/>
  <c r="N174" i="133"/>
  <c r="J174" i="133"/>
  <c r="K174" i="133" s="1"/>
  <c r="M174" i="133" s="1"/>
  <c r="O174" i="133" s="1"/>
  <c r="H174" i="133"/>
  <c r="O173" i="133"/>
  <c r="N173" i="133"/>
  <c r="M173" i="133"/>
  <c r="K173" i="133"/>
  <c r="J173" i="133"/>
  <c r="M172" i="133"/>
  <c r="K172" i="133"/>
  <c r="J172" i="133"/>
  <c r="D172" i="133"/>
  <c r="M171" i="133"/>
  <c r="K171" i="133"/>
  <c r="J171" i="133"/>
  <c r="E171" i="133"/>
  <c r="J170" i="133"/>
  <c r="K170" i="133" s="1"/>
  <c r="M170" i="133" s="1"/>
  <c r="K169" i="133"/>
  <c r="M169" i="133" s="1"/>
  <c r="J169" i="133"/>
  <c r="I165" i="133"/>
  <c r="H165" i="133"/>
  <c r="E165" i="133"/>
  <c r="D165" i="133"/>
  <c r="I164" i="133"/>
  <c r="O163" i="133"/>
  <c r="N163" i="133"/>
  <c r="J163" i="133"/>
  <c r="K163" i="133" s="1"/>
  <c r="M163" i="133" s="1"/>
  <c r="I163" i="133"/>
  <c r="F163" i="133"/>
  <c r="E163" i="133"/>
  <c r="B163" i="133"/>
  <c r="M162" i="133"/>
  <c r="J162" i="133"/>
  <c r="K162" i="133" s="1"/>
  <c r="I162" i="133"/>
  <c r="F162" i="133"/>
  <c r="E162" i="133"/>
  <c r="B162" i="133"/>
  <c r="J161" i="133"/>
  <c r="F161" i="133"/>
  <c r="E161" i="133"/>
  <c r="D161" i="133"/>
  <c r="B161" i="133"/>
  <c r="I160" i="133"/>
  <c r="E160" i="133"/>
  <c r="B160" i="133"/>
  <c r="H159" i="133"/>
  <c r="F159" i="133"/>
  <c r="E159" i="133"/>
  <c r="D159" i="133"/>
  <c r="G159" i="133" s="1"/>
  <c r="J158" i="133"/>
  <c r="H158" i="133"/>
  <c r="G158" i="133"/>
  <c r="D158" i="133"/>
  <c r="M157" i="133"/>
  <c r="J157" i="133"/>
  <c r="K157" i="133" s="1"/>
  <c r="H157" i="133"/>
  <c r="G157" i="133"/>
  <c r="O156" i="133"/>
  <c r="J156" i="133"/>
  <c r="K156" i="133" s="1"/>
  <c r="M156" i="133" s="1"/>
  <c r="N156" i="133" s="1"/>
  <c r="O155" i="133"/>
  <c r="N155" i="133"/>
  <c r="J155" i="133"/>
  <c r="K155" i="133" s="1"/>
  <c r="M155" i="133" s="1"/>
  <c r="D155" i="133"/>
  <c r="O154" i="133"/>
  <c r="N154" i="133"/>
  <c r="M154" i="133"/>
  <c r="J154" i="133"/>
  <c r="K154" i="133" s="1"/>
  <c r="E154" i="133"/>
  <c r="M153" i="133"/>
  <c r="J153" i="133"/>
  <c r="K153" i="133" s="1"/>
  <c r="K152" i="133"/>
  <c r="M152" i="133" s="1"/>
  <c r="J152" i="133"/>
  <c r="I148" i="133"/>
  <c r="H148" i="133"/>
  <c r="C160" i="133" s="1"/>
  <c r="F160" i="133" s="1"/>
  <c r="E148" i="133"/>
  <c r="D148" i="133"/>
  <c r="I147" i="133"/>
  <c r="F146" i="133"/>
  <c r="E146" i="133"/>
  <c r="B146" i="133"/>
  <c r="N145" i="133"/>
  <c r="I145" i="133"/>
  <c r="J145" i="133" s="1"/>
  <c r="K145" i="133" s="1"/>
  <c r="M145" i="133" s="1"/>
  <c r="O145" i="133" s="1"/>
  <c r="F145" i="133"/>
  <c r="E145" i="133"/>
  <c r="B145" i="133"/>
  <c r="J144" i="133"/>
  <c r="F144" i="133"/>
  <c r="E144" i="133"/>
  <c r="D144" i="133"/>
  <c r="B144" i="133"/>
  <c r="O143" i="133"/>
  <c r="N143" i="133"/>
  <c r="J143" i="133"/>
  <c r="K143" i="133" s="1"/>
  <c r="M143" i="133" s="1"/>
  <c r="I143" i="133"/>
  <c r="I146" i="133" s="1"/>
  <c r="F143" i="133"/>
  <c r="E143" i="133"/>
  <c r="B143" i="133"/>
  <c r="H142" i="133"/>
  <c r="G142" i="133"/>
  <c r="F142" i="133"/>
  <c r="E142" i="133"/>
  <c r="D142" i="133"/>
  <c r="K142" i="133" s="1"/>
  <c r="M142" i="133" s="1"/>
  <c r="O142" i="133" s="1"/>
  <c r="J141" i="133"/>
  <c r="H141" i="133"/>
  <c r="D141" i="133"/>
  <c r="G141" i="133" s="1"/>
  <c r="O140" i="133"/>
  <c r="K140" i="133"/>
  <c r="M140" i="133" s="1"/>
  <c r="N140" i="133" s="1"/>
  <c r="J140" i="133"/>
  <c r="H140" i="133"/>
  <c r="M139" i="133"/>
  <c r="K139" i="133"/>
  <c r="J139" i="133"/>
  <c r="D138" i="133"/>
  <c r="J138" i="133" s="1"/>
  <c r="K138" i="133" s="1"/>
  <c r="M138" i="133" s="1"/>
  <c r="K137" i="133"/>
  <c r="M137" i="133" s="1"/>
  <c r="N137" i="133" s="1"/>
  <c r="J137" i="133"/>
  <c r="E137" i="133"/>
  <c r="O136" i="133"/>
  <c r="K136" i="133"/>
  <c r="M136" i="133" s="1"/>
  <c r="N136" i="133" s="1"/>
  <c r="J136" i="133"/>
  <c r="O135" i="133"/>
  <c r="K135" i="133"/>
  <c r="M135" i="133" s="1"/>
  <c r="N135" i="133" s="1"/>
  <c r="J135" i="133"/>
  <c r="I131" i="133"/>
  <c r="H131" i="133"/>
  <c r="C143" i="133" s="1"/>
  <c r="D143" i="133" s="1"/>
  <c r="F131" i="133"/>
  <c r="E131" i="133"/>
  <c r="D131" i="133"/>
  <c r="C131" i="133"/>
  <c r="J134" i="133" s="1"/>
  <c r="K134" i="133" s="1"/>
  <c r="M134" i="133" s="1"/>
  <c r="I130" i="133"/>
  <c r="F129" i="133"/>
  <c r="E129" i="133"/>
  <c r="B129" i="133"/>
  <c r="J129" i="133" s="1"/>
  <c r="K129" i="133" s="1"/>
  <c r="M129" i="133" s="1"/>
  <c r="K128" i="133"/>
  <c r="M128" i="133" s="1"/>
  <c r="I128" i="133"/>
  <c r="J128" i="133" s="1"/>
  <c r="F128" i="133"/>
  <c r="E128" i="133"/>
  <c r="B128" i="133"/>
  <c r="J127" i="133"/>
  <c r="F127" i="133"/>
  <c r="E127" i="133"/>
  <c r="D127" i="133"/>
  <c r="B127" i="133"/>
  <c r="M126" i="133"/>
  <c r="J126" i="133"/>
  <c r="K126" i="133" s="1"/>
  <c r="I126" i="133"/>
  <c r="I129" i="133" s="1"/>
  <c r="F126" i="133"/>
  <c r="E126" i="133"/>
  <c r="D126" i="133"/>
  <c r="C126" i="133"/>
  <c r="B126" i="133"/>
  <c r="K125" i="133"/>
  <c r="M125" i="133" s="1"/>
  <c r="N125" i="133" s="1"/>
  <c r="H125" i="133"/>
  <c r="G125" i="133"/>
  <c r="F125" i="133"/>
  <c r="E125" i="133"/>
  <c r="D125" i="133"/>
  <c r="H124" i="133"/>
  <c r="D124" i="133"/>
  <c r="K123" i="133"/>
  <c r="M123" i="133" s="1"/>
  <c r="J123" i="133"/>
  <c r="H123" i="133"/>
  <c r="O122" i="133"/>
  <c r="K122" i="133"/>
  <c r="M122" i="133" s="1"/>
  <c r="N122" i="133" s="1"/>
  <c r="J122" i="133"/>
  <c r="J121" i="133"/>
  <c r="K121" i="133" s="1"/>
  <c r="M121" i="133" s="1"/>
  <c r="D121" i="133"/>
  <c r="M120" i="133"/>
  <c r="J120" i="133"/>
  <c r="K120" i="133" s="1"/>
  <c r="E120" i="133"/>
  <c r="O119" i="133"/>
  <c r="J119" i="133"/>
  <c r="K119" i="133" s="1"/>
  <c r="M119" i="133" s="1"/>
  <c r="N119" i="133" s="1"/>
  <c r="K118" i="133"/>
  <c r="M118" i="133" s="1"/>
  <c r="J118" i="133"/>
  <c r="J117" i="133"/>
  <c r="K117" i="133" s="1"/>
  <c r="M117" i="133" s="1"/>
  <c r="I114" i="133"/>
  <c r="H114" i="133"/>
  <c r="C114" i="133" s="1"/>
  <c r="F114" i="133"/>
  <c r="E114" i="133"/>
  <c r="D114" i="133"/>
  <c r="I113" i="133"/>
  <c r="O112" i="133"/>
  <c r="K112" i="133"/>
  <c r="M112" i="133" s="1"/>
  <c r="N112" i="133" s="1"/>
  <c r="I112" i="133"/>
  <c r="J112" i="133" s="1"/>
  <c r="F112" i="133"/>
  <c r="E112" i="133"/>
  <c r="B112" i="133"/>
  <c r="J111" i="133"/>
  <c r="I111" i="133"/>
  <c r="F111" i="133"/>
  <c r="E111" i="133"/>
  <c r="B111" i="133"/>
  <c r="J110" i="133"/>
  <c r="F110" i="133"/>
  <c r="E110" i="133"/>
  <c r="D110" i="133"/>
  <c r="B110" i="133"/>
  <c r="I109" i="133"/>
  <c r="B109" i="133"/>
  <c r="H108" i="133"/>
  <c r="F108" i="133"/>
  <c r="E108" i="133"/>
  <c r="D108" i="133"/>
  <c r="J107" i="133"/>
  <c r="H107" i="133"/>
  <c r="G107" i="133"/>
  <c r="D107" i="133"/>
  <c r="M106" i="133"/>
  <c r="O106" i="133" s="1"/>
  <c r="J106" i="133"/>
  <c r="K106" i="133" s="1"/>
  <c r="H106" i="133"/>
  <c r="G106" i="133"/>
  <c r="O105" i="133"/>
  <c r="N105" i="133"/>
  <c r="J105" i="133"/>
  <c r="K105" i="133" s="1"/>
  <c r="M105" i="133" s="1"/>
  <c r="O104" i="133"/>
  <c r="K104" i="133"/>
  <c r="M104" i="133" s="1"/>
  <c r="N104" i="133" s="1"/>
  <c r="J104" i="133"/>
  <c r="D104" i="133"/>
  <c r="J103" i="133"/>
  <c r="K103" i="133" s="1"/>
  <c r="M103" i="133" s="1"/>
  <c r="E103" i="133"/>
  <c r="J102" i="133"/>
  <c r="K102" i="133" s="1"/>
  <c r="M102" i="133" s="1"/>
  <c r="O101" i="133"/>
  <c r="M101" i="133"/>
  <c r="N101" i="133" s="1"/>
  <c r="K101" i="133"/>
  <c r="J101" i="133"/>
  <c r="I97" i="133"/>
  <c r="H97" i="133"/>
  <c r="E97" i="133"/>
  <c r="D97" i="133"/>
  <c r="I96" i="133"/>
  <c r="F95" i="133"/>
  <c r="E95" i="133"/>
  <c r="B95" i="133"/>
  <c r="F94" i="133"/>
  <c r="E94" i="133"/>
  <c r="B94" i="133"/>
  <c r="N93" i="133"/>
  <c r="F93" i="133"/>
  <c r="E93" i="133"/>
  <c r="D93" i="133"/>
  <c r="B93" i="133"/>
  <c r="K92" i="133"/>
  <c r="M92" i="133" s="1"/>
  <c r="J92" i="133"/>
  <c r="I92" i="133"/>
  <c r="J93" i="133" s="1"/>
  <c r="K93" i="133" s="1"/>
  <c r="M93" i="133" s="1"/>
  <c r="O93" i="133" s="1"/>
  <c r="F92" i="133"/>
  <c r="E92" i="133"/>
  <c r="B92" i="133"/>
  <c r="H91" i="133"/>
  <c r="F91" i="133"/>
  <c r="E91" i="133"/>
  <c r="D91" i="133"/>
  <c r="K90" i="133"/>
  <c r="M90" i="133" s="1"/>
  <c r="H90" i="133"/>
  <c r="G90" i="133"/>
  <c r="F90" i="133"/>
  <c r="D90" i="133"/>
  <c r="J90" i="133" s="1"/>
  <c r="J89" i="133"/>
  <c r="K89" i="133" s="1"/>
  <c r="M89" i="133" s="1"/>
  <c r="H89" i="133"/>
  <c r="G89" i="133"/>
  <c r="M88" i="133"/>
  <c r="K88" i="133"/>
  <c r="J88" i="133"/>
  <c r="D87" i="133"/>
  <c r="J87" i="133" s="1"/>
  <c r="K87" i="133" s="1"/>
  <c r="M87" i="133" s="1"/>
  <c r="M86" i="133"/>
  <c r="N86" i="133" s="1"/>
  <c r="J86" i="133"/>
  <c r="K86" i="133" s="1"/>
  <c r="E86" i="133"/>
  <c r="J85" i="133"/>
  <c r="K85" i="133" s="1"/>
  <c r="M85" i="133" s="1"/>
  <c r="N85" i="133" s="1"/>
  <c r="K84" i="133"/>
  <c r="M84" i="133" s="1"/>
  <c r="J84" i="133"/>
  <c r="O83" i="133"/>
  <c r="M83" i="133"/>
  <c r="N83" i="133" s="1"/>
  <c r="I80" i="133"/>
  <c r="H80" i="133"/>
  <c r="C92" i="133" s="1"/>
  <c r="D92" i="133" s="1"/>
  <c r="F80" i="133"/>
  <c r="C90" i="133" s="1"/>
  <c r="E90" i="133" s="1"/>
  <c r="E80" i="133"/>
  <c r="D80" i="133"/>
  <c r="C80" i="133"/>
  <c r="J83" i="133" s="1"/>
  <c r="K83" i="133" s="1"/>
  <c r="I79" i="133"/>
  <c r="F78" i="133"/>
  <c r="E78" i="133"/>
  <c r="B78" i="133"/>
  <c r="J78" i="133" s="1"/>
  <c r="K78" i="133" s="1"/>
  <c r="M78" i="133" s="1"/>
  <c r="N78" i="133" s="1"/>
  <c r="J77" i="133"/>
  <c r="K77" i="133" s="1"/>
  <c r="M77" i="133" s="1"/>
  <c r="I77" i="133"/>
  <c r="F77" i="133"/>
  <c r="E77" i="133"/>
  <c r="B77" i="133"/>
  <c r="J76" i="133"/>
  <c r="F76" i="133"/>
  <c r="E76" i="133"/>
  <c r="D76" i="133"/>
  <c r="B76" i="133"/>
  <c r="I75" i="133"/>
  <c r="I78" i="133" s="1"/>
  <c r="E75" i="133"/>
  <c r="C75" i="133"/>
  <c r="B75" i="133"/>
  <c r="O74" i="133"/>
  <c r="K74" i="133"/>
  <c r="M74" i="133" s="1"/>
  <c r="N74" i="133" s="1"/>
  <c r="H74" i="133"/>
  <c r="G74" i="133"/>
  <c r="F74" i="133"/>
  <c r="E74" i="133"/>
  <c r="D74" i="133"/>
  <c r="H73" i="133"/>
  <c r="G73" i="133"/>
  <c r="D73" i="133"/>
  <c r="K72" i="133"/>
  <c r="M72" i="133" s="1"/>
  <c r="J72" i="133"/>
  <c r="H72" i="133"/>
  <c r="M71" i="133"/>
  <c r="K71" i="133"/>
  <c r="J71" i="133"/>
  <c r="J70" i="133"/>
  <c r="K70" i="133" s="1"/>
  <c r="M70" i="133" s="1"/>
  <c r="D70" i="133"/>
  <c r="K69" i="133"/>
  <c r="M69" i="133" s="1"/>
  <c r="J69" i="133"/>
  <c r="E69" i="133"/>
  <c r="J68" i="133"/>
  <c r="K68" i="133" s="1"/>
  <c r="M68" i="133" s="1"/>
  <c r="J67" i="133"/>
  <c r="K67" i="133" s="1"/>
  <c r="M67" i="133" s="1"/>
  <c r="I63" i="133"/>
  <c r="H63" i="133"/>
  <c r="E63" i="133"/>
  <c r="D63" i="133"/>
  <c r="I62" i="133"/>
  <c r="I61" i="133"/>
  <c r="F61" i="133"/>
  <c r="E61" i="133"/>
  <c r="B61" i="133"/>
  <c r="J61" i="133" s="1"/>
  <c r="K61" i="133" s="1"/>
  <c r="M61" i="133" s="1"/>
  <c r="J60" i="133"/>
  <c r="K60" i="133" s="1"/>
  <c r="M60" i="133" s="1"/>
  <c r="I60" i="133"/>
  <c r="F60" i="133"/>
  <c r="E60" i="133"/>
  <c r="B60" i="133"/>
  <c r="J59" i="133"/>
  <c r="F59" i="133"/>
  <c r="E59" i="133"/>
  <c r="D59" i="133"/>
  <c r="B59" i="133"/>
  <c r="I58" i="133"/>
  <c r="B58" i="133"/>
  <c r="N57" i="133"/>
  <c r="K57" i="133"/>
  <c r="M57" i="133" s="1"/>
  <c r="O57" i="133" s="1"/>
  <c r="H57" i="133"/>
  <c r="G57" i="133"/>
  <c r="F57" i="133"/>
  <c r="E57" i="133"/>
  <c r="D57" i="133"/>
  <c r="J56" i="133"/>
  <c r="H56" i="133"/>
  <c r="G56" i="133"/>
  <c r="D56" i="133"/>
  <c r="G55" i="133" s="1"/>
  <c r="M55" i="133"/>
  <c r="K55" i="133"/>
  <c r="J55" i="133"/>
  <c r="H55" i="133"/>
  <c r="J54" i="133"/>
  <c r="K54" i="133" s="1"/>
  <c r="M54" i="133" s="1"/>
  <c r="O54" i="133" s="1"/>
  <c r="D53" i="133"/>
  <c r="J53" i="133" s="1"/>
  <c r="K53" i="133" s="1"/>
  <c r="M53" i="133" s="1"/>
  <c r="M52" i="133"/>
  <c r="K52" i="133"/>
  <c r="J52" i="133"/>
  <c r="E52" i="133"/>
  <c r="K51" i="133"/>
  <c r="M51" i="133" s="1"/>
  <c r="J51" i="133"/>
  <c r="J50" i="133"/>
  <c r="K50" i="133" s="1"/>
  <c r="M50" i="133" s="1"/>
  <c r="I46" i="133"/>
  <c r="H46" i="133"/>
  <c r="E46" i="133"/>
  <c r="D46" i="133"/>
  <c r="I45" i="133"/>
  <c r="I44" i="133"/>
  <c r="F44" i="133"/>
  <c r="E44" i="133"/>
  <c r="B44" i="133"/>
  <c r="J44" i="133" s="1"/>
  <c r="K44" i="133" s="1"/>
  <c r="M44" i="133" s="1"/>
  <c r="I43" i="133"/>
  <c r="J43" i="133" s="1"/>
  <c r="F43" i="133"/>
  <c r="E43" i="133"/>
  <c r="B43" i="133"/>
  <c r="J42" i="133"/>
  <c r="F42" i="133"/>
  <c r="E42" i="133"/>
  <c r="D42" i="133"/>
  <c r="B42" i="133"/>
  <c r="I41" i="133"/>
  <c r="B41" i="133"/>
  <c r="M40" i="133"/>
  <c r="K40" i="133"/>
  <c r="H40" i="133"/>
  <c r="F40" i="133"/>
  <c r="E40" i="133"/>
  <c r="D40" i="133"/>
  <c r="G40" i="133" s="1"/>
  <c r="J39" i="133"/>
  <c r="H39" i="133"/>
  <c r="G39" i="133"/>
  <c r="D39" i="133"/>
  <c r="K38" i="133"/>
  <c r="M38" i="133" s="1"/>
  <c r="J38" i="133"/>
  <c r="H38" i="133"/>
  <c r="G38" i="133"/>
  <c r="M37" i="133"/>
  <c r="J37" i="133"/>
  <c r="K37" i="133" s="1"/>
  <c r="N36" i="133"/>
  <c r="D36" i="133"/>
  <c r="J36" i="133" s="1"/>
  <c r="K36" i="133" s="1"/>
  <c r="M36" i="133" s="1"/>
  <c r="O36" i="133" s="1"/>
  <c r="N35" i="133"/>
  <c r="K35" i="133"/>
  <c r="M35" i="133" s="1"/>
  <c r="O35" i="133" s="1"/>
  <c r="J35" i="133"/>
  <c r="M34" i="133"/>
  <c r="J34" i="133"/>
  <c r="K34" i="133" s="1"/>
  <c r="K33" i="133"/>
  <c r="M33" i="133" s="1"/>
  <c r="J33" i="133"/>
  <c r="I29" i="133"/>
  <c r="H29" i="133"/>
  <c r="E29" i="133"/>
  <c r="D29" i="133"/>
  <c r="C29" i="133"/>
  <c r="I28" i="133"/>
  <c r="I27" i="133"/>
  <c r="J27" i="133" s="1"/>
  <c r="K27" i="133" s="1"/>
  <c r="M27" i="133" s="1"/>
  <c r="F27" i="133"/>
  <c r="E27" i="133"/>
  <c r="B27" i="133"/>
  <c r="F26" i="133"/>
  <c r="E26" i="133"/>
  <c r="B26" i="133"/>
  <c r="J25" i="133"/>
  <c r="F25" i="133"/>
  <c r="E25" i="133"/>
  <c r="D25" i="133"/>
  <c r="B25" i="133"/>
  <c r="I24" i="133"/>
  <c r="I26" i="133" s="1"/>
  <c r="J26" i="133" s="1"/>
  <c r="B24" i="133"/>
  <c r="H23" i="133"/>
  <c r="F23" i="133"/>
  <c r="E23" i="133"/>
  <c r="D23" i="133"/>
  <c r="G23" i="133" s="1"/>
  <c r="K22" i="133"/>
  <c r="M22" i="133" s="1"/>
  <c r="J22" i="133"/>
  <c r="H22" i="133"/>
  <c r="G22" i="133"/>
  <c r="D22" i="133"/>
  <c r="M21" i="133"/>
  <c r="N21" i="133" s="1"/>
  <c r="J21" i="133"/>
  <c r="K21" i="133" s="1"/>
  <c r="H21" i="133"/>
  <c r="G21" i="133"/>
  <c r="J20" i="133"/>
  <c r="K20" i="133" s="1"/>
  <c r="M20" i="133" s="1"/>
  <c r="N20" i="133" s="1"/>
  <c r="O19" i="133"/>
  <c r="J19" i="133"/>
  <c r="K19" i="133" s="1"/>
  <c r="M19" i="133" s="1"/>
  <c r="N19" i="133" s="1"/>
  <c r="D19" i="133"/>
  <c r="O18" i="133"/>
  <c r="N18" i="133"/>
  <c r="M18" i="133"/>
  <c r="J18" i="133"/>
  <c r="K18" i="133" s="1"/>
  <c r="E18" i="133"/>
  <c r="J17" i="133"/>
  <c r="K17" i="133" s="1"/>
  <c r="M17" i="133" s="1"/>
  <c r="N17" i="133" s="1"/>
  <c r="M16" i="133"/>
  <c r="N16" i="133" s="1"/>
  <c r="K16" i="133"/>
  <c r="J16" i="133"/>
  <c r="I12" i="133"/>
  <c r="H12" i="133"/>
  <c r="F12" i="133"/>
  <c r="C22" i="133" s="1"/>
  <c r="E12" i="133"/>
  <c r="D12" i="133"/>
  <c r="I11" i="133"/>
  <c r="D9" i="133"/>
  <c r="O7" i="133"/>
  <c r="I7" i="133"/>
  <c r="G7" i="133"/>
  <c r="C7" i="133"/>
  <c r="I5" i="133"/>
  <c r="G5" i="133"/>
  <c r="C5" i="133"/>
  <c r="I3" i="133"/>
  <c r="G3" i="133"/>
  <c r="C3" i="133"/>
  <c r="N197" i="132"/>
  <c r="K197" i="132"/>
  <c r="M197" i="132" s="1"/>
  <c r="O197" i="132" s="1"/>
  <c r="N196" i="132"/>
  <c r="K196" i="132"/>
  <c r="M196" i="132" s="1"/>
  <c r="O196" i="132" s="1"/>
  <c r="M195" i="132"/>
  <c r="K195" i="132"/>
  <c r="K194" i="132"/>
  <c r="M194" i="132" s="1"/>
  <c r="K193" i="132"/>
  <c r="M193" i="132" s="1"/>
  <c r="K192" i="132"/>
  <c r="M192" i="132" s="1"/>
  <c r="K191" i="132"/>
  <c r="M191" i="132" s="1"/>
  <c r="O190" i="132"/>
  <c r="N190" i="132"/>
  <c r="K190" i="132"/>
  <c r="M190" i="132" s="1"/>
  <c r="M189" i="132"/>
  <c r="K189" i="132"/>
  <c r="N188" i="132"/>
  <c r="K188" i="132"/>
  <c r="M188" i="132" s="1"/>
  <c r="O188" i="132" s="1"/>
  <c r="C188" i="132"/>
  <c r="M187" i="132"/>
  <c r="N187" i="132" s="1"/>
  <c r="K187" i="132"/>
  <c r="J186" i="132"/>
  <c r="K186" i="132" s="1"/>
  <c r="M186" i="132" s="1"/>
  <c r="O186" i="132" s="1"/>
  <c r="N185" i="132"/>
  <c r="K185" i="132"/>
  <c r="M185" i="132" s="1"/>
  <c r="O185" i="132" s="1"/>
  <c r="J185" i="132"/>
  <c r="K184" i="132"/>
  <c r="M184" i="132" s="1"/>
  <c r="J184" i="132"/>
  <c r="J183" i="132"/>
  <c r="K183" i="132" s="1"/>
  <c r="F180" i="132"/>
  <c r="E180" i="132"/>
  <c r="B180" i="132"/>
  <c r="F179" i="132"/>
  <c r="E179" i="132"/>
  <c r="B179" i="132"/>
  <c r="F178" i="132"/>
  <c r="E178" i="132"/>
  <c r="D178" i="132"/>
  <c r="B178" i="132"/>
  <c r="M177" i="132"/>
  <c r="K177" i="132"/>
  <c r="J177" i="132"/>
  <c r="I177" i="132"/>
  <c r="D177" i="132"/>
  <c r="C177" i="132"/>
  <c r="B177" i="132"/>
  <c r="K176" i="132"/>
  <c r="M176" i="132" s="1"/>
  <c r="J176" i="132"/>
  <c r="H176" i="132"/>
  <c r="G176" i="132"/>
  <c r="F176" i="132"/>
  <c r="E176" i="132"/>
  <c r="D176" i="132"/>
  <c r="J175" i="132"/>
  <c r="H175" i="132"/>
  <c r="G175" i="132"/>
  <c r="F175" i="132"/>
  <c r="D175" i="132"/>
  <c r="K175" i="132" s="1"/>
  <c r="M175" i="132" s="1"/>
  <c r="M174" i="132"/>
  <c r="O174" i="132" s="1"/>
  <c r="K174" i="132"/>
  <c r="J174" i="132"/>
  <c r="H174" i="132"/>
  <c r="G174" i="132"/>
  <c r="O173" i="132"/>
  <c r="N173" i="132"/>
  <c r="M173" i="132"/>
  <c r="K173" i="132"/>
  <c r="J173" i="132"/>
  <c r="M172" i="132"/>
  <c r="O172" i="132" s="1"/>
  <c r="K172" i="132"/>
  <c r="D172" i="132"/>
  <c r="J172" i="132" s="1"/>
  <c r="K171" i="132"/>
  <c r="M171" i="132" s="1"/>
  <c r="J171" i="132"/>
  <c r="E171" i="132"/>
  <c r="O170" i="132"/>
  <c r="N170" i="132"/>
  <c r="M170" i="132"/>
  <c r="K170" i="132"/>
  <c r="J170" i="132"/>
  <c r="E170" i="132"/>
  <c r="J169" i="132"/>
  <c r="K169" i="132" s="1"/>
  <c r="M169" i="132" s="1"/>
  <c r="E169" i="132"/>
  <c r="L165" i="132"/>
  <c r="I165" i="132"/>
  <c r="H165" i="132"/>
  <c r="G165" i="132"/>
  <c r="F165" i="132"/>
  <c r="C175" i="132" s="1"/>
  <c r="I178" i="132" s="1"/>
  <c r="E165" i="132"/>
  <c r="D165" i="132"/>
  <c r="C165" i="132"/>
  <c r="J168" i="132" s="1"/>
  <c r="K168" i="132" s="1"/>
  <c r="M168" i="132" s="1"/>
  <c r="I164" i="132"/>
  <c r="J163" i="132"/>
  <c r="K163" i="132" s="1"/>
  <c r="M163" i="132" s="1"/>
  <c r="F163" i="132"/>
  <c r="E163" i="132"/>
  <c r="B163" i="132"/>
  <c r="F162" i="132"/>
  <c r="E162" i="132"/>
  <c r="B162" i="132"/>
  <c r="F161" i="132"/>
  <c r="E161" i="132"/>
  <c r="D161" i="132"/>
  <c r="B161" i="132"/>
  <c r="I160" i="132"/>
  <c r="I163" i="132" s="1"/>
  <c r="F160" i="132"/>
  <c r="D160" i="132"/>
  <c r="C160" i="132"/>
  <c r="E160" i="132" s="1"/>
  <c r="B160" i="132"/>
  <c r="N159" i="132"/>
  <c r="K159" i="132"/>
  <c r="M159" i="132" s="1"/>
  <c r="O159" i="132" s="1"/>
  <c r="J159" i="132"/>
  <c r="H159" i="132"/>
  <c r="G159" i="132"/>
  <c r="F159" i="132"/>
  <c r="E159" i="132"/>
  <c r="D159" i="132"/>
  <c r="H158" i="132"/>
  <c r="D158" i="132"/>
  <c r="J157" i="132"/>
  <c r="K157" i="132" s="1"/>
  <c r="M157" i="132" s="1"/>
  <c r="H157" i="132"/>
  <c r="G157" i="132"/>
  <c r="J156" i="132"/>
  <c r="K156" i="132" s="1"/>
  <c r="M156" i="132" s="1"/>
  <c r="J155" i="132"/>
  <c r="K155" i="132" s="1"/>
  <c r="M155" i="132" s="1"/>
  <c r="D155" i="132"/>
  <c r="M154" i="132"/>
  <c r="O154" i="132" s="1"/>
  <c r="K154" i="132"/>
  <c r="J154" i="132"/>
  <c r="E154" i="132"/>
  <c r="J153" i="132"/>
  <c r="K153" i="132" s="1"/>
  <c r="M153" i="132" s="1"/>
  <c r="E153" i="132"/>
  <c r="K152" i="132"/>
  <c r="M152" i="132" s="1"/>
  <c r="J152" i="132"/>
  <c r="E152" i="132"/>
  <c r="J150" i="132"/>
  <c r="K150" i="132" s="1"/>
  <c r="I148" i="132"/>
  <c r="H148" i="132"/>
  <c r="F148" i="132"/>
  <c r="C158" i="132" s="1"/>
  <c r="E148" i="132"/>
  <c r="D148" i="132"/>
  <c r="C148" i="132"/>
  <c r="J151" i="132" s="1"/>
  <c r="K151" i="132" s="1"/>
  <c r="M151" i="132" s="1"/>
  <c r="I147" i="132"/>
  <c r="F146" i="132"/>
  <c r="E146" i="132"/>
  <c r="B146" i="132"/>
  <c r="I145" i="132"/>
  <c r="J145" i="132" s="1"/>
  <c r="K145" i="132" s="1"/>
  <c r="M145" i="132" s="1"/>
  <c r="F145" i="132"/>
  <c r="E145" i="132"/>
  <c r="B145" i="132"/>
  <c r="J144" i="132"/>
  <c r="K144" i="132" s="1"/>
  <c r="M144" i="132" s="1"/>
  <c r="F144" i="132"/>
  <c r="E144" i="132"/>
  <c r="D144" i="132"/>
  <c r="B144" i="132"/>
  <c r="J143" i="132"/>
  <c r="K143" i="132" s="1"/>
  <c r="M143" i="132" s="1"/>
  <c r="I143" i="132"/>
  <c r="I146" i="132" s="1"/>
  <c r="C143" i="132"/>
  <c r="F143" i="132" s="1"/>
  <c r="B143" i="132"/>
  <c r="H142" i="132"/>
  <c r="G142" i="132"/>
  <c r="F142" i="132"/>
  <c r="E142" i="132"/>
  <c r="D142" i="132"/>
  <c r="H141" i="132"/>
  <c r="E141" i="132"/>
  <c r="D141" i="132"/>
  <c r="O140" i="132"/>
  <c r="N140" i="132"/>
  <c r="M140" i="132"/>
  <c r="K140" i="132"/>
  <c r="J140" i="132"/>
  <c r="H140" i="132"/>
  <c r="J139" i="132"/>
  <c r="K139" i="132" s="1"/>
  <c r="M139" i="132" s="1"/>
  <c r="K138" i="132"/>
  <c r="M138" i="132" s="1"/>
  <c r="J138" i="132"/>
  <c r="D138" i="132"/>
  <c r="M137" i="132"/>
  <c r="O137" i="132" s="1"/>
  <c r="J137" i="132"/>
  <c r="K137" i="132" s="1"/>
  <c r="E137" i="132"/>
  <c r="K136" i="132"/>
  <c r="M136" i="132" s="1"/>
  <c r="J136" i="132"/>
  <c r="E136" i="132"/>
  <c r="N135" i="132"/>
  <c r="M135" i="132"/>
  <c r="O135" i="132" s="1"/>
  <c r="K135" i="132"/>
  <c r="J135" i="132"/>
  <c r="E135" i="132"/>
  <c r="I131" i="132"/>
  <c r="H131" i="132"/>
  <c r="F131" i="132" s="1"/>
  <c r="C141" i="132" s="1"/>
  <c r="I144" i="132" s="1"/>
  <c r="E131" i="132"/>
  <c r="G131" i="132" s="1"/>
  <c r="D131" i="132"/>
  <c r="C131" i="132"/>
  <c r="J133" i="132" s="1"/>
  <c r="K133" i="132" s="1"/>
  <c r="I130" i="132"/>
  <c r="F129" i="132"/>
  <c r="E129" i="132"/>
  <c r="B129" i="132"/>
  <c r="F128" i="132"/>
  <c r="E128" i="132"/>
  <c r="B128" i="132"/>
  <c r="J127" i="132"/>
  <c r="F127" i="132"/>
  <c r="E127" i="132"/>
  <c r="D127" i="132"/>
  <c r="B127" i="132"/>
  <c r="I126" i="132"/>
  <c r="I128" i="132" s="1"/>
  <c r="J128" i="132" s="1"/>
  <c r="K128" i="132" s="1"/>
  <c r="M128" i="132" s="1"/>
  <c r="E126" i="132"/>
  <c r="D126" i="132"/>
  <c r="C126" i="132"/>
  <c r="J126" i="132" s="1"/>
  <c r="K126" i="132" s="1"/>
  <c r="M126" i="132" s="1"/>
  <c r="B126" i="132"/>
  <c r="H125" i="132"/>
  <c r="F125" i="132"/>
  <c r="E125" i="132"/>
  <c r="D125" i="132"/>
  <c r="J125" i="132" s="1"/>
  <c r="J124" i="132"/>
  <c r="H124" i="132"/>
  <c r="D124" i="132"/>
  <c r="J123" i="132"/>
  <c r="K123" i="132" s="1"/>
  <c r="M123" i="132" s="1"/>
  <c r="H123" i="132"/>
  <c r="G123" i="132"/>
  <c r="J122" i="132"/>
  <c r="K122" i="132" s="1"/>
  <c r="M122" i="132" s="1"/>
  <c r="D121" i="132"/>
  <c r="J121" i="132" s="1"/>
  <c r="K121" i="132" s="1"/>
  <c r="M121" i="132" s="1"/>
  <c r="K120" i="132"/>
  <c r="M120" i="132" s="1"/>
  <c r="J120" i="132"/>
  <c r="E120" i="132"/>
  <c r="J119" i="132"/>
  <c r="K119" i="132" s="1"/>
  <c r="M119" i="132" s="1"/>
  <c r="E119" i="132"/>
  <c r="K118" i="132"/>
  <c r="M118" i="132" s="1"/>
  <c r="N118" i="132" s="1"/>
  <c r="J118" i="132"/>
  <c r="E118" i="132"/>
  <c r="I114" i="132"/>
  <c r="H114" i="132"/>
  <c r="C114" i="132" s="1"/>
  <c r="J117" i="132" s="1"/>
  <c r="K117" i="132" s="1"/>
  <c r="M117" i="132" s="1"/>
  <c r="E114" i="132"/>
  <c r="D114" i="132"/>
  <c r="I113" i="132"/>
  <c r="F112" i="132"/>
  <c r="E112" i="132"/>
  <c r="B112" i="132"/>
  <c r="I111" i="132"/>
  <c r="J111" i="132" s="1"/>
  <c r="K111" i="132" s="1"/>
  <c r="M111" i="132" s="1"/>
  <c r="F111" i="132"/>
  <c r="E111" i="132"/>
  <c r="B111" i="132"/>
  <c r="F110" i="132"/>
  <c r="E110" i="132"/>
  <c r="D110" i="132"/>
  <c r="B110" i="132"/>
  <c r="I109" i="132"/>
  <c r="I112" i="132" s="1"/>
  <c r="J112" i="132" s="1"/>
  <c r="K112" i="132" s="1"/>
  <c r="M112" i="132" s="1"/>
  <c r="B109" i="132"/>
  <c r="K108" i="132"/>
  <c r="M108" i="132" s="1"/>
  <c r="J108" i="132"/>
  <c r="H108" i="132"/>
  <c r="G108" i="132"/>
  <c r="F108" i="132"/>
  <c r="E108" i="132"/>
  <c r="D108" i="132"/>
  <c r="J107" i="132"/>
  <c r="H107" i="132"/>
  <c r="G107" i="132"/>
  <c r="D107" i="132"/>
  <c r="J106" i="132"/>
  <c r="K106" i="132" s="1"/>
  <c r="M106" i="132" s="1"/>
  <c r="H106" i="132"/>
  <c r="J105" i="132"/>
  <c r="K105" i="132" s="1"/>
  <c r="M105" i="132" s="1"/>
  <c r="J104" i="132"/>
  <c r="K104" i="132" s="1"/>
  <c r="M104" i="132" s="1"/>
  <c r="D104" i="132"/>
  <c r="J103" i="132"/>
  <c r="K103" i="132" s="1"/>
  <c r="M103" i="132" s="1"/>
  <c r="E103" i="132"/>
  <c r="O102" i="132"/>
  <c r="N102" i="132"/>
  <c r="M102" i="132"/>
  <c r="J102" i="132"/>
  <c r="K102" i="132" s="1"/>
  <c r="E102" i="132"/>
  <c r="J101" i="132"/>
  <c r="K101" i="132" s="1"/>
  <c r="M101" i="132" s="1"/>
  <c r="E101" i="132"/>
  <c r="I97" i="132"/>
  <c r="H97" i="132"/>
  <c r="C97" i="132" s="1"/>
  <c r="F97" i="132"/>
  <c r="G97" i="132" s="1"/>
  <c r="E97" i="132"/>
  <c r="D97" i="132"/>
  <c r="I96" i="132"/>
  <c r="I95" i="132"/>
  <c r="J95" i="132" s="1"/>
  <c r="K95" i="132" s="1"/>
  <c r="M95" i="132" s="1"/>
  <c r="F95" i="132"/>
  <c r="E95" i="132"/>
  <c r="B95" i="132"/>
  <c r="K94" i="132"/>
  <c r="M94" i="132" s="1"/>
  <c r="J94" i="132"/>
  <c r="I94" i="132"/>
  <c r="F94" i="132"/>
  <c r="E94" i="132"/>
  <c r="B94" i="132"/>
  <c r="J93" i="132"/>
  <c r="F93" i="132"/>
  <c r="E93" i="132"/>
  <c r="D93" i="132"/>
  <c r="B93" i="132"/>
  <c r="I92" i="132"/>
  <c r="B92" i="132"/>
  <c r="H91" i="132"/>
  <c r="F91" i="132"/>
  <c r="E91" i="132"/>
  <c r="D91" i="132"/>
  <c r="G91" i="132" s="1"/>
  <c r="J90" i="132"/>
  <c r="H90" i="132"/>
  <c r="G90" i="132"/>
  <c r="D90" i="132"/>
  <c r="J89" i="132"/>
  <c r="K89" i="132" s="1"/>
  <c r="M89" i="132" s="1"/>
  <c r="H89" i="132"/>
  <c r="G89" i="132"/>
  <c r="K88" i="132"/>
  <c r="M88" i="132" s="1"/>
  <c r="O88" i="132" s="1"/>
  <c r="J88" i="132"/>
  <c r="D87" i="132"/>
  <c r="J87" i="132" s="1"/>
  <c r="K87" i="132" s="1"/>
  <c r="M87" i="132" s="1"/>
  <c r="J86" i="132"/>
  <c r="K86" i="132" s="1"/>
  <c r="M86" i="132" s="1"/>
  <c r="E86" i="132"/>
  <c r="J85" i="132"/>
  <c r="K85" i="132" s="1"/>
  <c r="M85" i="132" s="1"/>
  <c r="E85" i="132"/>
  <c r="M84" i="132"/>
  <c r="O84" i="132" s="1"/>
  <c r="J84" i="132"/>
  <c r="K84" i="132" s="1"/>
  <c r="E84" i="132"/>
  <c r="O83" i="132"/>
  <c r="M83" i="132"/>
  <c r="N83" i="132" s="1"/>
  <c r="J83" i="132"/>
  <c r="I80" i="132"/>
  <c r="H80" i="132"/>
  <c r="C92" i="132" s="1"/>
  <c r="F80" i="132"/>
  <c r="C90" i="132" s="1"/>
  <c r="E80" i="132"/>
  <c r="D80" i="132"/>
  <c r="G80" i="132" s="1"/>
  <c r="C80" i="132"/>
  <c r="J82" i="132" s="1"/>
  <c r="K82" i="132" s="1"/>
  <c r="I79" i="132"/>
  <c r="F78" i="132"/>
  <c r="E78" i="132"/>
  <c r="B78" i="132"/>
  <c r="F77" i="132"/>
  <c r="E77" i="132"/>
  <c r="B77" i="132"/>
  <c r="J76" i="132"/>
  <c r="F76" i="132"/>
  <c r="E76" i="132"/>
  <c r="D76" i="132"/>
  <c r="B76" i="132"/>
  <c r="I75" i="132"/>
  <c r="I77" i="132" s="1"/>
  <c r="J77" i="132" s="1"/>
  <c r="K77" i="132" s="1"/>
  <c r="M77" i="132" s="1"/>
  <c r="F75" i="132"/>
  <c r="D75" i="132"/>
  <c r="C75" i="132"/>
  <c r="E75" i="132" s="1"/>
  <c r="B75" i="132"/>
  <c r="H74" i="132"/>
  <c r="F74" i="132"/>
  <c r="E74" i="132"/>
  <c r="D74" i="132"/>
  <c r="H73" i="132"/>
  <c r="D73" i="132"/>
  <c r="K72" i="132"/>
  <c r="M72" i="132" s="1"/>
  <c r="J72" i="132"/>
  <c r="H72" i="132"/>
  <c r="K71" i="132"/>
  <c r="M71" i="132" s="1"/>
  <c r="J71" i="132"/>
  <c r="K70" i="132"/>
  <c r="M70" i="132" s="1"/>
  <c r="J70" i="132"/>
  <c r="D70" i="132"/>
  <c r="J69" i="132"/>
  <c r="K69" i="132" s="1"/>
  <c r="M69" i="132" s="1"/>
  <c r="E69" i="132"/>
  <c r="K68" i="132"/>
  <c r="M68" i="132" s="1"/>
  <c r="J68" i="132"/>
  <c r="E68" i="132"/>
  <c r="J67" i="132"/>
  <c r="K67" i="132" s="1"/>
  <c r="M67" i="132" s="1"/>
  <c r="E67" i="132"/>
  <c r="I63" i="132"/>
  <c r="H63" i="132"/>
  <c r="F63" i="132" s="1"/>
  <c r="E63" i="132"/>
  <c r="D63" i="132"/>
  <c r="I62" i="132"/>
  <c r="J61" i="132"/>
  <c r="K61" i="132" s="1"/>
  <c r="M61" i="132" s="1"/>
  <c r="I61" i="132"/>
  <c r="F61" i="132"/>
  <c r="E61" i="132"/>
  <c r="B61" i="132"/>
  <c r="I60" i="132"/>
  <c r="J60" i="132" s="1"/>
  <c r="K60" i="132" s="1"/>
  <c r="M60" i="132" s="1"/>
  <c r="F60" i="132"/>
  <c r="E60" i="132"/>
  <c r="B60" i="132"/>
  <c r="J59" i="132"/>
  <c r="F59" i="132"/>
  <c r="E59" i="132"/>
  <c r="D59" i="132"/>
  <c r="B59" i="132"/>
  <c r="I58" i="132"/>
  <c r="B58" i="132"/>
  <c r="H57" i="132"/>
  <c r="F57" i="132"/>
  <c r="E57" i="132"/>
  <c r="D57" i="132"/>
  <c r="J56" i="132"/>
  <c r="H56" i="132"/>
  <c r="G56" i="132"/>
  <c r="D56" i="132"/>
  <c r="J55" i="132"/>
  <c r="K55" i="132" s="1"/>
  <c r="M55" i="132" s="1"/>
  <c r="H55" i="132"/>
  <c r="G55" i="132"/>
  <c r="J54" i="132"/>
  <c r="K54" i="132" s="1"/>
  <c r="M54" i="132" s="1"/>
  <c r="J53" i="132"/>
  <c r="K53" i="132" s="1"/>
  <c r="M53" i="132" s="1"/>
  <c r="D53" i="132"/>
  <c r="J52" i="132"/>
  <c r="K52" i="132" s="1"/>
  <c r="M52" i="132" s="1"/>
  <c r="E52" i="132"/>
  <c r="J51" i="132"/>
  <c r="K51" i="132" s="1"/>
  <c r="M51" i="132" s="1"/>
  <c r="E51" i="132"/>
  <c r="J50" i="132"/>
  <c r="K50" i="132" s="1"/>
  <c r="M50" i="132" s="1"/>
  <c r="E50" i="132"/>
  <c r="I46" i="132"/>
  <c r="H46" i="132"/>
  <c r="F46" i="132" s="1"/>
  <c r="C56" i="132" s="1"/>
  <c r="E46" i="132"/>
  <c r="D46" i="132"/>
  <c r="I45" i="132"/>
  <c r="I44" i="132"/>
  <c r="J44" i="132" s="1"/>
  <c r="K44" i="132" s="1"/>
  <c r="M44" i="132" s="1"/>
  <c r="F44" i="132"/>
  <c r="E44" i="132"/>
  <c r="B44" i="132"/>
  <c r="I43" i="132"/>
  <c r="J43" i="132" s="1"/>
  <c r="K43" i="132" s="1"/>
  <c r="M43" i="132" s="1"/>
  <c r="F43" i="132"/>
  <c r="E43" i="132"/>
  <c r="B43" i="132"/>
  <c r="F42" i="132"/>
  <c r="E42" i="132"/>
  <c r="D42" i="132"/>
  <c r="B42" i="132"/>
  <c r="I41" i="132"/>
  <c r="J42" i="132" s="1"/>
  <c r="K42" i="132" s="1"/>
  <c r="M42" i="132" s="1"/>
  <c r="B41" i="132"/>
  <c r="H40" i="132"/>
  <c r="G40" i="132"/>
  <c r="F40" i="132"/>
  <c r="E40" i="132"/>
  <c r="D40" i="132"/>
  <c r="J40" i="132" s="1"/>
  <c r="K40" i="132" s="1"/>
  <c r="M40" i="132" s="1"/>
  <c r="J39" i="132"/>
  <c r="K39" i="132" s="1"/>
  <c r="M39" i="132" s="1"/>
  <c r="H39" i="132"/>
  <c r="G39" i="132"/>
  <c r="D39" i="132"/>
  <c r="K38" i="132"/>
  <c r="M38" i="132" s="1"/>
  <c r="J38" i="132"/>
  <c r="H38" i="132"/>
  <c r="G38" i="132"/>
  <c r="J37" i="132"/>
  <c r="K37" i="132" s="1"/>
  <c r="M37" i="132" s="1"/>
  <c r="D36" i="132"/>
  <c r="J36" i="132" s="1"/>
  <c r="K36" i="132" s="1"/>
  <c r="M36" i="132" s="1"/>
  <c r="K35" i="132"/>
  <c r="M35" i="132" s="1"/>
  <c r="J35" i="132"/>
  <c r="J34" i="132"/>
  <c r="K34" i="132" s="1"/>
  <c r="M34" i="132" s="1"/>
  <c r="E34" i="132"/>
  <c r="J33" i="132"/>
  <c r="K33" i="132" s="1"/>
  <c r="M33" i="132" s="1"/>
  <c r="E33" i="132"/>
  <c r="I29" i="132"/>
  <c r="H29" i="132"/>
  <c r="C29" i="132" s="1"/>
  <c r="F29" i="132"/>
  <c r="C39" i="132" s="1"/>
  <c r="E29" i="132"/>
  <c r="D29" i="132"/>
  <c r="I28" i="132"/>
  <c r="I27" i="132"/>
  <c r="J27" i="132" s="1"/>
  <c r="K27" i="132" s="1"/>
  <c r="M27" i="132" s="1"/>
  <c r="F27" i="132"/>
  <c r="E27" i="132"/>
  <c r="B27" i="132"/>
  <c r="I26" i="132"/>
  <c r="J26" i="132" s="1"/>
  <c r="K26" i="132" s="1"/>
  <c r="M26" i="132" s="1"/>
  <c r="F26" i="132"/>
  <c r="E26" i="132"/>
  <c r="B26" i="132"/>
  <c r="F25" i="132"/>
  <c r="E25" i="132"/>
  <c r="D25" i="132"/>
  <c r="B25" i="132"/>
  <c r="I24" i="132"/>
  <c r="J25" i="132" s="1"/>
  <c r="B24" i="132"/>
  <c r="J23" i="132"/>
  <c r="K23" i="132" s="1"/>
  <c r="M23" i="132" s="1"/>
  <c r="H23" i="132"/>
  <c r="G23" i="132"/>
  <c r="F23" i="132"/>
  <c r="E23" i="132"/>
  <c r="D23" i="132"/>
  <c r="J22" i="132"/>
  <c r="H22" i="132"/>
  <c r="G22" i="132"/>
  <c r="D22" i="132"/>
  <c r="J21" i="132"/>
  <c r="K21" i="132" s="1"/>
  <c r="M21" i="132" s="1"/>
  <c r="H21" i="132"/>
  <c r="G21" i="132"/>
  <c r="J20" i="132"/>
  <c r="K20" i="132" s="1"/>
  <c r="M20" i="132" s="1"/>
  <c r="D19" i="132"/>
  <c r="J19" i="132" s="1"/>
  <c r="K19" i="132" s="1"/>
  <c r="M19" i="132" s="1"/>
  <c r="O18" i="132"/>
  <c r="N18" i="132"/>
  <c r="M18" i="132"/>
  <c r="K18" i="132"/>
  <c r="J18" i="132"/>
  <c r="E18" i="132"/>
  <c r="J17" i="132"/>
  <c r="K17" i="132" s="1"/>
  <c r="M17" i="132" s="1"/>
  <c r="E17" i="132"/>
  <c r="O16" i="132"/>
  <c r="N16" i="132"/>
  <c r="M16" i="132"/>
  <c r="K16" i="132"/>
  <c r="J16" i="132"/>
  <c r="E16" i="132"/>
  <c r="I12" i="132"/>
  <c r="H12" i="132"/>
  <c r="C12" i="132" s="1"/>
  <c r="E12" i="132"/>
  <c r="D12" i="132"/>
  <c r="I11" i="132"/>
  <c r="D9" i="132"/>
  <c r="K47" i="131"/>
  <c r="M47" i="131" s="1"/>
  <c r="M46" i="131"/>
  <c r="O46" i="131" s="1"/>
  <c r="K46" i="131"/>
  <c r="K45" i="131"/>
  <c r="M45" i="131" s="1"/>
  <c r="M44" i="131"/>
  <c r="O44" i="131" s="1"/>
  <c r="K44" i="131"/>
  <c r="O43" i="131"/>
  <c r="N43" i="131"/>
  <c r="M43" i="131"/>
  <c r="K43" i="131"/>
  <c r="N42" i="131"/>
  <c r="M42" i="131"/>
  <c r="O42" i="131" s="1"/>
  <c r="K42" i="131"/>
  <c r="M41" i="131"/>
  <c r="O41" i="131" s="1"/>
  <c r="K41" i="131"/>
  <c r="O40" i="131"/>
  <c r="N40" i="131"/>
  <c r="M40" i="131"/>
  <c r="K40" i="131"/>
  <c r="J39" i="131"/>
  <c r="K39" i="131" s="1"/>
  <c r="M39" i="131" s="1"/>
  <c r="J38" i="131"/>
  <c r="K38" i="131" s="1"/>
  <c r="M38" i="131" s="1"/>
  <c r="K37" i="131"/>
  <c r="K36" i="131" s="1"/>
  <c r="L36" i="131" s="1"/>
  <c r="J37" i="131"/>
  <c r="O33" i="131"/>
  <c r="N33" i="131"/>
  <c r="M33" i="131"/>
  <c r="K33" i="131"/>
  <c r="N32" i="131"/>
  <c r="M32" i="131"/>
  <c r="O32" i="131" s="1"/>
  <c r="K32" i="131"/>
  <c r="O31" i="131"/>
  <c r="M31" i="131"/>
  <c r="N31" i="131" s="1"/>
  <c r="K31" i="131"/>
  <c r="O30" i="131"/>
  <c r="N30" i="131"/>
  <c r="M30" i="131"/>
  <c r="K30" i="131"/>
  <c r="N29" i="131"/>
  <c r="M29" i="131"/>
  <c r="O29" i="131" s="1"/>
  <c r="K29" i="131"/>
  <c r="O28" i="131"/>
  <c r="M28" i="131"/>
  <c r="N28" i="131" s="1"/>
  <c r="K28" i="131"/>
  <c r="O27" i="131"/>
  <c r="N27" i="131"/>
  <c r="M27" i="131"/>
  <c r="K27" i="131"/>
  <c r="N26" i="131"/>
  <c r="M26" i="131"/>
  <c r="O26" i="131" s="1"/>
  <c r="K26" i="131"/>
  <c r="O25" i="131"/>
  <c r="M25" i="131"/>
  <c r="N25" i="131" s="1"/>
  <c r="K25" i="131"/>
  <c r="O24" i="131"/>
  <c r="N24" i="131"/>
  <c r="M24" i="131"/>
  <c r="K24" i="131"/>
  <c r="N23" i="131"/>
  <c r="M23" i="131"/>
  <c r="O23" i="131" s="1"/>
  <c r="K23" i="131"/>
  <c r="O22" i="131"/>
  <c r="M22" i="131"/>
  <c r="N22" i="131" s="1"/>
  <c r="K22" i="131"/>
  <c r="O21" i="131"/>
  <c r="N21" i="131"/>
  <c r="M21" i="131"/>
  <c r="K21" i="131"/>
  <c r="N20" i="131"/>
  <c r="M20" i="131"/>
  <c r="O20" i="131" s="1"/>
  <c r="K20" i="131"/>
  <c r="O19" i="131"/>
  <c r="M19" i="131"/>
  <c r="N19" i="131" s="1"/>
  <c r="K19" i="131"/>
  <c r="O18" i="131"/>
  <c r="N18" i="131"/>
  <c r="M18" i="131"/>
  <c r="K18" i="131"/>
  <c r="N17" i="131"/>
  <c r="M17" i="131"/>
  <c r="O17" i="131" s="1"/>
  <c r="K17" i="131"/>
  <c r="O16" i="131"/>
  <c r="M16" i="131"/>
  <c r="N16" i="131" s="1"/>
  <c r="K16" i="131"/>
  <c r="O15" i="131"/>
  <c r="N15" i="131"/>
  <c r="M15" i="131"/>
  <c r="K15" i="131"/>
  <c r="N14" i="131"/>
  <c r="M14" i="131"/>
  <c r="M12" i="131" s="1"/>
  <c r="K14" i="131"/>
  <c r="L12" i="131"/>
  <c r="K12" i="131"/>
  <c r="I12" i="131"/>
  <c r="G12" i="131" s="1"/>
  <c r="H12" i="131" s="1"/>
  <c r="E12" i="131"/>
  <c r="E9" i="131"/>
  <c r="O7" i="131"/>
  <c r="H7" i="131"/>
  <c r="D7" i="131"/>
  <c r="H5" i="131"/>
  <c r="D5" i="131"/>
  <c r="H3" i="131"/>
  <c r="D3" i="131"/>
  <c r="M48" i="130"/>
  <c r="K48" i="130"/>
  <c r="K47" i="130"/>
  <c r="M47" i="130" s="1"/>
  <c r="K46" i="130"/>
  <c r="M46" i="130" s="1"/>
  <c r="M45" i="130"/>
  <c r="K45" i="130"/>
  <c r="K44" i="130"/>
  <c r="M44" i="130" s="1"/>
  <c r="K43" i="130"/>
  <c r="M43" i="130" s="1"/>
  <c r="M42" i="130"/>
  <c r="K42" i="130"/>
  <c r="K41" i="130"/>
  <c r="M41" i="130" s="1"/>
  <c r="J40" i="130"/>
  <c r="K40" i="130" s="1"/>
  <c r="M40" i="130" s="1"/>
  <c r="N39" i="130"/>
  <c r="J39" i="130"/>
  <c r="K39" i="130" s="1"/>
  <c r="M39" i="130" s="1"/>
  <c r="O39" i="130" s="1"/>
  <c r="J38" i="130"/>
  <c r="K38" i="130" s="1"/>
  <c r="K34" i="130"/>
  <c r="M34" i="130" s="1"/>
  <c r="K33" i="130"/>
  <c r="M33" i="130" s="1"/>
  <c r="O32" i="130"/>
  <c r="M32" i="130"/>
  <c r="N32" i="130" s="1"/>
  <c r="K32" i="130"/>
  <c r="K31" i="130"/>
  <c r="M31" i="130" s="1"/>
  <c r="K30" i="130"/>
  <c r="M30" i="130" s="1"/>
  <c r="O29" i="130"/>
  <c r="M29" i="130"/>
  <c r="N29" i="130" s="1"/>
  <c r="K29" i="130"/>
  <c r="K28" i="130"/>
  <c r="M28" i="130" s="1"/>
  <c r="K27" i="130"/>
  <c r="M27" i="130" s="1"/>
  <c r="O26" i="130"/>
  <c r="M26" i="130"/>
  <c r="N26" i="130" s="1"/>
  <c r="K26" i="130"/>
  <c r="K25" i="130"/>
  <c r="M25" i="130" s="1"/>
  <c r="K24" i="130"/>
  <c r="M24" i="130" s="1"/>
  <c r="O23" i="130"/>
  <c r="M23" i="130"/>
  <c r="N23" i="130" s="1"/>
  <c r="K23" i="130"/>
  <c r="K22" i="130"/>
  <c r="M22" i="130" s="1"/>
  <c r="K21" i="130"/>
  <c r="M21" i="130" s="1"/>
  <c r="M20" i="130"/>
  <c r="K20" i="130"/>
  <c r="K18" i="130"/>
  <c r="M18" i="130" s="1"/>
  <c r="K17" i="130"/>
  <c r="M17" i="130" s="1"/>
  <c r="M16" i="130"/>
  <c r="N16" i="130" s="1"/>
  <c r="K16" i="130"/>
  <c r="K15" i="130"/>
  <c r="M15" i="130" s="1"/>
  <c r="K14" i="130"/>
  <c r="L12" i="130" s="1"/>
  <c r="I12" i="130"/>
  <c r="G12" i="130" s="1"/>
  <c r="E12" i="130"/>
  <c r="H12" i="130" s="1"/>
  <c r="E9" i="130"/>
  <c r="O7" i="130"/>
  <c r="H7" i="130"/>
  <c r="D7" i="130"/>
  <c r="H5" i="130"/>
  <c r="D5" i="130"/>
  <c r="H3" i="130"/>
  <c r="D3" i="130"/>
  <c r="I102" i="129"/>
  <c r="K102" i="129" s="1"/>
  <c r="G102" i="129"/>
  <c r="F101" i="129"/>
  <c r="G101" i="129" s="1"/>
  <c r="I101" i="129" s="1"/>
  <c r="K100" i="129"/>
  <c r="I100" i="129"/>
  <c r="J100" i="129" s="1"/>
  <c r="G100" i="129"/>
  <c r="F100" i="129"/>
  <c r="K99" i="129"/>
  <c r="I99" i="129"/>
  <c r="J99" i="129" s="1"/>
  <c r="G99" i="129"/>
  <c r="G98" i="129"/>
  <c r="I98" i="129" s="1"/>
  <c r="F97" i="129"/>
  <c r="G97" i="129" s="1"/>
  <c r="I97" i="129" s="1"/>
  <c r="F96" i="129"/>
  <c r="G96" i="129" s="1"/>
  <c r="G93" i="129"/>
  <c r="I93" i="129" s="1"/>
  <c r="F93" i="129"/>
  <c r="G92" i="129"/>
  <c r="I92" i="129" s="1"/>
  <c r="F92" i="129"/>
  <c r="G91" i="129"/>
  <c r="I91" i="129" s="1"/>
  <c r="J91" i="129" s="1"/>
  <c r="F91" i="129"/>
  <c r="F90" i="129"/>
  <c r="G90" i="129" s="1"/>
  <c r="I90" i="129" s="1"/>
  <c r="K89" i="129"/>
  <c r="I89" i="129"/>
  <c r="J89" i="129" s="1"/>
  <c r="G89" i="129"/>
  <c r="F89" i="129"/>
  <c r="K88" i="129"/>
  <c r="I88" i="129"/>
  <c r="J88" i="129" s="1"/>
  <c r="G88" i="129"/>
  <c r="F88" i="129"/>
  <c r="F87" i="129"/>
  <c r="G87" i="129" s="1"/>
  <c r="I87" i="129" s="1"/>
  <c r="F86" i="129"/>
  <c r="G86" i="129" s="1"/>
  <c r="I86" i="129" s="1"/>
  <c r="F85" i="129"/>
  <c r="G85" i="129" s="1"/>
  <c r="F82" i="129"/>
  <c r="G82" i="129" s="1"/>
  <c r="I82" i="129" s="1"/>
  <c r="G81" i="129"/>
  <c r="I81" i="129" s="1"/>
  <c r="K81" i="129" s="1"/>
  <c r="F81" i="129"/>
  <c r="G80" i="129"/>
  <c r="I80" i="129" s="1"/>
  <c r="F80" i="129"/>
  <c r="G79" i="129"/>
  <c r="I79" i="129" s="1"/>
  <c r="F79" i="129"/>
  <c r="K78" i="129"/>
  <c r="G78" i="129"/>
  <c r="I78" i="129" s="1"/>
  <c r="J78" i="129" s="1"/>
  <c r="F78" i="129"/>
  <c r="F77" i="129"/>
  <c r="G77" i="129" s="1"/>
  <c r="I77" i="129" s="1"/>
  <c r="K76" i="129"/>
  <c r="I76" i="129"/>
  <c r="J76" i="129" s="1"/>
  <c r="G76" i="129"/>
  <c r="F76" i="129"/>
  <c r="K75" i="129"/>
  <c r="I75" i="129"/>
  <c r="J75" i="129" s="1"/>
  <c r="G75" i="129"/>
  <c r="F75" i="129"/>
  <c r="I74" i="129"/>
  <c r="F74" i="129"/>
  <c r="G74" i="129" s="1"/>
  <c r="F73" i="129"/>
  <c r="G73" i="129" s="1"/>
  <c r="I73" i="129" s="1"/>
  <c r="F72" i="129"/>
  <c r="G72" i="129" s="1"/>
  <c r="I72" i="129" s="1"/>
  <c r="F71" i="129"/>
  <c r="G71" i="129" s="1"/>
  <c r="J68" i="129"/>
  <c r="G68" i="129"/>
  <c r="I68" i="129" s="1"/>
  <c r="K68" i="129" s="1"/>
  <c r="F68" i="129"/>
  <c r="G67" i="129"/>
  <c r="I67" i="129" s="1"/>
  <c r="F67" i="129"/>
  <c r="G66" i="129"/>
  <c r="I66" i="129" s="1"/>
  <c r="F66" i="129"/>
  <c r="G65" i="129"/>
  <c r="I65" i="129" s="1"/>
  <c r="J65" i="129" s="1"/>
  <c r="F65" i="129"/>
  <c r="F64" i="129"/>
  <c r="G64" i="129" s="1"/>
  <c r="I64" i="129" s="1"/>
  <c r="I63" i="129"/>
  <c r="J63" i="129" s="1"/>
  <c r="G63" i="129"/>
  <c r="F63" i="129"/>
  <c r="K62" i="129"/>
  <c r="I62" i="129"/>
  <c r="J62" i="129" s="1"/>
  <c r="G62" i="129"/>
  <c r="F62" i="129"/>
  <c r="F61" i="129"/>
  <c r="G61" i="129" s="1"/>
  <c r="I61" i="129" s="1"/>
  <c r="F60" i="129"/>
  <c r="G60" i="129" s="1"/>
  <c r="I60" i="129" s="1"/>
  <c r="F59" i="129"/>
  <c r="G59" i="129" s="1"/>
  <c r="I59" i="129" s="1"/>
  <c r="F58" i="129"/>
  <c r="G58" i="129" s="1"/>
  <c r="I58" i="129" s="1"/>
  <c r="K58" i="129" s="1"/>
  <c r="F57" i="129"/>
  <c r="G57" i="129" s="1"/>
  <c r="I57" i="129" s="1"/>
  <c r="L56" i="129"/>
  <c r="M56" i="129" s="1"/>
  <c r="J56" i="129"/>
  <c r="F56" i="129"/>
  <c r="G56" i="129" s="1"/>
  <c r="I56" i="129" s="1"/>
  <c r="K56" i="129" s="1"/>
  <c r="L55" i="129"/>
  <c r="M55" i="129" s="1"/>
  <c r="F55" i="129"/>
  <c r="G55" i="129" s="1"/>
  <c r="I55" i="129" s="1"/>
  <c r="L54" i="129"/>
  <c r="M54" i="129" s="1"/>
  <c r="F54" i="129"/>
  <c r="G54" i="129" s="1"/>
  <c r="I54" i="129" s="1"/>
  <c r="L53" i="129"/>
  <c r="M53" i="129" s="1"/>
  <c r="I53" i="129"/>
  <c r="F53" i="129"/>
  <c r="G53" i="129" s="1"/>
  <c r="L52" i="129"/>
  <c r="M52" i="129" s="1"/>
  <c r="F52" i="129"/>
  <c r="G52" i="129" s="1"/>
  <c r="I52" i="129" s="1"/>
  <c r="L51" i="129"/>
  <c r="M51" i="129" s="1"/>
  <c r="O14" i="129" s="1"/>
  <c r="F51" i="129"/>
  <c r="G51" i="129" s="1"/>
  <c r="I51" i="129" s="1"/>
  <c r="M50" i="129"/>
  <c r="L50" i="129"/>
  <c r="K50" i="129"/>
  <c r="F50" i="129"/>
  <c r="G50" i="129" s="1"/>
  <c r="I50" i="129" s="1"/>
  <c r="J50" i="129" s="1"/>
  <c r="M49" i="129"/>
  <c r="L49" i="129"/>
  <c r="G49" i="129"/>
  <c r="I49" i="129" s="1"/>
  <c r="J49" i="129" s="1"/>
  <c r="F49" i="129"/>
  <c r="K47" i="129"/>
  <c r="F47" i="129"/>
  <c r="G47" i="129" s="1"/>
  <c r="I47" i="129" s="1"/>
  <c r="J47" i="129" s="1"/>
  <c r="F46" i="129"/>
  <c r="G46" i="129" s="1"/>
  <c r="I46" i="129" s="1"/>
  <c r="J46" i="129" s="1"/>
  <c r="I45" i="129"/>
  <c r="F45" i="129"/>
  <c r="G45" i="129" s="1"/>
  <c r="I44" i="129"/>
  <c r="K44" i="129" s="1"/>
  <c r="F44" i="129"/>
  <c r="G44" i="129" s="1"/>
  <c r="F43" i="129"/>
  <c r="G43" i="129" s="1"/>
  <c r="I43" i="129" s="1"/>
  <c r="G42" i="129"/>
  <c r="I42" i="129" s="1"/>
  <c r="F42" i="129"/>
  <c r="F41" i="129"/>
  <c r="G41" i="129" s="1"/>
  <c r="I41" i="129" s="1"/>
  <c r="F40" i="129"/>
  <c r="G40" i="129" s="1"/>
  <c r="I40" i="129" s="1"/>
  <c r="K40" i="129" s="1"/>
  <c r="K39" i="129"/>
  <c r="J39" i="129"/>
  <c r="G39" i="129"/>
  <c r="I39" i="129" s="1"/>
  <c r="F39" i="129"/>
  <c r="G38" i="129"/>
  <c r="I38" i="129" s="1"/>
  <c r="F38" i="129"/>
  <c r="I37" i="129"/>
  <c r="G37" i="129"/>
  <c r="F37" i="129"/>
  <c r="K36" i="129"/>
  <c r="G36" i="129"/>
  <c r="I36" i="129" s="1"/>
  <c r="J36" i="129" s="1"/>
  <c r="F36" i="129"/>
  <c r="F35" i="129"/>
  <c r="G35" i="129" s="1"/>
  <c r="F32" i="129"/>
  <c r="G32" i="129" s="1"/>
  <c r="I32" i="129" s="1"/>
  <c r="J31" i="129"/>
  <c r="I31" i="129"/>
  <c r="K31" i="129" s="1"/>
  <c r="F31" i="129"/>
  <c r="G31" i="129" s="1"/>
  <c r="F30" i="129"/>
  <c r="G30" i="129" s="1"/>
  <c r="I30" i="129" s="1"/>
  <c r="F29" i="129"/>
  <c r="G29" i="129" s="1"/>
  <c r="I29" i="129" s="1"/>
  <c r="J28" i="129"/>
  <c r="F28" i="129"/>
  <c r="G28" i="129" s="1"/>
  <c r="I28" i="129" s="1"/>
  <c r="K28" i="129" s="1"/>
  <c r="F27" i="129"/>
  <c r="G27" i="129" s="1"/>
  <c r="I27" i="129" s="1"/>
  <c r="K27" i="129" s="1"/>
  <c r="G26" i="129"/>
  <c r="I26" i="129" s="1"/>
  <c r="F26" i="129"/>
  <c r="G25" i="129"/>
  <c r="I25" i="129" s="1"/>
  <c r="G24" i="129"/>
  <c r="I24" i="129" s="1"/>
  <c r="F24" i="129"/>
  <c r="F23" i="129"/>
  <c r="G23" i="129" s="1"/>
  <c r="I23" i="129" s="1"/>
  <c r="J22" i="129"/>
  <c r="F22" i="129"/>
  <c r="G22" i="129" s="1"/>
  <c r="I22" i="129" s="1"/>
  <c r="K22" i="129" s="1"/>
  <c r="K21" i="129"/>
  <c r="G21" i="129"/>
  <c r="I21" i="129" s="1"/>
  <c r="J21" i="129" s="1"/>
  <c r="F21" i="129"/>
  <c r="G20" i="129"/>
  <c r="I20" i="129" s="1"/>
  <c r="F20" i="129"/>
  <c r="I19" i="129"/>
  <c r="G19" i="129"/>
  <c r="F19" i="129"/>
  <c r="K18" i="129"/>
  <c r="G18" i="129"/>
  <c r="I18" i="129" s="1"/>
  <c r="J18" i="129" s="1"/>
  <c r="F18" i="129"/>
  <c r="K17" i="129"/>
  <c r="F17" i="129"/>
  <c r="G17" i="129" s="1"/>
  <c r="I17" i="129" s="1"/>
  <c r="J17" i="129" s="1"/>
  <c r="R16" i="129"/>
  <c r="J16" i="129"/>
  <c r="F16" i="129"/>
  <c r="G16" i="129" s="1"/>
  <c r="I16" i="129" s="1"/>
  <c r="K16" i="129" s="1"/>
  <c r="F15" i="129"/>
  <c r="G15" i="129" s="1"/>
  <c r="I15" i="129" s="1"/>
  <c r="I14" i="129"/>
  <c r="F14" i="129"/>
  <c r="G14" i="129" s="1"/>
  <c r="D10" i="129"/>
  <c r="K8" i="129"/>
  <c r="F8" i="129"/>
  <c r="C8" i="129"/>
  <c r="F6" i="129"/>
  <c r="C6" i="129"/>
  <c r="F4" i="129"/>
  <c r="C4" i="129"/>
  <c r="O197" i="128"/>
  <c r="N197" i="128"/>
  <c r="K197" i="128"/>
  <c r="M197" i="128" s="1"/>
  <c r="M196" i="128"/>
  <c r="O196" i="128" s="1"/>
  <c r="K196" i="128"/>
  <c r="O195" i="128"/>
  <c r="K195" i="128"/>
  <c r="M195" i="128" s="1"/>
  <c r="N195" i="128" s="1"/>
  <c r="O194" i="128"/>
  <c r="K194" i="128"/>
  <c r="M194" i="128" s="1"/>
  <c r="N194" i="128" s="1"/>
  <c r="K193" i="128"/>
  <c r="M193" i="128" s="1"/>
  <c r="O192" i="128"/>
  <c r="K192" i="128"/>
  <c r="M192" i="128" s="1"/>
  <c r="N192" i="128" s="1"/>
  <c r="O191" i="128"/>
  <c r="N191" i="128"/>
  <c r="K191" i="128"/>
  <c r="M191" i="128" s="1"/>
  <c r="K190" i="128"/>
  <c r="M190" i="128" s="1"/>
  <c r="O189" i="128"/>
  <c r="K189" i="128"/>
  <c r="M189" i="128" s="1"/>
  <c r="N189" i="128" s="1"/>
  <c r="O188" i="128"/>
  <c r="K188" i="128"/>
  <c r="M188" i="128" s="1"/>
  <c r="N188" i="128" s="1"/>
  <c r="K187" i="128"/>
  <c r="M187" i="128" s="1"/>
  <c r="J186" i="128"/>
  <c r="K186" i="128" s="1"/>
  <c r="M186" i="128" s="1"/>
  <c r="J185" i="128"/>
  <c r="K185" i="128" s="1"/>
  <c r="M185" i="128" s="1"/>
  <c r="J184" i="128"/>
  <c r="K184" i="128" s="1"/>
  <c r="M184" i="128" s="1"/>
  <c r="O184" i="128" s="1"/>
  <c r="M183" i="128"/>
  <c r="J183" i="128"/>
  <c r="K183" i="128" s="1"/>
  <c r="J180" i="128"/>
  <c r="K180" i="128" s="1"/>
  <c r="M180" i="128" s="1"/>
  <c r="F180" i="128"/>
  <c r="E180" i="128"/>
  <c r="B180" i="128"/>
  <c r="I179" i="128"/>
  <c r="J179" i="128" s="1"/>
  <c r="K179" i="128" s="1"/>
  <c r="M179" i="128" s="1"/>
  <c r="F179" i="128"/>
  <c r="E179" i="128"/>
  <c r="B179" i="128"/>
  <c r="J178" i="128"/>
  <c r="F178" i="128"/>
  <c r="E178" i="128"/>
  <c r="D178" i="128"/>
  <c r="B178" i="128"/>
  <c r="I177" i="128"/>
  <c r="I180" i="128" s="1"/>
  <c r="C177" i="128"/>
  <c r="B177" i="128"/>
  <c r="H176" i="128"/>
  <c r="G176" i="128"/>
  <c r="F176" i="128"/>
  <c r="E176" i="128"/>
  <c r="D176" i="128"/>
  <c r="K176" i="128" s="1"/>
  <c r="M176" i="128" s="1"/>
  <c r="O176" i="128" s="1"/>
  <c r="J175" i="128"/>
  <c r="H175" i="128"/>
  <c r="G175" i="128"/>
  <c r="D175" i="128"/>
  <c r="G174" i="128" s="1"/>
  <c r="K174" i="128"/>
  <c r="M174" i="128" s="1"/>
  <c r="J174" i="128"/>
  <c r="H174" i="128"/>
  <c r="J173" i="128"/>
  <c r="K173" i="128" s="1"/>
  <c r="M173" i="128" s="1"/>
  <c r="K172" i="128"/>
  <c r="M172" i="128" s="1"/>
  <c r="J172" i="128"/>
  <c r="D172" i="128"/>
  <c r="J171" i="128"/>
  <c r="K171" i="128" s="1"/>
  <c r="M171" i="128" s="1"/>
  <c r="E171" i="128"/>
  <c r="O170" i="128"/>
  <c r="K170" i="128"/>
  <c r="M170" i="128" s="1"/>
  <c r="N170" i="128" s="1"/>
  <c r="J170" i="128"/>
  <c r="M169" i="128"/>
  <c r="J169" i="128"/>
  <c r="K169" i="128" s="1"/>
  <c r="I165" i="128"/>
  <c r="H165" i="128"/>
  <c r="F165" i="128" s="1"/>
  <c r="E165" i="128"/>
  <c r="D165" i="128"/>
  <c r="I164" i="128"/>
  <c r="I163" i="128"/>
  <c r="F163" i="128"/>
  <c r="E163" i="128"/>
  <c r="B163" i="128"/>
  <c r="N162" i="128"/>
  <c r="K162" i="128"/>
  <c r="M162" i="128" s="1"/>
  <c r="O162" i="128" s="1"/>
  <c r="I162" i="128"/>
  <c r="J162" i="128" s="1"/>
  <c r="F162" i="128"/>
  <c r="E162" i="128"/>
  <c r="B162" i="128"/>
  <c r="J161" i="128"/>
  <c r="F161" i="128"/>
  <c r="E161" i="128"/>
  <c r="D161" i="128"/>
  <c r="B161" i="128"/>
  <c r="I160" i="128"/>
  <c r="B160" i="128"/>
  <c r="O159" i="128"/>
  <c r="M159" i="128"/>
  <c r="N159" i="128" s="1"/>
  <c r="K159" i="128"/>
  <c r="H159" i="128"/>
  <c r="G159" i="128"/>
  <c r="F159" i="128"/>
  <c r="E159" i="128"/>
  <c r="D159" i="128"/>
  <c r="H158" i="128"/>
  <c r="G158" i="128"/>
  <c r="D158" i="128"/>
  <c r="J158" i="128" s="1"/>
  <c r="N157" i="128"/>
  <c r="J157" i="128"/>
  <c r="K157" i="128" s="1"/>
  <c r="M157" i="128" s="1"/>
  <c r="O157" i="128" s="1"/>
  <c r="H157" i="128"/>
  <c r="G157" i="128"/>
  <c r="K156" i="128"/>
  <c r="M156" i="128" s="1"/>
  <c r="O156" i="128" s="1"/>
  <c r="J156" i="128"/>
  <c r="M155" i="128"/>
  <c r="K155" i="128"/>
  <c r="J155" i="128"/>
  <c r="D155" i="128"/>
  <c r="M154" i="128"/>
  <c r="K154" i="128"/>
  <c r="J154" i="128"/>
  <c r="E154" i="128"/>
  <c r="K153" i="128"/>
  <c r="M153" i="128" s="1"/>
  <c r="J153" i="128"/>
  <c r="J152" i="128"/>
  <c r="K152" i="128" s="1"/>
  <c r="M152" i="128" s="1"/>
  <c r="I148" i="128"/>
  <c r="H148" i="128"/>
  <c r="E148" i="128"/>
  <c r="D148" i="128"/>
  <c r="I147" i="128"/>
  <c r="I146" i="128"/>
  <c r="J146" i="128" s="1"/>
  <c r="K146" i="128" s="1"/>
  <c r="M146" i="128" s="1"/>
  <c r="F146" i="128"/>
  <c r="E146" i="128"/>
  <c r="B146" i="128"/>
  <c r="M145" i="128"/>
  <c r="F145" i="128"/>
  <c r="E145" i="128"/>
  <c r="B145" i="128"/>
  <c r="F144" i="128"/>
  <c r="E144" i="128"/>
  <c r="D144" i="128"/>
  <c r="B144" i="128"/>
  <c r="I143" i="128"/>
  <c r="I145" i="128" s="1"/>
  <c r="J145" i="128" s="1"/>
  <c r="K145" i="128" s="1"/>
  <c r="C143" i="128"/>
  <c r="B143" i="128"/>
  <c r="H142" i="128"/>
  <c r="F142" i="128"/>
  <c r="E142" i="128"/>
  <c r="D142" i="128"/>
  <c r="G142" i="128" s="1"/>
  <c r="J141" i="128"/>
  <c r="H141" i="128"/>
  <c r="G141" i="128"/>
  <c r="D141" i="128"/>
  <c r="O140" i="128"/>
  <c r="N140" i="128"/>
  <c r="K140" i="128"/>
  <c r="M140" i="128" s="1"/>
  <c r="J140" i="128"/>
  <c r="H140" i="128"/>
  <c r="G140" i="128"/>
  <c r="O139" i="128"/>
  <c r="K139" i="128"/>
  <c r="M139" i="128" s="1"/>
  <c r="N139" i="128" s="1"/>
  <c r="J139" i="128"/>
  <c r="D138" i="128"/>
  <c r="J138" i="128" s="1"/>
  <c r="K138" i="128" s="1"/>
  <c r="M138" i="128" s="1"/>
  <c r="M137" i="128"/>
  <c r="J137" i="128"/>
  <c r="K137" i="128" s="1"/>
  <c r="E137" i="128"/>
  <c r="K136" i="128"/>
  <c r="M136" i="128" s="1"/>
  <c r="J136" i="128"/>
  <c r="K135" i="128"/>
  <c r="M135" i="128" s="1"/>
  <c r="O135" i="128" s="1"/>
  <c r="J135" i="128"/>
  <c r="J133" i="128"/>
  <c r="K133" i="128" s="1"/>
  <c r="I131" i="128"/>
  <c r="H131" i="128"/>
  <c r="F131" i="128" s="1"/>
  <c r="C141" i="128" s="1"/>
  <c r="E131" i="128"/>
  <c r="D131" i="128"/>
  <c r="G131" i="128" s="1"/>
  <c r="C131" i="128"/>
  <c r="J134" i="128" s="1"/>
  <c r="K134" i="128" s="1"/>
  <c r="M134" i="128" s="1"/>
  <c r="I130" i="128"/>
  <c r="J129" i="128"/>
  <c r="K129" i="128" s="1"/>
  <c r="M129" i="128" s="1"/>
  <c r="O129" i="128" s="1"/>
  <c r="I129" i="128"/>
  <c r="F129" i="128"/>
  <c r="E129" i="128"/>
  <c r="B129" i="128"/>
  <c r="M128" i="128"/>
  <c r="I128" i="128"/>
  <c r="J128" i="128" s="1"/>
  <c r="K128" i="128" s="1"/>
  <c r="F128" i="128"/>
  <c r="E128" i="128"/>
  <c r="B128" i="128"/>
  <c r="F127" i="128"/>
  <c r="E127" i="128"/>
  <c r="D127" i="128"/>
  <c r="B127" i="128"/>
  <c r="I126" i="128"/>
  <c r="J127" i="128" s="1"/>
  <c r="B126" i="128"/>
  <c r="H125" i="128"/>
  <c r="G125" i="128"/>
  <c r="F125" i="128"/>
  <c r="E125" i="128"/>
  <c r="D125" i="128"/>
  <c r="K125" i="128" s="1"/>
  <c r="M125" i="128" s="1"/>
  <c r="N125" i="128" s="1"/>
  <c r="J124" i="128"/>
  <c r="H124" i="128"/>
  <c r="G124" i="128"/>
  <c r="D124" i="128"/>
  <c r="C124" i="128"/>
  <c r="O123" i="128"/>
  <c r="M123" i="128"/>
  <c r="N123" i="128" s="1"/>
  <c r="K123" i="128"/>
  <c r="J123" i="128"/>
  <c r="H123" i="128"/>
  <c r="G123" i="128"/>
  <c r="J122" i="128"/>
  <c r="K122" i="128" s="1"/>
  <c r="M122" i="128" s="1"/>
  <c r="O121" i="128"/>
  <c r="M121" i="128"/>
  <c r="N121" i="128" s="1"/>
  <c r="K121" i="128"/>
  <c r="J121" i="128"/>
  <c r="D121" i="128"/>
  <c r="J120" i="128"/>
  <c r="K120" i="128" s="1"/>
  <c r="M120" i="128" s="1"/>
  <c r="E120" i="128"/>
  <c r="M119" i="128"/>
  <c r="K119" i="128"/>
  <c r="J119" i="128"/>
  <c r="K118" i="128"/>
  <c r="M118" i="128" s="1"/>
  <c r="J118" i="128"/>
  <c r="I114" i="128"/>
  <c r="H114" i="128"/>
  <c r="C114" i="128" s="1"/>
  <c r="F114" i="128"/>
  <c r="G114" i="128" s="1"/>
  <c r="E114" i="128"/>
  <c r="D114" i="128"/>
  <c r="I113" i="128"/>
  <c r="F112" i="128"/>
  <c r="E112" i="128"/>
  <c r="B112" i="128"/>
  <c r="F111" i="128"/>
  <c r="E111" i="128"/>
  <c r="B111" i="128"/>
  <c r="F110" i="128"/>
  <c r="E110" i="128"/>
  <c r="D110" i="128"/>
  <c r="B110" i="128"/>
  <c r="I109" i="128"/>
  <c r="B109" i="128"/>
  <c r="O108" i="128"/>
  <c r="K108" i="128"/>
  <c r="M108" i="128" s="1"/>
  <c r="N108" i="128" s="1"/>
  <c r="H108" i="128"/>
  <c r="F108" i="128"/>
  <c r="E108" i="128"/>
  <c r="D108" i="128"/>
  <c r="G108" i="128" s="1"/>
  <c r="H107" i="128"/>
  <c r="D107" i="128"/>
  <c r="J107" i="128" s="1"/>
  <c r="J106" i="128"/>
  <c r="K106" i="128" s="1"/>
  <c r="M106" i="128" s="1"/>
  <c r="H106" i="128"/>
  <c r="G106" i="128"/>
  <c r="N105" i="128"/>
  <c r="J105" i="128"/>
  <c r="K105" i="128" s="1"/>
  <c r="M105" i="128" s="1"/>
  <c r="O105" i="128" s="1"/>
  <c r="J104" i="128"/>
  <c r="K104" i="128" s="1"/>
  <c r="M104" i="128" s="1"/>
  <c r="N104" i="128" s="1"/>
  <c r="D104" i="128"/>
  <c r="M103" i="128"/>
  <c r="N103" i="128" s="1"/>
  <c r="J103" i="128"/>
  <c r="K103" i="128" s="1"/>
  <c r="E103" i="128"/>
  <c r="J102" i="128"/>
  <c r="K102" i="128" s="1"/>
  <c r="M102" i="128" s="1"/>
  <c r="N102" i="128" s="1"/>
  <c r="M101" i="128"/>
  <c r="J101" i="128"/>
  <c r="K101" i="128" s="1"/>
  <c r="I97" i="128"/>
  <c r="H97" i="128"/>
  <c r="C97" i="128" s="1"/>
  <c r="E97" i="128"/>
  <c r="D97" i="128"/>
  <c r="I96" i="128"/>
  <c r="I95" i="128"/>
  <c r="J95" i="128" s="1"/>
  <c r="K95" i="128" s="1"/>
  <c r="M95" i="128" s="1"/>
  <c r="F95" i="128"/>
  <c r="E95" i="128"/>
  <c r="B95" i="128"/>
  <c r="J94" i="128"/>
  <c r="K94" i="128" s="1"/>
  <c r="M94" i="128" s="1"/>
  <c r="F94" i="128"/>
  <c r="E94" i="128"/>
  <c r="B94" i="128"/>
  <c r="J93" i="128"/>
  <c r="F93" i="128"/>
  <c r="E93" i="128"/>
  <c r="D93" i="128"/>
  <c r="B93" i="128"/>
  <c r="I92" i="128"/>
  <c r="I94" i="128" s="1"/>
  <c r="D92" i="128"/>
  <c r="C92" i="128"/>
  <c r="B92" i="128"/>
  <c r="O91" i="128"/>
  <c r="K91" i="128"/>
  <c r="M91" i="128" s="1"/>
  <c r="N91" i="128" s="1"/>
  <c r="H91" i="128"/>
  <c r="F91" i="128"/>
  <c r="E91" i="128"/>
  <c r="D91" i="128"/>
  <c r="G91" i="128" s="1"/>
  <c r="J90" i="128"/>
  <c r="H90" i="128"/>
  <c r="F90" i="128"/>
  <c r="D90" i="128"/>
  <c r="K89" i="128"/>
  <c r="M89" i="128" s="1"/>
  <c r="J89" i="128"/>
  <c r="H89" i="128"/>
  <c r="K88" i="128"/>
  <c r="M88" i="128" s="1"/>
  <c r="J88" i="128"/>
  <c r="J87" i="128"/>
  <c r="K87" i="128" s="1"/>
  <c r="M87" i="128" s="1"/>
  <c r="D87" i="128"/>
  <c r="K86" i="128"/>
  <c r="M86" i="128" s="1"/>
  <c r="J86" i="128"/>
  <c r="E86" i="128"/>
  <c r="J85" i="128"/>
  <c r="K85" i="128" s="1"/>
  <c r="M85" i="128" s="1"/>
  <c r="J84" i="128"/>
  <c r="K84" i="128" s="1"/>
  <c r="M84" i="128" s="1"/>
  <c r="O84" i="128" s="1"/>
  <c r="I80" i="128"/>
  <c r="H80" i="128"/>
  <c r="C80" i="128" s="1"/>
  <c r="F80" i="128"/>
  <c r="C90" i="128" s="1"/>
  <c r="E90" i="128" s="1"/>
  <c r="E80" i="128"/>
  <c r="D80" i="128"/>
  <c r="G80" i="128" s="1"/>
  <c r="I79" i="128"/>
  <c r="F78" i="128"/>
  <c r="E78" i="128"/>
  <c r="B78" i="128"/>
  <c r="F77" i="128"/>
  <c r="E77" i="128"/>
  <c r="B77" i="128"/>
  <c r="F76" i="128"/>
  <c r="E76" i="128"/>
  <c r="D76" i="128"/>
  <c r="B76" i="128"/>
  <c r="I75" i="128"/>
  <c r="B75" i="128"/>
  <c r="K74" i="128"/>
  <c r="M74" i="128" s="1"/>
  <c r="H74" i="128"/>
  <c r="G74" i="128"/>
  <c r="F74" i="128"/>
  <c r="E74" i="128"/>
  <c r="D74" i="128"/>
  <c r="H73" i="128"/>
  <c r="D73" i="128"/>
  <c r="M72" i="128"/>
  <c r="K72" i="128"/>
  <c r="J72" i="128"/>
  <c r="H72" i="128"/>
  <c r="K71" i="128"/>
  <c r="M71" i="128" s="1"/>
  <c r="O71" i="128" s="1"/>
  <c r="J71" i="128"/>
  <c r="M70" i="128"/>
  <c r="O70" i="128" s="1"/>
  <c r="K70" i="128"/>
  <c r="J70" i="128"/>
  <c r="D70" i="128"/>
  <c r="M69" i="128"/>
  <c r="N69" i="128" s="1"/>
  <c r="J69" i="128"/>
  <c r="K69" i="128" s="1"/>
  <c r="E69" i="128"/>
  <c r="M68" i="128"/>
  <c r="O68" i="128" s="1"/>
  <c r="K68" i="128"/>
  <c r="J68" i="128"/>
  <c r="K67" i="128"/>
  <c r="M67" i="128" s="1"/>
  <c r="J67" i="128"/>
  <c r="I63" i="128"/>
  <c r="H63" i="128"/>
  <c r="F63" i="128" s="1"/>
  <c r="C73" i="128" s="1"/>
  <c r="G63" i="128"/>
  <c r="E63" i="128"/>
  <c r="D63" i="128"/>
  <c r="I62" i="128"/>
  <c r="F61" i="128"/>
  <c r="E61" i="128"/>
  <c r="B61" i="128"/>
  <c r="F60" i="128"/>
  <c r="E60" i="128"/>
  <c r="B60" i="128"/>
  <c r="F59" i="128"/>
  <c r="E59" i="128"/>
  <c r="D59" i="128"/>
  <c r="B59" i="128"/>
  <c r="I58" i="128"/>
  <c r="B58" i="128"/>
  <c r="H57" i="128"/>
  <c r="F57" i="128"/>
  <c r="E57" i="128"/>
  <c r="D57" i="128"/>
  <c r="H56" i="128"/>
  <c r="D56" i="128"/>
  <c r="J56" i="128" s="1"/>
  <c r="M55" i="128"/>
  <c r="J55" i="128"/>
  <c r="K55" i="128" s="1"/>
  <c r="H55" i="128"/>
  <c r="G55" i="128"/>
  <c r="J54" i="128"/>
  <c r="K54" i="128" s="1"/>
  <c r="M54" i="128" s="1"/>
  <c r="N54" i="128" s="1"/>
  <c r="J53" i="128"/>
  <c r="K53" i="128" s="1"/>
  <c r="M53" i="128" s="1"/>
  <c r="D53" i="128"/>
  <c r="J52" i="128"/>
  <c r="K52" i="128" s="1"/>
  <c r="M52" i="128" s="1"/>
  <c r="O52" i="128" s="1"/>
  <c r="E52" i="128"/>
  <c r="O51" i="128"/>
  <c r="M51" i="128"/>
  <c r="N51" i="128" s="1"/>
  <c r="J51" i="128"/>
  <c r="K51" i="128" s="1"/>
  <c r="O50" i="128"/>
  <c r="M50" i="128"/>
  <c r="N50" i="128" s="1"/>
  <c r="K50" i="128"/>
  <c r="J50" i="128"/>
  <c r="I46" i="128"/>
  <c r="H46" i="128"/>
  <c r="C58" i="128" s="1"/>
  <c r="E46" i="128"/>
  <c r="D46" i="128"/>
  <c r="I45" i="128"/>
  <c r="I44" i="128"/>
  <c r="F44" i="128"/>
  <c r="E44" i="128"/>
  <c r="B44" i="128"/>
  <c r="F43" i="128"/>
  <c r="E43" i="128"/>
  <c r="B43" i="128"/>
  <c r="J42" i="128"/>
  <c r="K42" i="128" s="1"/>
  <c r="M42" i="128" s="1"/>
  <c r="F42" i="128"/>
  <c r="E42" i="128"/>
  <c r="D42" i="128"/>
  <c r="B42" i="128"/>
  <c r="I41" i="128"/>
  <c r="I43" i="128" s="1"/>
  <c r="J43" i="128" s="1"/>
  <c r="K43" i="128" s="1"/>
  <c r="M43" i="128" s="1"/>
  <c r="N43" i="128" s="1"/>
  <c r="F41" i="128"/>
  <c r="C41" i="128"/>
  <c r="B41" i="128"/>
  <c r="H40" i="128"/>
  <c r="G40" i="128"/>
  <c r="F40" i="128"/>
  <c r="E40" i="128"/>
  <c r="D40" i="128"/>
  <c r="K40" i="128" s="1"/>
  <c r="M40" i="128" s="1"/>
  <c r="O40" i="128" s="1"/>
  <c r="M39" i="128"/>
  <c r="K39" i="128"/>
  <c r="J39" i="128"/>
  <c r="H39" i="128"/>
  <c r="D39" i="128"/>
  <c r="G39" i="128" s="1"/>
  <c r="J38" i="128"/>
  <c r="K38" i="128" s="1"/>
  <c r="M38" i="128" s="1"/>
  <c r="H38" i="128"/>
  <c r="G38" i="128"/>
  <c r="J37" i="128"/>
  <c r="K37" i="128" s="1"/>
  <c r="M37" i="128" s="1"/>
  <c r="D36" i="128"/>
  <c r="J36" i="128" s="1"/>
  <c r="K36" i="128" s="1"/>
  <c r="M36" i="128" s="1"/>
  <c r="J35" i="128"/>
  <c r="K35" i="128" s="1"/>
  <c r="M35" i="128" s="1"/>
  <c r="O34" i="128"/>
  <c r="K34" i="128"/>
  <c r="M34" i="128" s="1"/>
  <c r="N34" i="128" s="1"/>
  <c r="J34" i="128"/>
  <c r="O33" i="128"/>
  <c r="M33" i="128"/>
  <c r="N33" i="128" s="1"/>
  <c r="J33" i="128"/>
  <c r="K33" i="128" s="1"/>
  <c r="I29" i="128"/>
  <c r="H29" i="128"/>
  <c r="F29" i="128"/>
  <c r="C39" i="128" s="1"/>
  <c r="E29" i="128"/>
  <c r="D29" i="128"/>
  <c r="C29" i="128"/>
  <c r="I28" i="128"/>
  <c r="O27" i="128"/>
  <c r="J27" i="128"/>
  <c r="K27" i="128" s="1"/>
  <c r="M27" i="128" s="1"/>
  <c r="N27" i="128" s="1"/>
  <c r="F27" i="128"/>
  <c r="E27" i="128"/>
  <c r="B27" i="128"/>
  <c r="F26" i="128"/>
  <c r="E26" i="128"/>
  <c r="B26" i="128"/>
  <c r="J25" i="128"/>
  <c r="F25" i="128"/>
  <c r="E25" i="128"/>
  <c r="D25" i="128"/>
  <c r="B25" i="128"/>
  <c r="I24" i="128"/>
  <c r="I27" i="128" s="1"/>
  <c r="F24" i="128"/>
  <c r="E24" i="128"/>
  <c r="D24" i="128"/>
  <c r="C24" i="128"/>
  <c r="J24" i="128" s="1"/>
  <c r="K24" i="128" s="1"/>
  <c r="M24" i="128" s="1"/>
  <c r="B24" i="128"/>
  <c r="H23" i="128"/>
  <c r="F23" i="128"/>
  <c r="E23" i="128"/>
  <c r="D23" i="128"/>
  <c r="H22" i="128"/>
  <c r="D22" i="128"/>
  <c r="G21" i="128" s="1"/>
  <c r="M21" i="128"/>
  <c r="O21" i="128" s="1"/>
  <c r="J21" i="128"/>
  <c r="K21" i="128" s="1"/>
  <c r="H21" i="128"/>
  <c r="J20" i="128"/>
  <c r="K20" i="128" s="1"/>
  <c r="M20" i="128" s="1"/>
  <c r="M19" i="128"/>
  <c r="O19" i="128" s="1"/>
  <c r="K19" i="128"/>
  <c r="D19" i="128"/>
  <c r="J19" i="128" s="1"/>
  <c r="J18" i="128"/>
  <c r="K18" i="128" s="1"/>
  <c r="M18" i="128" s="1"/>
  <c r="E18" i="128"/>
  <c r="J17" i="128"/>
  <c r="K17" i="128" s="1"/>
  <c r="M17" i="128" s="1"/>
  <c r="J16" i="128"/>
  <c r="K16" i="128" s="1"/>
  <c r="M16" i="128" s="1"/>
  <c r="I12" i="128"/>
  <c r="H12" i="128"/>
  <c r="F12" i="128"/>
  <c r="E12" i="128"/>
  <c r="D12" i="128"/>
  <c r="C12" i="128"/>
  <c r="J15" i="128" s="1"/>
  <c r="K15" i="128" s="1"/>
  <c r="M15" i="128" s="1"/>
  <c r="I11" i="128"/>
  <c r="D9" i="128"/>
  <c r="O7" i="128"/>
  <c r="I7" i="128"/>
  <c r="G7" i="128"/>
  <c r="C7" i="128"/>
  <c r="I5" i="128"/>
  <c r="G5" i="128"/>
  <c r="C5" i="128"/>
  <c r="I3" i="128"/>
  <c r="G3" i="128"/>
  <c r="C3" i="128"/>
  <c r="K197" i="127"/>
  <c r="M197" i="127" s="1"/>
  <c r="M196" i="127"/>
  <c r="N196" i="127" s="1"/>
  <c r="K196" i="127"/>
  <c r="O195" i="127"/>
  <c r="M195" i="127"/>
  <c r="N195" i="127" s="1"/>
  <c r="K195" i="127"/>
  <c r="K194" i="127"/>
  <c r="M194" i="127" s="1"/>
  <c r="K193" i="127"/>
  <c r="M193" i="127" s="1"/>
  <c r="N192" i="127"/>
  <c r="K192" i="127"/>
  <c r="M192" i="127" s="1"/>
  <c r="O192" i="127" s="1"/>
  <c r="K191" i="127"/>
  <c r="M191" i="127" s="1"/>
  <c r="K190" i="127"/>
  <c r="M190" i="127" s="1"/>
  <c r="O189" i="127"/>
  <c r="M189" i="127"/>
  <c r="N189" i="127" s="1"/>
  <c r="K189" i="127"/>
  <c r="C188" i="127"/>
  <c r="K188" i="127" s="1"/>
  <c r="M188" i="127" s="1"/>
  <c r="K187" i="127"/>
  <c r="M187" i="127" s="1"/>
  <c r="J186" i="127"/>
  <c r="K186" i="127" s="1"/>
  <c r="M186" i="127" s="1"/>
  <c r="J185" i="127"/>
  <c r="K185" i="127" s="1"/>
  <c r="M185" i="127" s="1"/>
  <c r="K184" i="127"/>
  <c r="M184" i="127" s="1"/>
  <c r="J184" i="127"/>
  <c r="J183" i="127"/>
  <c r="K183" i="127" s="1"/>
  <c r="M183" i="127" s="1"/>
  <c r="K180" i="127"/>
  <c r="M180" i="127" s="1"/>
  <c r="O180" i="127" s="1"/>
  <c r="F180" i="127"/>
  <c r="E180" i="127"/>
  <c r="B180" i="127"/>
  <c r="J180" i="127" s="1"/>
  <c r="J179" i="127"/>
  <c r="K179" i="127" s="1"/>
  <c r="M179" i="127" s="1"/>
  <c r="I179" i="127"/>
  <c r="F179" i="127"/>
  <c r="E179" i="127"/>
  <c r="B179" i="127"/>
  <c r="J178" i="127"/>
  <c r="F178" i="127"/>
  <c r="E178" i="127"/>
  <c r="D178" i="127"/>
  <c r="B178" i="127"/>
  <c r="I177" i="127"/>
  <c r="I180" i="127" s="1"/>
  <c r="B177" i="127"/>
  <c r="H176" i="127"/>
  <c r="F176" i="127"/>
  <c r="E176" i="127"/>
  <c r="D176" i="127"/>
  <c r="H175" i="127"/>
  <c r="D175" i="127"/>
  <c r="J175" i="127" s="1"/>
  <c r="M174" i="127"/>
  <c r="O174" i="127" s="1"/>
  <c r="J174" i="127"/>
  <c r="K174" i="127" s="1"/>
  <c r="H174" i="127"/>
  <c r="J173" i="127"/>
  <c r="K173" i="127" s="1"/>
  <c r="M173" i="127" s="1"/>
  <c r="J172" i="127"/>
  <c r="K172" i="127" s="1"/>
  <c r="M172" i="127" s="1"/>
  <c r="D172" i="127"/>
  <c r="J171" i="127"/>
  <c r="K171" i="127" s="1"/>
  <c r="M171" i="127" s="1"/>
  <c r="E171" i="127"/>
  <c r="N170" i="127"/>
  <c r="M170" i="127"/>
  <c r="O170" i="127" s="1"/>
  <c r="J170" i="127"/>
  <c r="K170" i="127" s="1"/>
  <c r="E170" i="127"/>
  <c r="J169" i="127"/>
  <c r="K169" i="127" s="1"/>
  <c r="M169" i="127" s="1"/>
  <c r="E169" i="127"/>
  <c r="L165" i="127"/>
  <c r="I165" i="127"/>
  <c r="H165" i="127"/>
  <c r="C177" i="127" s="1"/>
  <c r="E165" i="127"/>
  <c r="D165" i="127"/>
  <c r="I164" i="127"/>
  <c r="I163" i="127"/>
  <c r="J163" i="127" s="1"/>
  <c r="K163" i="127" s="1"/>
  <c r="M163" i="127" s="1"/>
  <c r="F163" i="127"/>
  <c r="E163" i="127"/>
  <c r="B163" i="127"/>
  <c r="I162" i="127"/>
  <c r="J162" i="127" s="1"/>
  <c r="K162" i="127" s="1"/>
  <c r="M162" i="127" s="1"/>
  <c r="F162" i="127"/>
  <c r="E162" i="127"/>
  <c r="B162" i="127"/>
  <c r="J161" i="127"/>
  <c r="F161" i="127"/>
  <c r="E161" i="127"/>
  <c r="D161" i="127"/>
  <c r="B161" i="127"/>
  <c r="I160" i="127"/>
  <c r="B160" i="127"/>
  <c r="H159" i="127"/>
  <c r="F159" i="127"/>
  <c r="E159" i="127"/>
  <c r="D159" i="127"/>
  <c r="J158" i="127"/>
  <c r="H158" i="127"/>
  <c r="D158" i="127"/>
  <c r="G157" i="127" s="1"/>
  <c r="J157" i="127"/>
  <c r="K157" i="127" s="1"/>
  <c r="M157" i="127" s="1"/>
  <c r="H157" i="127"/>
  <c r="J156" i="127"/>
  <c r="K156" i="127" s="1"/>
  <c r="M156" i="127" s="1"/>
  <c r="J155" i="127"/>
  <c r="K155" i="127" s="1"/>
  <c r="M155" i="127" s="1"/>
  <c r="D155" i="127"/>
  <c r="J154" i="127"/>
  <c r="K154" i="127" s="1"/>
  <c r="M154" i="127" s="1"/>
  <c r="E154" i="127"/>
  <c r="J153" i="127"/>
  <c r="K153" i="127" s="1"/>
  <c r="M153" i="127" s="1"/>
  <c r="E153" i="127"/>
  <c r="J152" i="127"/>
  <c r="K152" i="127" s="1"/>
  <c r="M152" i="127" s="1"/>
  <c r="E152" i="127"/>
  <c r="I148" i="127"/>
  <c r="H148" i="127"/>
  <c r="E148" i="127"/>
  <c r="D148" i="127"/>
  <c r="I147" i="127"/>
  <c r="K146" i="127"/>
  <c r="M146" i="127" s="1"/>
  <c r="J146" i="127"/>
  <c r="I146" i="127"/>
  <c r="F146" i="127"/>
  <c r="E146" i="127"/>
  <c r="B146" i="127"/>
  <c r="I145" i="127"/>
  <c r="J145" i="127" s="1"/>
  <c r="K145" i="127" s="1"/>
  <c r="M145" i="127" s="1"/>
  <c r="F145" i="127"/>
  <c r="E145" i="127"/>
  <c r="B145" i="127"/>
  <c r="J144" i="127"/>
  <c r="F144" i="127"/>
  <c r="E144" i="127"/>
  <c r="D144" i="127"/>
  <c r="B144" i="127"/>
  <c r="I143" i="127"/>
  <c r="B143" i="127"/>
  <c r="N142" i="127"/>
  <c r="M142" i="127"/>
  <c r="O142" i="127" s="1"/>
  <c r="K142" i="127"/>
  <c r="H142" i="127"/>
  <c r="F142" i="127"/>
  <c r="E142" i="127"/>
  <c r="D142" i="127"/>
  <c r="J142" i="127" s="1"/>
  <c r="J141" i="127"/>
  <c r="K141" i="127" s="1"/>
  <c r="M141" i="127" s="1"/>
  <c r="H141" i="127"/>
  <c r="D141" i="127"/>
  <c r="G141" i="127" s="1"/>
  <c r="J140" i="127"/>
  <c r="K140" i="127" s="1"/>
  <c r="M140" i="127" s="1"/>
  <c r="H140" i="127"/>
  <c r="G140" i="127"/>
  <c r="J139" i="127"/>
  <c r="K139" i="127" s="1"/>
  <c r="M139" i="127" s="1"/>
  <c r="J138" i="127"/>
  <c r="K138" i="127" s="1"/>
  <c r="M138" i="127" s="1"/>
  <c r="D138" i="127"/>
  <c r="J137" i="127"/>
  <c r="K137" i="127" s="1"/>
  <c r="M137" i="127" s="1"/>
  <c r="N137" i="127" s="1"/>
  <c r="E137" i="127"/>
  <c r="K136" i="127"/>
  <c r="M136" i="127" s="1"/>
  <c r="J136" i="127"/>
  <c r="E136" i="127"/>
  <c r="J135" i="127"/>
  <c r="K135" i="127" s="1"/>
  <c r="M135" i="127" s="1"/>
  <c r="N135" i="127" s="1"/>
  <c r="E135" i="127"/>
  <c r="I131" i="127"/>
  <c r="H131" i="127"/>
  <c r="C131" i="127" s="1"/>
  <c r="F131" i="127"/>
  <c r="C141" i="127" s="1"/>
  <c r="E131" i="127"/>
  <c r="D131" i="127"/>
  <c r="I130" i="127"/>
  <c r="I129" i="127"/>
  <c r="J129" i="127" s="1"/>
  <c r="K129" i="127" s="1"/>
  <c r="M129" i="127" s="1"/>
  <c r="F129" i="127"/>
  <c r="E129" i="127"/>
  <c r="B129" i="127"/>
  <c r="I128" i="127"/>
  <c r="J128" i="127" s="1"/>
  <c r="F128" i="127"/>
  <c r="E128" i="127"/>
  <c r="B128" i="127"/>
  <c r="F127" i="127"/>
  <c r="E127" i="127"/>
  <c r="D127" i="127"/>
  <c r="B127" i="127"/>
  <c r="I126" i="127"/>
  <c r="J127" i="127" s="1"/>
  <c r="C126" i="127"/>
  <c r="D126" i="127" s="1"/>
  <c r="B126" i="127"/>
  <c r="H125" i="127"/>
  <c r="F125" i="127"/>
  <c r="E125" i="127"/>
  <c r="D125" i="127"/>
  <c r="G125" i="127" s="1"/>
  <c r="J124" i="127"/>
  <c r="H124" i="127"/>
  <c r="G124" i="127"/>
  <c r="D124" i="127"/>
  <c r="M123" i="127"/>
  <c r="O123" i="127" s="1"/>
  <c r="K123" i="127"/>
  <c r="J123" i="127"/>
  <c r="H123" i="127"/>
  <c r="G123" i="127"/>
  <c r="J122" i="127"/>
  <c r="K122" i="127" s="1"/>
  <c r="M122" i="127" s="1"/>
  <c r="N122" i="127" s="1"/>
  <c r="D121" i="127"/>
  <c r="J121" i="127" s="1"/>
  <c r="K121" i="127" s="1"/>
  <c r="M121" i="127" s="1"/>
  <c r="K120" i="127"/>
  <c r="M120" i="127" s="1"/>
  <c r="O120" i="127" s="1"/>
  <c r="J120" i="127"/>
  <c r="E120" i="127"/>
  <c r="J119" i="127"/>
  <c r="K119" i="127" s="1"/>
  <c r="M119" i="127" s="1"/>
  <c r="E119" i="127"/>
  <c r="O118" i="127"/>
  <c r="N118" i="127"/>
  <c r="K118" i="127"/>
  <c r="M118" i="127" s="1"/>
  <c r="J118" i="127"/>
  <c r="E118" i="127"/>
  <c r="I114" i="127"/>
  <c r="H114" i="127"/>
  <c r="F114" i="127" s="1"/>
  <c r="E114" i="127"/>
  <c r="D114" i="127"/>
  <c r="C114" i="127"/>
  <c r="J117" i="127" s="1"/>
  <c r="K117" i="127" s="1"/>
  <c r="M117" i="127" s="1"/>
  <c r="I113" i="127"/>
  <c r="I112" i="127"/>
  <c r="J112" i="127" s="1"/>
  <c r="K112" i="127" s="1"/>
  <c r="M112" i="127" s="1"/>
  <c r="F112" i="127"/>
  <c r="E112" i="127"/>
  <c r="B112" i="127"/>
  <c r="K111" i="127"/>
  <c r="M111" i="127" s="1"/>
  <c r="O111" i="127" s="1"/>
  <c r="J111" i="127"/>
  <c r="I111" i="127"/>
  <c r="F111" i="127"/>
  <c r="E111" i="127"/>
  <c r="B111" i="127"/>
  <c r="J110" i="127"/>
  <c r="F110" i="127"/>
  <c r="E110" i="127"/>
  <c r="D110" i="127"/>
  <c r="B110" i="127"/>
  <c r="J109" i="127"/>
  <c r="K109" i="127" s="1"/>
  <c r="M109" i="127" s="1"/>
  <c r="I109" i="127"/>
  <c r="C109" i="127"/>
  <c r="E109" i="127" s="1"/>
  <c r="B109" i="127"/>
  <c r="H108" i="127"/>
  <c r="F108" i="127"/>
  <c r="E108" i="127"/>
  <c r="D108" i="127"/>
  <c r="G108" i="127" s="1"/>
  <c r="K107" i="127"/>
  <c r="M107" i="127" s="1"/>
  <c r="J107" i="127"/>
  <c r="H107" i="127"/>
  <c r="G107" i="127"/>
  <c r="D107" i="127"/>
  <c r="J106" i="127"/>
  <c r="K106" i="127" s="1"/>
  <c r="M106" i="127" s="1"/>
  <c r="H106" i="127"/>
  <c r="G106" i="127"/>
  <c r="K105" i="127"/>
  <c r="M105" i="127" s="1"/>
  <c r="O105" i="127" s="1"/>
  <c r="J105" i="127"/>
  <c r="D104" i="127"/>
  <c r="J104" i="127" s="1"/>
  <c r="K104" i="127" s="1"/>
  <c r="M104" i="127" s="1"/>
  <c r="N103" i="127"/>
  <c r="M103" i="127"/>
  <c r="O103" i="127" s="1"/>
  <c r="J103" i="127"/>
  <c r="K103" i="127" s="1"/>
  <c r="E103" i="127"/>
  <c r="K102" i="127"/>
  <c r="M102" i="127" s="1"/>
  <c r="J102" i="127"/>
  <c r="E102" i="127"/>
  <c r="M101" i="127"/>
  <c r="O101" i="127" s="1"/>
  <c r="J101" i="127"/>
  <c r="K101" i="127" s="1"/>
  <c r="E101" i="127"/>
  <c r="J100" i="127"/>
  <c r="K100" i="127" s="1"/>
  <c r="M100" i="127" s="1"/>
  <c r="I97" i="127"/>
  <c r="H97" i="127"/>
  <c r="C97" i="127" s="1"/>
  <c r="F97" i="127"/>
  <c r="C107" i="127" s="1"/>
  <c r="E97" i="127"/>
  <c r="D97" i="127"/>
  <c r="I96" i="127"/>
  <c r="I95" i="127"/>
  <c r="J95" i="127" s="1"/>
  <c r="K95" i="127" s="1"/>
  <c r="M95" i="127" s="1"/>
  <c r="F95" i="127"/>
  <c r="E95" i="127"/>
  <c r="B95" i="127"/>
  <c r="I94" i="127"/>
  <c r="J94" i="127" s="1"/>
  <c r="K94" i="127" s="1"/>
  <c r="M94" i="127" s="1"/>
  <c r="F94" i="127"/>
  <c r="E94" i="127"/>
  <c r="B94" i="127"/>
  <c r="F93" i="127"/>
  <c r="E93" i="127"/>
  <c r="D93" i="127"/>
  <c r="B93" i="127"/>
  <c r="I92" i="127"/>
  <c r="J93" i="127" s="1"/>
  <c r="B92" i="127"/>
  <c r="J91" i="127"/>
  <c r="K91" i="127" s="1"/>
  <c r="M91" i="127" s="1"/>
  <c r="H91" i="127"/>
  <c r="G91" i="127"/>
  <c r="F91" i="127"/>
  <c r="E91" i="127"/>
  <c r="D91" i="127"/>
  <c r="J90" i="127"/>
  <c r="H90" i="127"/>
  <c r="G90" i="127"/>
  <c r="D90" i="127"/>
  <c r="K89" i="127"/>
  <c r="M89" i="127" s="1"/>
  <c r="J89" i="127"/>
  <c r="H89" i="127"/>
  <c r="G89" i="127"/>
  <c r="N88" i="127"/>
  <c r="M88" i="127"/>
  <c r="O88" i="127" s="1"/>
  <c r="J88" i="127"/>
  <c r="K88" i="127" s="1"/>
  <c r="D87" i="127"/>
  <c r="J87" i="127" s="1"/>
  <c r="K87" i="127" s="1"/>
  <c r="M87" i="127" s="1"/>
  <c r="K86" i="127"/>
  <c r="M86" i="127" s="1"/>
  <c r="J86" i="127"/>
  <c r="E86" i="127"/>
  <c r="J85" i="127"/>
  <c r="K85" i="127" s="1"/>
  <c r="M85" i="127" s="1"/>
  <c r="E85" i="127"/>
  <c r="K84" i="127"/>
  <c r="M84" i="127" s="1"/>
  <c r="J84" i="127"/>
  <c r="E84" i="127"/>
  <c r="N83" i="127"/>
  <c r="M83" i="127"/>
  <c r="O83" i="127" s="1"/>
  <c r="J83" i="127"/>
  <c r="I80" i="127"/>
  <c r="H80" i="127"/>
  <c r="F80" i="127" s="1"/>
  <c r="E80" i="127"/>
  <c r="D80" i="127"/>
  <c r="C80" i="127"/>
  <c r="J82" i="127" s="1"/>
  <c r="K82" i="127" s="1"/>
  <c r="I79" i="127"/>
  <c r="J78" i="127"/>
  <c r="K78" i="127" s="1"/>
  <c r="M78" i="127" s="1"/>
  <c r="I78" i="127"/>
  <c r="F78" i="127"/>
  <c r="E78" i="127"/>
  <c r="B78" i="127"/>
  <c r="I77" i="127"/>
  <c r="J77" i="127" s="1"/>
  <c r="K77" i="127" s="1"/>
  <c r="M77" i="127" s="1"/>
  <c r="F77" i="127"/>
  <c r="E77" i="127"/>
  <c r="B77" i="127"/>
  <c r="J76" i="127"/>
  <c r="F76" i="127"/>
  <c r="E76" i="127"/>
  <c r="D76" i="127"/>
  <c r="B76" i="127"/>
  <c r="J75" i="127"/>
  <c r="K75" i="127" s="1"/>
  <c r="M75" i="127" s="1"/>
  <c r="I75" i="127"/>
  <c r="C75" i="127"/>
  <c r="D75" i="127" s="1"/>
  <c r="B75" i="127"/>
  <c r="K74" i="127"/>
  <c r="M74" i="127" s="1"/>
  <c r="J74" i="127"/>
  <c r="H74" i="127"/>
  <c r="G74" i="127"/>
  <c r="F74" i="127"/>
  <c r="E74" i="127"/>
  <c r="D74" i="127"/>
  <c r="J73" i="127"/>
  <c r="H73" i="127"/>
  <c r="G73" i="127"/>
  <c r="D73" i="127"/>
  <c r="J72" i="127"/>
  <c r="K72" i="127" s="1"/>
  <c r="M72" i="127" s="1"/>
  <c r="H72" i="127"/>
  <c r="G72" i="127"/>
  <c r="K71" i="127"/>
  <c r="M71" i="127" s="1"/>
  <c r="J71" i="127"/>
  <c r="D70" i="127"/>
  <c r="J70" i="127" s="1"/>
  <c r="K70" i="127" s="1"/>
  <c r="M70" i="127" s="1"/>
  <c r="M69" i="127"/>
  <c r="O69" i="127" s="1"/>
  <c r="K69" i="127"/>
  <c r="J69" i="127"/>
  <c r="E69" i="127"/>
  <c r="J68" i="127"/>
  <c r="K68" i="127" s="1"/>
  <c r="M68" i="127" s="1"/>
  <c r="E68" i="127"/>
  <c r="K67" i="127"/>
  <c r="M67" i="127" s="1"/>
  <c r="J67" i="127"/>
  <c r="E67" i="127"/>
  <c r="I63" i="127"/>
  <c r="H63" i="127"/>
  <c r="F63" i="127"/>
  <c r="C73" i="127" s="1"/>
  <c r="E63" i="127"/>
  <c r="D63" i="127"/>
  <c r="C63" i="127"/>
  <c r="J66" i="127" s="1"/>
  <c r="K66" i="127" s="1"/>
  <c r="M66" i="127" s="1"/>
  <c r="I62" i="127"/>
  <c r="F61" i="127"/>
  <c r="E61" i="127"/>
  <c r="B61" i="127"/>
  <c r="K60" i="127"/>
  <c r="M60" i="127" s="1"/>
  <c r="J60" i="127"/>
  <c r="I60" i="127"/>
  <c r="F60" i="127"/>
  <c r="E60" i="127"/>
  <c r="B60" i="127"/>
  <c r="J59" i="127"/>
  <c r="K59" i="127" s="1"/>
  <c r="M59" i="127" s="1"/>
  <c r="F59" i="127"/>
  <c r="E59" i="127"/>
  <c r="D59" i="127"/>
  <c r="B59" i="127"/>
  <c r="I58" i="127"/>
  <c r="I61" i="127" s="1"/>
  <c r="D58" i="127"/>
  <c r="C58" i="127"/>
  <c r="J58" i="127" s="1"/>
  <c r="K58" i="127" s="1"/>
  <c r="M58" i="127" s="1"/>
  <c r="B58" i="127"/>
  <c r="H57" i="127"/>
  <c r="F57" i="127"/>
  <c r="E57" i="127"/>
  <c r="D57" i="127"/>
  <c r="H56" i="127"/>
  <c r="G56" i="127"/>
  <c r="D56" i="127"/>
  <c r="C56" i="127"/>
  <c r="F56" i="127" s="1"/>
  <c r="K55" i="127"/>
  <c r="M55" i="127" s="1"/>
  <c r="J55" i="127"/>
  <c r="H55" i="127"/>
  <c r="J54" i="127"/>
  <c r="K54" i="127" s="1"/>
  <c r="M54" i="127" s="1"/>
  <c r="D53" i="127"/>
  <c r="J53" i="127" s="1"/>
  <c r="K53" i="127" s="1"/>
  <c r="M53" i="127" s="1"/>
  <c r="J52" i="127"/>
  <c r="K52" i="127" s="1"/>
  <c r="M52" i="127" s="1"/>
  <c r="E52" i="127"/>
  <c r="K51" i="127"/>
  <c r="M51" i="127" s="1"/>
  <c r="J51" i="127"/>
  <c r="E51" i="127"/>
  <c r="J50" i="127"/>
  <c r="K50" i="127" s="1"/>
  <c r="M50" i="127" s="1"/>
  <c r="E50" i="127"/>
  <c r="I46" i="127"/>
  <c r="H46" i="127"/>
  <c r="F46" i="127"/>
  <c r="E46" i="127"/>
  <c r="D46" i="127"/>
  <c r="G46" i="127" s="1"/>
  <c r="C46" i="127"/>
  <c r="J49" i="127" s="1"/>
  <c r="K49" i="127" s="1"/>
  <c r="M49" i="127" s="1"/>
  <c r="I45" i="127"/>
  <c r="F44" i="127"/>
  <c r="E44" i="127"/>
  <c r="B44" i="127"/>
  <c r="J43" i="127"/>
  <c r="K43" i="127" s="1"/>
  <c r="M43" i="127" s="1"/>
  <c r="I43" i="127"/>
  <c r="F43" i="127"/>
  <c r="E43" i="127"/>
  <c r="B43" i="127"/>
  <c r="J42" i="127"/>
  <c r="F42" i="127"/>
  <c r="E42" i="127"/>
  <c r="D42" i="127"/>
  <c r="B42" i="127"/>
  <c r="I41" i="127"/>
  <c r="I44" i="127" s="1"/>
  <c r="J44" i="127" s="1"/>
  <c r="K44" i="127" s="1"/>
  <c r="M44" i="127" s="1"/>
  <c r="C41" i="127"/>
  <c r="J41" i="127" s="1"/>
  <c r="K41" i="127" s="1"/>
  <c r="M41" i="127" s="1"/>
  <c r="B41" i="127"/>
  <c r="H40" i="127"/>
  <c r="F40" i="127"/>
  <c r="E40" i="127"/>
  <c r="D40" i="127"/>
  <c r="H39" i="127"/>
  <c r="G39" i="127"/>
  <c r="D39" i="127"/>
  <c r="J39" i="127" s="1"/>
  <c r="J38" i="127"/>
  <c r="K38" i="127" s="1"/>
  <c r="M38" i="127" s="1"/>
  <c r="H38" i="127"/>
  <c r="J37" i="127"/>
  <c r="K37" i="127" s="1"/>
  <c r="M37" i="127" s="1"/>
  <c r="J36" i="127"/>
  <c r="K36" i="127" s="1"/>
  <c r="M36" i="127" s="1"/>
  <c r="D36" i="127"/>
  <c r="J35" i="127"/>
  <c r="K35" i="127" s="1"/>
  <c r="M35" i="127" s="1"/>
  <c r="M34" i="127"/>
  <c r="O34" i="127" s="1"/>
  <c r="K34" i="127"/>
  <c r="J34" i="127"/>
  <c r="E34" i="127"/>
  <c r="K33" i="127"/>
  <c r="M33" i="127" s="1"/>
  <c r="J33" i="127"/>
  <c r="E33" i="127"/>
  <c r="I29" i="127"/>
  <c r="H29" i="127"/>
  <c r="F29" i="127" s="1"/>
  <c r="E29" i="127"/>
  <c r="D29" i="127"/>
  <c r="C29" i="127"/>
  <c r="I28" i="127"/>
  <c r="K27" i="127"/>
  <c r="M27" i="127" s="1"/>
  <c r="J27" i="127"/>
  <c r="I27" i="127"/>
  <c r="F27" i="127"/>
  <c r="E27" i="127"/>
  <c r="B27" i="127"/>
  <c r="I26" i="127"/>
  <c r="J26" i="127" s="1"/>
  <c r="K26" i="127" s="1"/>
  <c r="M26" i="127" s="1"/>
  <c r="F26" i="127"/>
  <c r="E26" i="127"/>
  <c r="B26" i="127"/>
  <c r="J25" i="127"/>
  <c r="F25" i="127"/>
  <c r="E25" i="127"/>
  <c r="D25" i="127"/>
  <c r="B25" i="127"/>
  <c r="I24" i="127"/>
  <c r="B24" i="127"/>
  <c r="H23" i="127"/>
  <c r="G23" i="127"/>
  <c r="F23" i="127"/>
  <c r="E23" i="127"/>
  <c r="D23" i="127"/>
  <c r="J23" i="127" s="1"/>
  <c r="K23" i="127" s="1"/>
  <c r="M23" i="127" s="1"/>
  <c r="H22" i="127"/>
  <c r="D22" i="127"/>
  <c r="G22" i="127" s="1"/>
  <c r="K21" i="127"/>
  <c r="M21" i="127" s="1"/>
  <c r="J21" i="127"/>
  <c r="H21" i="127"/>
  <c r="G21" i="127"/>
  <c r="K20" i="127"/>
  <c r="M20" i="127" s="1"/>
  <c r="J20" i="127"/>
  <c r="K19" i="127"/>
  <c r="M19" i="127" s="1"/>
  <c r="J19" i="127"/>
  <c r="D19" i="127"/>
  <c r="J18" i="127"/>
  <c r="K18" i="127" s="1"/>
  <c r="M18" i="127" s="1"/>
  <c r="E18" i="127"/>
  <c r="K17" i="127"/>
  <c r="M17" i="127" s="1"/>
  <c r="J17" i="127"/>
  <c r="E17" i="127"/>
  <c r="J16" i="127"/>
  <c r="K16" i="127" s="1"/>
  <c r="M16" i="127" s="1"/>
  <c r="E16" i="127"/>
  <c r="I12" i="127"/>
  <c r="H12" i="127"/>
  <c r="C12" i="127" s="1"/>
  <c r="F12" i="127"/>
  <c r="C22" i="127" s="1"/>
  <c r="E12" i="127"/>
  <c r="D12" i="127"/>
  <c r="I11" i="127"/>
  <c r="D9" i="127"/>
  <c r="K197" i="126"/>
  <c r="M197" i="126" s="1"/>
  <c r="K196" i="126"/>
  <c r="M196" i="126" s="1"/>
  <c r="K195" i="126"/>
  <c r="M195" i="126" s="1"/>
  <c r="K194" i="126"/>
  <c r="M194" i="126" s="1"/>
  <c r="K193" i="126"/>
  <c r="M193" i="126" s="1"/>
  <c r="N193" i="126" s="1"/>
  <c r="M192" i="126"/>
  <c r="O192" i="126" s="1"/>
  <c r="K192" i="126"/>
  <c r="K191" i="126"/>
  <c r="M191" i="126" s="1"/>
  <c r="K190" i="126"/>
  <c r="M190" i="126" s="1"/>
  <c r="N190" i="126" s="1"/>
  <c r="K189" i="126"/>
  <c r="M189" i="126" s="1"/>
  <c r="C188" i="126"/>
  <c r="K188" i="126" s="1"/>
  <c r="M188" i="126" s="1"/>
  <c r="K187" i="126"/>
  <c r="M187" i="126" s="1"/>
  <c r="J186" i="126"/>
  <c r="K186" i="126" s="1"/>
  <c r="M186" i="126" s="1"/>
  <c r="J185" i="126"/>
  <c r="K185" i="126" s="1"/>
  <c r="M185" i="126" s="1"/>
  <c r="K184" i="126"/>
  <c r="M184" i="126" s="1"/>
  <c r="J184" i="126"/>
  <c r="J183" i="126"/>
  <c r="K183" i="126" s="1"/>
  <c r="M183" i="126" s="1"/>
  <c r="F180" i="126"/>
  <c r="E180" i="126"/>
  <c r="B180" i="126"/>
  <c r="F179" i="126"/>
  <c r="E179" i="126"/>
  <c r="B179" i="126"/>
  <c r="F178" i="126"/>
  <c r="E178" i="126"/>
  <c r="D178" i="126"/>
  <c r="B178" i="126"/>
  <c r="I177" i="126"/>
  <c r="J178" i="126" s="1"/>
  <c r="B177" i="126"/>
  <c r="H176" i="126"/>
  <c r="F176" i="126"/>
  <c r="E176" i="126"/>
  <c r="D176" i="126"/>
  <c r="J176" i="126" s="1"/>
  <c r="H175" i="126"/>
  <c r="D175" i="126"/>
  <c r="K174" i="126"/>
  <c r="M174" i="126" s="1"/>
  <c r="O174" i="126" s="1"/>
  <c r="J174" i="126"/>
  <c r="H174" i="126"/>
  <c r="J173" i="126"/>
  <c r="K173" i="126" s="1"/>
  <c r="M173" i="126" s="1"/>
  <c r="D172" i="126"/>
  <c r="J172" i="126" s="1"/>
  <c r="K172" i="126" s="1"/>
  <c r="M172" i="126" s="1"/>
  <c r="O172" i="126" s="1"/>
  <c r="J171" i="126"/>
  <c r="K171" i="126" s="1"/>
  <c r="M171" i="126" s="1"/>
  <c r="E171" i="126"/>
  <c r="J170" i="126"/>
  <c r="K170" i="126" s="1"/>
  <c r="M170" i="126" s="1"/>
  <c r="O170" i="126" s="1"/>
  <c r="E170" i="126"/>
  <c r="J169" i="126"/>
  <c r="K169" i="126" s="1"/>
  <c r="M169" i="126" s="1"/>
  <c r="E169" i="126"/>
  <c r="L165" i="126"/>
  <c r="I165" i="126"/>
  <c r="H165" i="126"/>
  <c r="C177" i="126" s="1"/>
  <c r="J177" i="126" s="1"/>
  <c r="K177" i="126" s="1"/>
  <c r="M177" i="126" s="1"/>
  <c r="F165" i="126"/>
  <c r="E165" i="126"/>
  <c r="D165" i="126"/>
  <c r="C165" i="126"/>
  <c r="J168" i="126" s="1"/>
  <c r="K168" i="126" s="1"/>
  <c r="M168" i="126" s="1"/>
  <c r="N168" i="126" s="1"/>
  <c r="I164" i="126"/>
  <c r="F163" i="126"/>
  <c r="E163" i="126"/>
  <c r="B163" i="126"/>
  <c r="F162" i="126"/>
  <c r="E162" i="126"/>
  <c r="B162" i="126"/>
  <c r="J161" i="126"/>
  <c r="F161" i="126"/>
  <c r="E161" i="126"/>
  <c r="D161" i="126"/>
  <c r="B161" i="126"/>
  <c r="I160" i="126"/>
  <c r="I163" i="126" s="1"/>
  <c r="B160" i="126"/>
  <c r="H159" i="126"/>
  <c r="F159" i="126"/>
  <c r="E159" i="126"/>
  <c r="D159" i="126"/>
  <c r="J159" i="126" s="1"/>
  <c r="H158" i="126"/>
  <c r="D158" i="126"/>
  <c r="G158" i="126" s="1"/>
  <c r="J157" i="126"/>
  <c r="K157" i="126" s="1"/>
  <c r="M157" i="126" s="1"/>
  <c r="H157" i="126"/>
  <c r="J156" i="126"/>
  <c r="K156" i="126" s="1"/>
  <c r="M156" i="126" s="1"/>
  <c r="D155" i="126"/>
  <c r="J155" i="126" s="1"/>
  <c r="K155" i="126" s="1"/>
  <c r="M155" i="126" s="1"/>
  <c r="O155" i="126" s="1"/>
  <c r="J154" i="126"/>
  <c r="K154" i="126" s="1"/>
  <c r="M154" i="126" s="1"/>
  <c r="E154" i="126"/>
  <c r="J153" i="126"/>
  <c r="K153" i="126" s="1"/>
  <c r="M153" i="126" s="1"/>
  <c r="E153" i="126"/>
  <c r="J152" i="126"/>
  <c r="K152" i="126" s="1"/>
  <c r="M152" i="126" s="1"/>
  <c r="E152" i="126"/>
  <c r="I148" i="126"/>
  <c r="H148" i="126"/>
  <c r="C160" i="126" s="1"/>
  <c r="J160" i="126" s="1"/>
  <c r="K160" i="126" s="1"/>
  <c r="M160" i="126" s="1"/>
  <c r="E148" i="126"/>
  <c r="D148" i="126"/>
  <c r="I147" i="126"/>
  <c r="F146" i="126"/>
  <c r="E146" i="126"/>
  <c r="B146" i="126"/>
  <c r="F145" i="126"/>
  <c r="E145" i="126"/>
  <c r="B145" i="126"/>
  <c r="F144" i="126"/>
  <c r="E144" i="126"/>
  <c r="D144" i="126"/>
  <c r="B144" i="126"/>
  <c r="I143" i="126"/>
  <c r="I146" i="126" s="1"/>
  <c r="B143" i="126"/>
  <c r="H142" i="126"/>
  <c r="F142" i="126"/>
  <c r="E142" i="126"/>
  <c r="D142" i="126"/>
  <c r="H141" i="126"/>
  <c r="D141" i="126"/>
  <c r="J140" i="126"/>
  <c r="K140" i="126" s="1"/>
  <c r="M140" i="126" s="1"/>
  <c r="H140" i="126"/>
  <c r="J139" i="126"/>
  <c r="K139" i="126" s="1"/>
  <c r="M139" i="126" s="1"/>
  <c r="D138" i="126"/>
  <c r="J138" i="126" s="1"/>
  <c r="K138" i="126" s="1"/>
  <c r="M138" i="126" s="1"/>
  <c r="J137" i="126"/>
  <c r="K137" i="126" s="1"/>
  <c r="M137" i="126" s="1"/>
  <c r="O137" i="126" s="1"/>
  <c r="E137" i="126"/>
  <c r="J136" i="126"/>
  <c r="K136" i="126" s="1"/>
  <c r="M136" i="126" s="1"/>
  <c r="E136" i="126"/>
  <c r="J135" i="126"/>
  <c r="K135" i="126" s="1"/>
  <c r="M135" i="126" s="1"/>
  <c r="E135" i="126"/>
  <c r="I131" i="126"/>
  <c r="H131" i="126"/>
  <c r="C131" i="126" s="1"/>
  <c r="J134" i="126" s="1"/>
  <c r="K134" i="126" s="1"/>
  <c r="M134" i="126" s="1"/>
  <c r="F131" i="126"/>
  <c r="C141" i="126" s="1"/>
  <c r="E141" i="126" s="1"/>
  <c r="E131" i="126"/>
  <c r="D131" i="126"/>
  <c r="I130" i="126"/>
  <c r="F129" i="126"/>
  <c r="E129" i="126"/>
  <c r="B129" i="126"/>
  <c r="F128" i="126"/>
  <c r="E128" i="126"/>
  <c r="B128" i="126"/>
  <c r="F127" i="126"/>
  <c r="E127" i="126"/>
  <c r="D127" i="126"/>
  <c r="B127" i="126"/>
  <c r="I126" i="126"/>
  <c r="B126" i="126"/>
  <c r="H125" i="126"/>
  <c r="F125" i="126"/>
  <c r="E125" i="126"/>
  <c r="D125" i="126"/>
  <c r="H124" i="126"/>
  <c r="D124" i="126"/>
  <c r="J124" i="126" s="1"/>
  <c r="J123" i="126"/>
  <c r="K123" i="126" s="1"/>
  <c r="M123" i="126" s="1"/>
  <c r="H123" i="126"/>
  <c r="J122" i="126"/>
  <c r="K122" i="126" s="1"/>
  <c r="M122" i="126" s="1"/>
  <c r="O122" i="126" s="1"/>
  <c r="J121" i="126"/>
  <c r="K121" i="126" s="1"/>
  <c r="M121" i="126" s="1"/>
  <c r="D121" i="126"/>
  <c r="J120" i="126"/>
  <c r="K120" i="126" s="1"/>
  <c r="M120" i="126" s="1"/>
  <c r="E120" i="126"/>
  <c r="J119" i="126"/>
  <c r="K119" i="126" s="1"/>
  <c r="M119" i="126" s="1"/>
  <c r="E119" i="126"/>
  <c r="J118" i="126"/>
  <c r="K118" i="126" s="1"/>
  <c r="M118" i="126" s="1"/>
  <c r="E118" i="126"/>
  <c r="I114" i="126"/>
  <c r="H114" i="126"/>
  <c r="F114" i="126" s="1"/>
  <c r="C124" i="126" s="1"/>
  <c r="E114" i="126"/>
  <c r="D114" i="126"/>
  <c r="I113" i="126"/>
  <c r="I112" i="126"/>
  <c r="F112" i="126"/>
  <c r="E112" i="126"/>
  <c r="B112" i="126"/>
  <c r="F111" i="126"/>
  <c r="E111" i="126"/>
  <c r="B111" i="126"/>
  <c r="F110" i="126"/>
  <c r="E110" i="126"/>
  <c r="D110" i="126"/>
  <c r="B110" i="126"/>
  <c r="I109" i="126"/>
  <c r="I111" i="126" s="1"/>
  <c r="J111" i="126" s="1"/>
  <c r="K111" i="126" s="1"/>
  <c r="M111" i="126" s="1"/>
  <c r="B109" i="126"/>
  <c r="H108" i="126"/>
  <c r="F108" i="126"/>
  <c r="E108" i="126"/>
  <c r="D108" i="126"/>
  <c r="G108" i="126" s="1"/>
  <c r="H107" i="126"/>
  <c r="D107" i="126"/>
  <c r="J106" i="126"/>
  <c r="K106" i="126" s="1"/>
  <c r="M106" i="126" s="1"/>
  <c r="N106" i="126" s="1"/>
  <c r="H106" i="126"/>
  <c r="J105" i="126"/>
  <c r="K105" i="126" s="1"/>
  <c r="M105" i="126" s="1"/>
  <c r="D104" i="126"/>
  <c r="J104" i="126" s="1"/>
  <c r="K104" i="126" s="1"/>
  <c r="M104" i="126" s="1"/>
  <c r="J103" i="126"/>
  <c r="K103" i="126" s="1"/>
  <c r="M103" i="126" s="1"/>
  <c r="E103" i="126"/>
  <c r="J102" i="126"/>
  <c r="K102" i="126" s="1"/>
  <c r="M102" i="126" s="1"/>
  <c r="E102" i="126"/>
  <c r="J101" i="126"/>
  <c r="K101" i="126" s="1"/>
  <c r="M101" i="126" s="1"/>
  <c r="E101" i="126"/>
  <c r="I97" i="126"/>
  <c r="H97" i="126"/>
  <c r="F97" i="126" s="1"/>
  <c r="C107" i="126" s="1"/>
  <c r="E107" i="126" s="1"/>
  <c r="E97" i="126"/>
  <c r="D97" i="126"/>
  <c r="G97" i="126" s="1"/>
  <c r="I96" i="126"/>
  <c r="F95" i="126"/>
  <c r="E95" i="126"/>
  <c r="B95" i="126"/>
  <c r="F94" i="126"/>
  <c r="E94" i="126"/>
  <c r="B94" i="126"/>
  <c r="J93" i="126"/>
  <c r="F93" i="126"/>
  <c r="E93" i="126"/>
  <c r="D93" i="126"/>
  <c r="B93" i="126"/>
  <c r="I92" i="126"/>
  <c r="I95" i="126" s="1"/>
  <c r="B92" i="126"/>
  <c r="H91" i="126"/>
  <c r="F91" i="126"/>
  <c r="E91" i="126"/>
  <c r="D91" i="126"/>
  <c r="J91" i="126" s="1"/>
  <c r="K91" i="126" s="1"/>
  <c r="M91" i="126" s="1"/>
  <c r="H90" i="126"/>
  <c r="D90" i="126"/>
  <c r="G90" i="126" s="1"/>
  <c r="J89" i="126"/>
  <c r="K89" i="126" s="1"/>
  <c r="M89" i="126" s="1"/>
  <c r="H89" i="126"/>
  <c r="J88" i="126"/>
  <c r="K88" i="126" s="1"/>
  <c r="M88" i="126" s="1"/>
  <c r="D87" i="126"/>
  <c r="J87" i="126" s="1"/>
  <c r="K87" i="126" s="1"/>
  <c r="M87" i="126" s="1"/>
  <c r="J86" i="126"/>
  <c r="K86" i="126" s="1"/>
  <c r="M86" i="126" s="1"/>
  <c r="N86" i="126" s="1"/>
  <c r="E86" i="126"/>
  <c r="J85" i="126"/>
  <c r="K85" i="126" s="1"/>
  <c r="M85" i="126" s="1"/>
  <c r="E85" i="126"/>
  <c r="J84" i="126"/>
  <c r="K84" i="126" s="1"/>
  <c r="M84" i="126" s="1"/>
  <c r="N84" i="126" s="1"/>
  <c r="E84" i="126"/>
  <c r="M83" i="126"/>
  <c r="O83" i="126" s="1"/>
  <c r="J83" i="126"/>
  <c r="I80" i="126"/>
  <c r="H80" i="126"/>
  <c r="C80" i="126" s="1"/>
  <c r="E80" i="126"/>
  <c r="D80" i="126"/>
  <c r="I79" i="126"/>
  <c r="F78" i="126"/>
  <c r="E78" i="126"/>
  <c r="B78" i="126"/>
  <c r="F77" i="126"/>
  <c r="E77" i="126"/>
  <c r="B77" i="126"/>
  <c r="F76" i="126"/>
  <c r="E76" i="126"/>
  <c r="D76" i="126"/>
  <c r="B76" i="126"/>
  <c r="I75" i="126"/>
  <c r="J76" i="126" s="1"/>
  <c r="B75" i="126"/>
  <c r="J74" i="126"/>
  <c r="K74" i="126" s="1"/>
  <c r="M74" i="126" s="1"/>
  <c r="H74" i="126"/>
  <c r="F74" i="126"/>
  <c r="E74" i="126"/>
  <c r="D74" i="126"/>
  <c r="G74" i="126" s="1"/>
  <c r="H73" i="126"/>
  <c r="D73" i="126"/>
  <c r="J73" i="126" s="1"/>
  <c r="J72" i="126"/>
  <c r="K72" i="126" s="1"/>
  <c r="M72" i="126" s="1"/>
  <c r="H72" i="126"/>
  <c r="J71" i="126"/>
  <c r="K71" i="126" s="1"/>
  <c r="M71" i="126" s="1"/>
  <c r="N71" i="126" s="1"/>
  <c r="D70" i="126"/>
  <c r="J70" i="126" s="1"/>
  <c r="K70" i="126" s="1"/>
  <c r="M70" i="126" s="1"/>
  <c r="J69" i="126"/>
  <c r="K69" i="126" s="1"/>
  <c r="M69" i="126" s="1"/>
  <c r="E69" i="126"/>
  <c r="J68" i="126"/>
  <c r="K68" i="126" s="1"/>
  <c r="M68" i="126" s="1"/>
  <c r="E68" i="126"/>
  <c r="J67" i="126"/>
  <c r="K67" i="126" s="1"/>
  <c r="M67" i="126" s="1"/>
  <c r="N67" i="126" s="1"/>
  <c r="E67" i="126"/>
  <c r="I63" i="126"/>
  <c r="H63" i="126"/>
  <c r="C63" i="126" s="1"/>
  <c r="J66" i="126" s="1"/>
  <c r="K66" i="126" s="1"/>
  <c r="M66" i="126" s="1"/>
  <c r="E63" i="126"/>
  <c r="D63" i="126"/>
  <c r="I62" i="126"/>
  <c r="F61" i="126"/>
  <c r="E61" i="126"/>
  <c r="B61" i="126"/>
  <c r="F60" i="126"/>
  <c r="E60" i="126"/>
  <c r="B60" i="126"/>
  <c r="F59" i="126"/>
  <c r="E59" i="126"/>
  <c r="D59" i="126"/>
  <c r="B59" i="126"/>
  <c r="I58" i="126"/>
  <c r="B58" i="126"/>
  <c r="H57" i="126"/>
  <c r="F57" i="126"/>
  <c r="E57" i="126"/>
  <c r="D57" i="126"/>
  <c r="J57" i="126" s="1"/>
  <c r="K57" i="126" s="1"/>
  <c r="M57" i="126" s="1"/>
  <c r="H56" i="126"/>
  <c r="D56" i="126"/>
  <c r="J56" i="126" s="1"/>
  <c r="J55" i="126"/>
  <c r="K55" i="126" s="1"/>
  <c r="M55" i="126" s="1"/>
  <c r="H55" i="126"/>
  <c r="M54" i="126"/>
  <c r="N54" i="126" s="1"/>
  <c r="J54" i="126"/>
  <c r="K54" i="126" s="1"/>
  <c r="D53" i="126"/>
  <c r="J53" i="126" s="1"/>
  <c r="K53" i="126" s="1"/>
  <c r="M53" i="126" s="1"/>
  <c r="J52" i="126"/>
  <c r="K52" i="126" s="1"/>
  <c r="M52" i="126" s="1"/>
  <c r="E52" i="126"/>
  <c r="J51" i="126"/>
  <c r="K51" i="126" s="1"/>
  <c r="M51" i="126" s="1"/>
  <c r="E51" i="126"/>
  <c r="J50" i="126"/>
  <c r="K50" i="126" s="1"/>
  <c r="M50" i="126" s="1"/>
  <c r="E50" i="126"/>
  <c r="I46" i="126"/>
  <c r="H46" i="126"/>
  <c r="F46" i="126" s="1"/>
  <c r="C56" i="126" s="1"/>
  <c r="E46" i="126"/>
  <c r="D46" i="126"/>
  <c r="I45" i="126"/>
  <c r="F44" i="126"/>
  <c r="E44" i="126"/>
  <c r="B44" i="126"/>
  <c r="F43" i="126"/>
  <c r="E43" i="126"/>
  <c r="B43" i="126"/>
  <c r="F42" i="126"/>
  <c r="E42" i="126"/>
  <c r="D42" i="126"/>
  <c r="B42" i="126"/>
  <c r="I41" i="126"/>
  <c r="I43" i="126" s="1"/>
  <c r="J43" i="126" s="1"/>
  <c r="B41" i="126"/>
  <c r="H40" i="126"/>
  <c r="F40" i="126"/>
  <c r="E40" i="126"/>
  <c r="D40" i="126"/>
  <c r="J40" i="126" s="1"/>
  <c r="H39" i="126"/>
  <c r="F39" i="126"/>
  <c r="D39" i="126"/>
  <c r="G39" i="126" s="1"/>
  <c r="J38" i="126"/>
  <c r="K38" i="126" s="1"/>
  <c r="M38" i="126" s="1"/>
  <c r="H38" i="126"/>
  <c r="J37" i="126"/>
  <c r="K37" i="126" s="1"/>
  <c r="M37" i="126" s="1"/>
  <c r="D36" i="126"/>
  <c r="J36" i="126" s="1"/>
  <c r="K36" i="126" s="1"/>
  <c r="M36" i="126" s="1"/>
  <c r="J35" i="126"/>
  <c r="K35" i="126" s="1"/>
  <c r="M35" i="126" s="1"/>
  <c r="J34" i="126"/>
  <c r="K34" i="126" s="1"/>
  <c r="M34" i="126" s="1"/>
  <c r="E34" i="126"/>
  <c r="J33" i="126"/>
  <c r="K33" i="126" s="1"/>
  <c r="M33" i="126" s="1"/>
  <c r="N33" i="126" s="1"/>
  <c r="E33" i="126"/>
  <c r="I29" i="126"/>
  <c r="H29" i="126"/>
  <c r="C41" i="126" s="1"/>
  <c r="J41" i="126" s="1"/>
  <c r="K41" i="126" s="1"/>
  <c r="M41" i="126" s="1"/>
  <c r="F29" i="126"/>
  <c r="C39" i="126" s="1"/>
  <c r="I42" i="126" s="1"/>
  <c r="E29" i="126"/>
  <c r="D29" i="126"/>
  <c r="C29" i="126"/>
  <c r="J32" i="126" s="1"/>
  <c r="K32" i="126" s="1"/>
  <c r="M32" i="126" s="1"/>
  <c r="I28" i="126"/>
  <c r="F27" i="126"/>
  <c r="E27" i="126"/>
  <c r="B27" i="126"/>
  <c r="F26" i="126"/>
  <c r="E26" i="126"/>
  <c r="B26" i="126"/>
  <c r="F25" i="126"/>
  <c r="E25" i="126"/>
  <c r="D25" i="126"/>
  <c r="B25" i="126"/>
  <c r="I24" i="126"/>
  <c r="I27" i="126" s="1"/>
  <c r="B24" i="126"/>
  <c r="H23" i="126"/>
  <c r="F23" i="126"/>
  <c r="E23" i="126"/>
  <c r="D23" i="126"/>
  <c r="H22" i="126"/>
  <c r="D22" i="126"/>
  <c r="G21" i="126" s="1"/>
  <c r="J21" i="126"/>
  <c r="K21" i="126" s="1"/>
  <c r="M21" i="126" s="1"/>
  <c r="H21" i="126"/>
  <c r="J20" i="126"/>
  <c r="K20" i="126" s="1"/>
  <c r="M20" i="126" s="1"/>
  <c r="D19" i="126"/>
  <c r="J19" i="126" s="1"/>
  <c r="K19" i="126" s="1"/>
  <c r="M19" i="126" s="1"/>
  <c r="J18" i="126"/>
  <c r="K18" i="126" s="1"/>
  <c r="M18" i="126" s="1"/>
  <c r="E18" i="126"/>
  <c r="J17" i="126"/>
  <c r="K17" i="126" s="1"/>
  <c r="M17" i="126" s="1"/>
  <c r="N17" i="126" s="1"/>
  <c r="E17" i="126"/>
  <c r="J16" i="126"/>
  <c r="K16" i="126" s="1"/>
  <c r="M16" i="126" s="1"/>
  <c r="E16" i="126"/>
  <c r="I12" i="126"/>
  <c r="H12" i="126"/>
  <c r="C12" i="126" s="1"/>
  <c r="J15" i="126" s="1"/>
  <c r="K15" i="126" s="1"/>
  <c r="M15" i="126" s="1"/>
  <c r="E12" i="126"/>
  <c r="D12" i="126"/>
  <c r="I11" i="126"/>
  <c r="D9" i="126"/>
  <c r="L56" i="96"/>
  <c r="L54" i="96"/>
  <c r="L55" i="96"/>
  <c r="L53" i="96"/>
  <c r="L52" i="96"/>
  <c r="L51" i="96"/>
  <c r="L50" i="96"/>
  <c r="L49" i="96"/>
  <c r="F30" i="96"/>
  <c r="H12" i="118"/>
  <c r="L35" i="120"/>
  <c r="L36" i="121"/>
  <c r="L26" i="125"/>
  <c r="L37" i="122"/>
  <c r="I51" i="117"/>
  <c r="I52" i="101"/>
  <c r="L182" i="123"/>
  <c r="F38" i="96"/>
  <c r="AX53" i="90"/>
  <c r="AR87" i="90"/>
  <c r="AR88" i="90"/>
  <c r="AR89" i="90"/>
  <c r="AR90" i="90"/>
  <c r="AR91" i="90"/>
  <c r="AR92" i="90"/>
  <c r="AR93" i="90"/>
  <c r="AR94" i="90"/>
  <c r="AR95" i="90"/>
  <c r="AR86" i="90"/>
  <c r="AR74" i="90"/>
  <c r="AR75" i="90"/>
  <c r="AR76" i="90"/>
  <c r="AR77" i="90"/>
  <c r="AR78" i="90"/>
  <c r="AR79" i="90"/>
  <c r="AR80" i="90"/>
  <c r="AR81" i="90"/>
  <c r="AR82" i="90"/>
  <c r="AR73" i="90"/>
  <c r="T36" i="90"/>
  <c r="T37" i="90"/>
  <c r="T38" i="90"/>
  <c r="T39" i="90"/>
  <c r="T40" i="90"/>
  <c r="T41" i="90"/>
  <c r="T42" i="90"/>
  <c r="T43" i="90"/>
  <c r="T44" i="90"/>
  <c r="T45" i="90"/>
  <c r="T6" i="90"/>
  <c r="T7" i="90"/>
  <c r="T9" i="90"/>
  <c r="T10" i="90"/>
  <c r="T11" i="90"/>
  <c r="T12" i="90"/>
  <c r="T13" i="90"/>
  <c r="T5" i="90"/>
  <c r="K37" i="125"/>
  <c r="M37" i="125" s="1"/>
  <c r="O37" i="125" s="1"/>
  <c r="K36" i="125"/>
  <c r="M36" i="125" s="1"/>
  <c r="K35" i="125"/>
  <c r="M35" i="125" s="1"/>
  <c r="O35" i="125" s="1"/>
  <c r="K34" i="125"/>
  <c r="M34" i="125" s="1"/>
  <c r="K33" i="125"/>
  <c r="M33" i="125" s="1"/>
  <c r="O33" i="125" s="1"/>
  <c r="K32" i="125"/>
  <c r="M32" i="125" s="1"/>
  <c r="K31" i="125"/>
  <c r="M31" i="125" s="1"/>
  <c r="O31" i="125" s="1"/>
  <c r="K30" i="125"/>
  <c r="M30" i="125" s="1"/>
  <c r="J29" i="125"/>
  <c r="K29" i="125" s="1"/>
  <c r="M29" i="125" s="1"/>
  <c r="J28" i="125"/>
  <c r="K28" i="125" s="1"/>
  <c r="M28" i="125" s="1"/>
  <c r="J27" i="125"/>
  <c r="K27" i="125" s="1"/>
  <c r="K23" i="125"/>
  <c r="M23" i="125" s="1"/>
  <c r="K22" i="125"/>
  <c r="M22" i="125" s="1"/>
  <c r="K21" i="125"/>
  <c r="M21" i="125" s="1"/>
  <c r="K20" i="125"/>
  <c r="M20" i="125" s="1"/>
  <c r="K19" i="125"/>
  <c r="M19" i="125" s="1"/>
  <c r="K18" i="125"/>
  <c r="M18" i="125" s="1"/>
  <c r="K17" i="125"/>
  <c r="M17" i="125" s="1"/>
  <c r="K16" i="125"/>
  <c r="M16" i="125" s="1"/>
  <c r="K15" i="125"/>
  <c r="M15" i="125" s="1"/>
  <c r="K14" i="125"/>
  <c r="I12" i="125"/>
  <c r="G12" i="125"/>
  <c r="E12" i="125"/>
  <c r="H12" i="125" s="1"/>
  <c r="E9" i="125"/>
  <c r="O7" i="125"/>
  <c r="H7" i="125"/>
  <c r="D7" i="125"/>
  <c r="H5" i="125"/>
  <c r="D5" i="125"/>
  <c r="H3" i="125"/>
  <c r="D3" i="125"/>
  <c r="O7" i="123"/>
  <c r="F180" i="123"/>
  <c r="E180" i="123"/>
  <c r="B180" i="123"/>
  <c r="F179" i="123"/>
  <c r="E179" i="123"/>
  <c r="B179" i="123"/>
  <c r="F178" i="123"/>
  <c r="E178" i="123"/>
  <c r="D178" i="123"/>
  <c r="B178" i="123"/>
  <c r="I177" i="123"/>
  <c r="I179" i="123" s="1"/>
  <c r="J179" i="123" s="1"/>
  <c r="B177" i="123"/>
  <c r="H176" i="123"/>
  <c r="F176" i="123"/>
  <c r="E176" i="123"/>
  <c r="D176" i="123"/>
  <c r="K176" i="123" s="1"/>
  <c r="M176" i="123" s="1"/>
  <c r="H175" i="123"/>
  <c r="D175" i="123"/>
  <c r="G174" i="123" s="1"/>
  <c r="J174" i="123"/>
  <c r="K174" i="123" s="1"/>
  <c r="M174" i="123" s="1"/>
  <c r="H174" i="123"/>
  <c r="J173" i="123"/>
  <c r="K173" i="123" s="1"/>
  <c r="M173" i="123" s="1"/>
  <c r="D172" i="123"/>
  <c r="J172" i="123" s="1"/>
  <c r="K172" i="123" s="1"/>
  <c r="M172" i="123" s="1"/>
  <c r="J171" i="123"/>
  <c r="K171" i="123" s="1"/>
  <c r="M171" i="123" s="1"/>
  <c r="E171" i="123"/>
  <c r="J170" i="123"/>
  <c r="K170" i="123" s="1"/>
  <c r="M170" i="123" s="1"/>
  <c r="J169" i="123"/>
  <c r="K169" i="123" s="1"/>
  <c r="M169" i="123" s="1"/>
  <c r="I165" i="123"/>
  <c r="H165" i="123"/>
  <c r="C165" i="123" s="1"/>
  <c r="E165" i="123"/>
  <c r="D165" i="123"/>
  <c r="I164" i="123"/>
  <c r="F163" i="123"/>
  <c r="E163" i="123"/>
  <c r="B163" i="123"/>
  <c r="F162" i="123"/>
  <c r="E162" i="123"/>
  <c r="B162" i="123"/>
  <c r="F161" i="123"/>
  <c r="E161" i="123"/>
  <c r="D161" i="123"/>
  <c r="B161" i="123"/>
  <c r="I160" i="123"/>
  <c r="I163" i="123" s="1"/>
  <c r="B160" i="123"/>
  <c r="H159" i="123"/>
  <c r="F159" i="123"/>
  <c r="E159" i="123"/>
  <c r="D159" i="123"/>
  <c r="G159" i="123" s="1"/>
  <c r="H158" i="123"/>
  <c r="D158" i="123"/>
  <c r="J158" i="123" s="1"/>
  <c r="J157" i="123"/>
  <c r="K157" i="123" s="1"/>
  <c r="M157" i="123" s="1"/>
  <c r="N157" i="123" s="1"/>
  <c r="H157" i="123"/>
  <c r="J156" i="123"/>
  <c r="K156" i="123" s="1"/>
  <c r="M156" i="123" s="1"/>
  <c r="D155" i="123"/>
  <c r="J155" i="123" s="1"/>
  <c r="K155" i="123" s="1"/>
  <c r="M155" i="123" s="1"/>
  <c r="J154" i="123"/>
  <c r="K154" i="123" s="1"/>
  <c r="M154" i="123" s="1"/>
  <c r="E154" i="123"/>
  <c r="J153" i="123"/>
  <c r="K153" i="123" s="1"/>
  <c r="M153" i="123" s="1"/>
  <c r="J152" i="123"/>
  <c r="K152" i="123" s="1"/>
  <c r="M152" i="123" s="1"/>
  <c r="I148" i="123"/>
  <c r="H148" i="123"/>
  <c r="C160" i="123" s="1"/>
  <c r="E148" i="123"/>
  <c r="D148" i="123"/>
  <c r="I147" i="123"/>
  <c r="F146" i="123"/>
  <c r="E146" i="123"/>
  <c r="B146" i="123"/>
  <c r="F145" i="123"/>
  <c r="E145" i="123"/>
  <c r="B145" i="123"/>
  <c r="F144" i="123"/>
  <c r="E144" i="123"/>
  <c r="D144" i="123"/>
  <c r="B144" i="123"/>
  <c r="I143" i="123"/>
  <c r="I145" i="123" s="1"/>
  <c r="J145" i="123" s="1"/>
  <c r="B143" i="123"/>
  <c r="H142" i="123"/>
  <c r="F142" i="123"/>
  <c r="E142" i="123"/>
  <c r="D142" i="123"/>
  <c r="K142" i="123" s="1"/>
  <c r="M142" i="123" s="1"/>
  <c r="H141" i="123"/>
  <c r="D141" i="123"/>
  <c r="G140" i="123" s="1"/>
  <c r="J140" i="123"/>
  <c r="K140" i="123" s="1"/>
  <c r="M140" i="123" s="1"/>
  <c r="H140" i="123"/>
  <c r="J139" i="123"/>
  <c r="K139" i="123" s="1"/>
  <c r="M139" i="123" s="1"/>
  <c r="D138" i="123"/>
  <c r="J138" i="123" s="1"/>
  <c r="K138" i="123" s="1"/>
  <c r="M138" i="123" s="1"/>
  <c r="J137" i="123"/>
  <c r="K137" i="123" s="1"/>
  <c r="M137" i="123" s="1"/>
  <c r="E137" i="123"/>
  <c r="J136" i="123"/>
  <c r="K136" i="123" s="1"/>
  <c r="M136" i="123" s="1"/>
  <c r="J135" i="123"/>
  <c r="K135" i="123" s="1"/>
  <c r="M135" i="123" s="1"/>
  <c r="I131" i="123"/>
  <c r="H131" i="123"/>
  <c r="C143" i="123" s="1"/>
  <c r="E131" i="123"/>
  <c r="D131" i="123"/>
  <c r="I130" i="123"/>
  <c r="O70" i="143" l="1"/>
  <c r="N70" i="143"/>
  <c r="N119" i="143"/>
  <c r="O119" i="143"/>
  <c r="N142" i="143"/>
  <c r="O142" i="143"/>
  <c r="O170" i="143"/>
  <c r="N170" i="143"/>
  <c r="N104" i="144"/>
  <c r="O104" i="144"/>
  <c r="O16" i="143"/>
  <c r="N16" i="143"/>
  <c r="O26" i="143"/>
  <c r="N26" i="143"/>
  <c r="O94" i="143"/>
  <c r="N94" i="143"/>
  <c r="O154" i="143"/>
  <c r="N154" i="143"/>
  <c r="K182" i="143"/>
  <c r="L182" i="143" s="1"/>
  <c r="M183" i="143"/>
  <c r="O87" i="143"/>
  <c r="N87" i="143"/>
  <c r="O171" i="143"/>
  <c r="N171" i="143"/>
  <c r="O32" i="143"/>
  <c r="N32" i="143"/>
  <c r="N117" i="143"/>
  <c r="O117" i="143"/>
  <c r="O145" i="143"/>
  <c r="N145" i="143"/>
  <c r="O185" i="143"/>
  <c r="N185" i="143"/>
  <c r="O61" i="143"/>
  <c r="N61" i="143"/>
  <c r="O68" i="143"/>
  <c r="N68" i="143"/>
  <c r="N121" i="143"/>
  <c r="O121" i="143"/>
  <c r="O156" i="143"/>
  <c r="N156" i="143"/>
  <c r="O172" i="143"/>
  <c r="N172" i="143"/>
  <c r="O35" i="144"/>
  <c r="N35" i="144"/>
  <c r="O72" i="143"/>
  <c r="N72" i="143"/>
  <c r="O89" i="143"/>
  <c r="N89" i="143"/>
  <c r="O122" i="143"/>
  <c r="N122" i="143"/>
  <c r="O128" i="143"/>
  <c r="N128" i="143"/>
  <c r="O95" i="143"/>
  <c r="N95" i="143"/>
  <c r="O140" i="143"/>
  <c r="N140" i="143"/>
  <c r="O173" i="143"/>
  <c r="N173" i="143"/>
  <c r="O159" i="143"/>
  <c r="N159" i="143"/>
  <c r="O129" i="144"/>
  <c r="N129" i="144"/>
  <c r="O158" i="144"/>
  <c r="N158" i="144"/>
  <c r="O19" i="143"/>
  <c r="N19" i="143"/>
  <c r="G63" i="143"/>
  <c r="C73" i="143"/>
  <c r="O90" i="143"/>
  <c r="N90" i="143"/>
  <c r="N194" i="143"/>
  <c r="O194" i="143"/>
  <c r="E22" i="143"/>
  <c r="F22" i="143"/>
  <c r="I25" i="143"/>
  <c r="O50" i="143"/>
  <c r="N50" i="143"/>
  <c r="O85" i="143"/>
  <c r="N85" i="143"/>
  <c r="O72" i="144"/>
  <c r="N72" i="144"/>
  <c r="O27" i="143"/>
  <c r="N27" i="143"/>
  <c r="O33" i="143"/>
  <c r="N33" i="143"/>
  <c r="O111" i="143"/>
  <c r="N111" i="143"/>
  <c r="N137" i="143"/>
  <c r="O137" i="143"/>
  <c r="N61" i="144"/>
  <c r="O61" i="144"/>
  <c r="N23" i="143"/>
  <c r="O23" i="143"/>
  <c r="O44" i="143"/>
  <c r="N44" i="143"/>
  <c r="N141" i="143"/>
  <c r="O141" i="143"/>
  <c r="N163" i="143"/>
  <c r="O163" i="143"/>
  <c r="M67" i="144"/>
  <c r="O51" i="143"/>
  <c r="N51" i="143"/>
  <c r="O77" i="143"/>
  <c r="N77" i="143"/>
  <c r="O84" i="143"/>
  <c r="N84" i="143"/>
  <c r="D126" i="143"/>
  <c r="J126" i="143"/>
  <c r="K126" i="143" s="1"/>
  <c r="M126" i="143" s="1"/>
  <c r="O138" i="143"/>
  <c r="N138" i="143"/>
  <c r="J143" i="143"/>
  <c r="K143" i="143" s="1"/>
  <c r="M143" i="143" s="1"/>
  <c r="F143" i="143"/>
  <c r="E143" i="143"/>
  <c r="D143" i="143"/>
  <c r="N155" i="143"/>
  <c r="O155" i="143"/>
  <c r="O16" i="144"/>
  <c r="N16" i="144"/>
  <c r="O23" i="144"/>
  <c r="N23" i="144"/>
  <c r="K125" i="144"/>
  <c r="M125" i="144" s="1"/>
  <c r="G125" i="144"/>
  <c r="N134" i="144"/>
  <c r="O134" i="144"/>
  <c r="O137" i="144"/>
  <c r="N137" i="144"/>
  <c r="J14" i="143"/>
  <c r="K14" i="143" s="1"/>
  <c r="J15" i="143"/>
  <c r="K15" i="143" s="1"/>
  <c r="M15" i="143" s="1"/>
  <c r="J83" i="143"/>
  <c r="J82" i="143"/>
  <c r="K82" i="143" s="1"/>
  <c r="J133" i="143"/>
  <c r="K133" i="143" s="1"/>
  <c r="J134" i="143"/>
  <c r="K134" i="143" s="1"/>
  <c r="M134" i="143" s="1"/>
  <c r="O152" i="143"/>
  <c r="N152" i="143"/>
  <c r="O169" i="143"/>
  <c r="N169" i="143"/>
  <c r="O180" i="143"/>
  <c r="N180" i="143"/>
  <c r="O87" i="144"/>
  <c r="N87" i="144"/>
  <c r="O163" i="144"/>
  <c r="N163" i="144"/>
  <c r="K29" i="145"/>
  <c r="J29" i="145"/>
  <c r="N20" i="143"/>
  <c r="O35" i="143"/>
  <c r="E39" i="143"/>
  <c r="O88" i="143"/>
  <c r="N88" i="143"/>
  <c r="K91" i="143"/>
  <c r="M91" i="143" s="1"/>
  <c r="J91" i="143"/>
  <c r="G91" i="143"/>
  <c r="N106" i="143"/>
  <c r="O120" i="143"/>
  <c r="N120" i="143"/>
  <c r="F124" i="143"/>
  <c r="E124" i="143"/>
  <c r="F126" i="143"/>
  <c r="G131" i="143"/>
  <c r="N135" i="143"/>
  <c r="O17" i="144"/>
  <c r="J25" i="144"/>
  <c r="I27" i="144"/>
  <c r="J27" i="144" s="1"/>
  <c r="K27" i="144" s="1"/>
  <c r="M27" i="144" s="1"/>
  <c r="I26" i="144"/>
  <c r="J26" i="144" s="1"/>
  <c r="K26" i="144" s="1"/>
  <c r="M26" i="144" s="1"/>
  <c r="J58" i="144"/>
  <c r="K58" i="144" s="1"/>
  <c r="M58" i="144" s="1"/>
  <c r="D58" i="144"/>
  <c r="E58" i="144"/>
  <c r="N69" i="144"/>
  <c r="E75" i="144"/>
  <c r="F109" i="144"/>
  <c r="J109" i="144"/>
  <c r="K109" i="144" s="1"/>
  <c r="M109" i="144" s="1"/>
  <c r="E109" i="144"/>
  <c r="D109" i="144"/>
  <c r="O111" i="144"/>
  <c r="N111" i="144"/>
  <c r="O138" i="144"/>
  <c r="K142" i="144"/>
  <c r="M142" i="144" s="1"/>
  <c r="G142" i="144"/>
  <c r="K49" i="145"/>
  <c r="J49" i="145"/>
  <c r="F39" i="143"/>
  <c r="O55" i="143"/>
  <c r="N55" i="143"/>
  <c r="K124" i="143"/>
  <c r="M124" i="143" s="1"/>
  <c r="J124" i="143"/>
  <c r="G123" i="143"/>
  <c r="G124" i="143"/>
  <c r="O193" i="143"/>
  <c r="N193" i="143"/>
  <c r="G12" i="144"/>
  <c r="O33" i="144"/>
  <c r="N33" i="144"/>
  <c r="F58" i="144"/>
  <c r="O60" i="144"/>
  <c r="N60" i="144"/>
  <c r="C90" i="144"/>
  <c r="G80" i="144"/>
  <c r="O179" i="144"/>
  <c r="N179" i="144"/>
  <c r="O17" i="143"/>
  <c r="N17" i="143"/>
  <c r="O103" i="143"/>
  <c r="N103" i="143"/>
  <c r="F141" i="143"/>
  <c r="E141" i="143"/>
  <c r="I144" i="143"/>
  <c r="C177" i="143"/>
  <c r="F165" i="143"/>
  <c r="C165" i="143"/>
  <c r="O53" i="144"/>
  <c r="N53" i="144"/>
  <c r="N75" i="144"/>
  <c r="O75" i="144"/>
  <c r="O91" i="144"/>
  <c r="D143" i="144"/>
  <c r="F143" i="144"/>
  <c r="J143" i="144"/>
  <c r="K143" i="144" s="1"/>
  <c r="M143" i="144" s="1"/>
  <c r="E143" i="144"/>
  <c r="N155" i="144"/>
  <c r="O155" i="144"/>
  <c r="K38" i="145"/>
  <c r="J38" i="145"/>
  <c r="G29" i="143"/>
  <c r="N36" i="143"/>
  <c r="N40" i="143"/>
  <c r="J109" i="143"/>
  <c r="K109" i="143" s="1"/>
  <c r="M109" i="143" s="1"/>
  <c r="F109" i="143"/>
  <c r="O136" i="143"/>
  <c r="N136" i="143"/>
  <c r="O153" i="143"/>
  <c r="N160" i="143"/>
  <c r="O162" i="143"/>
  <c r="N162" i="143"/>
  <c r="N188" i="143"/>
  <c r="F12" i="144"/>
  <c r="C22" i="144" s="1"/>
  <c r="C24" i="144"/>
  <c r="C12" i="144"/>
  <c r="K22" i="144"/>
  <c r="M22" i="144" s="1"/>
  <c r="J22" i="144"/>
  <c r="G21" i="144"/>
  <c r="O56" i="144"/>
  <c r="O71" i="144"/>
  <c r="N71" i="144"/>
  <c r="N88" i="144"/>
  <c r="J95" i="144"/>
  <c r="K95" i="144" s="1"/>
  <c r="M95" i="144" s="1"/>
  <c r="O105" i="144"/>
  <c r="N105" i="144"/>
  <c r="N107" i="144"/>
  <c r="O107" i="144"/>
  <c r="N118" i="144"/>
  <c r="O118" i="144"/>
  <c r="F126" i="144"/>
  <c r="E126" i="144"/>
  <c r="D126" i="144"/>
  <c r="J126" i="144"/>
  <c r="K126" i="144" s="1"/>
  <c r="M126" i="144" s="1"/>
  <c r="O128" i="144"/>
  <c r="N128" i="144"/>
  <c r="O151" i="144"/>
  <c r="N151" i="144"/>
  <c r="O171" i="144"/>
  <c r="N171" i="144"/>
  <c r="O177" i="144"/>
  <c r="N177" i="144"/>
  <c r="O184" i="143"/>
  <c r="N184" i="143"/>
  <c r="O18" i="144"/>
  <c r="N18" i="144"/>
  <c r="G22" i="144"/>
  <c r="O65" i="144"/>
  <c r="N65" i="144"/>
  <c r="N77" i="144"/>
  <c r="I94" i="144"/>
  <c r="J94" i="144" s="1"/>
  <c r="K94" i="144" s="1"/>
  <c r="M94" i="144" s="1"/>
  <c r="I95" i="144"/>
  <c r="J93" i="144"/>
  <c r="K93" i="144" s="1"/>
  <c r="M93" i="144" s="1"/>
  <c r="O119" i="144"/>
  <c r="N119" i="144"/>
  <c r="O172" i="144"/>
  <c r="N172" i="144"/>
  <c r="O21" i="143"/>
  <c r="N21" i="143"/>
  <c r="K39" i="143"/>
  <c r="M39" i="143" s="1"/>
  <c r="F41" i="143"/>
  <c r="E41" i="143"/>
  <c r="D41" i="143"/>
  <c r="O53" i="143"/>
  <c r="N53" i="143"/>
  <c r="O78" i="143"/>
  <c r="N78" i="143"/>
  <c r="O118" i="143"/>
  <c r="N118" i="143"/>
  <c r="J125" i="143"/>
  <c r="K125" i="143" s="1"/>
  <c r="M125" i="143" s="1"/>
  <c r="G125" i="143"/>
  <c r="O195" i="143"/>
  <c r="N195" i="143"/>
  <c r="O66" i="144"/>
  <c r="N66" i="144"/>
  <c r="O78" i="144"/>
  <c r="N78" i="144"/>
  <c r="N83" i="144"/>
  <c r="O83" i="144"/>
  <c r="O89" i="144"/>
  <c r="N89" i="144"/>
  <c r="N92" i="144"/>
  <c r="O92" i="144"/>
  <c r="N101" i="144"/>
  <c r="O112" i="144"/>
  <c r="O193" i="144"/>
  <c r="N193" i="144"/>
  <c r="K89" i="145"/>
  <c r="J89" i="145"/>
  <c r="N18" i="143"/>
  <c r="N37" i="143"/>
  <c r="J42" i="143"/>
  <c r="K42" i="143" s="1"/>
  <c r="M42" i="143" s="1"/>
  <c r="I43" i="143"/>
  <c r="J43" i="143" s="1"/>
  <c r="K43" i="143" s="1"/>
  <c r="M43" i="143" s="1"/>
  <c r="N74" i="143"/>
  <c r="N83" i="143"/>
  <c r="O86" i="143"/>
  <c r="N86" i="143"/>
  <c r="N104" i="143"/>
  <c r="I127" i="143"/>
  <c r="K144" i="143"/>
  <c r="M144" i="143" s="1"/>
  <c r="N146" i="143"/>
  <c r="N157" i="143"/>
  <c r="O157" i="143"/>
  <c r="O51" i="144"/>
  <c r="N51" i="144"/>
  <c r="N84" i="144"/>
  <c r="O84" i="144"/>
  <c r="O110" i="144"/>
  <c r="N110" i="144"/>
  <c r="N135" i="144"/>
  <c r="O135" i="144"/>
  <c r="O162" i="144"/>
  <c r="N162" i="144"/>
  <c r="K22" i="143"/>
  <c r="M22" i="143" s="1"/>
  <c r="J22" i="143"/>
  <c r="J41" i="143"/>
  <c r="K41" i="143" s="1"/>
  <c r="M41" i="143" s="1"/>
  <c r="J92" i="143"/>
  <c r="K92" i="143" s="1"/>
  <c r="M92" i="143" s="1"/>
  <c r="F92" i="143"/>
  <c r="E92" i="143"/>
  <c r="O101" i="143"/>
  <c r="N101" i="143"/>
  <c r="J127" i="143"/>
  <c r="K127" i="143" s="1"/>
  <c r="M127" i="143" s="1"/>
  <c r="O151" i="143"/>
  <c r="N174" i="143"/>
  <c r="O19" i="144"/>
  <c r="C41" i="144"/>
  <c r="C29" i="144"/>
  <c r="F29" i="144"/>
  <c r="C39" i="144" s="1"/>
  <c r="K43" i="144"/>
  <c r="M43" i="144" s="1"/>
  <c r="O85" i="144"/>
  <c r="N85" i="144"/>
  <c r="O102" i="144"/>
  <c r="N102" i="144"/>
  <c r="N106" i="144"/>
  <c r="M183" i="144"/>
  <c r="K182" i="144"/>
  <c r="K61" i="145"/>
  <c r="J61" i="145"/>
  <c r="G12" i="143"/>
  <c r="K25" i="143"/>
  <c r="M25" i="143" s="1"/>
  <c r="J31" i="143"/>
  <c r="K31" i="143" s="1"/>
  <c r="O34" i="143"/>
  <c r="N34" i="143"/>
  <c r="C63" i="143"/>
  <c r="C75" i="143"/>
  <c r="O105" i="143"/>
  <c r="N105" i="143"/>
  <c r="K108" i="143"/>
  <c r="M108" i="143" s="1"/>
  <c r="J108" i="143"/>
  <c r="G108" i="143"/>
  <c r="N129" i="143"/>
  <c r="O176" i="143"/>
  <c r="N176" i="143"/>
  <c r="O36" i="144"/>
  <c r="N36" i="144"/>
  <c r="O40" i="144"/>
  <c r="N40" i="144"/>
  <c r="O55" i="144"/>
  <c r="N55" i="144"/>
  <c r="K59" i="144"/>
  <c r="M59" i="144" s="1"/>
  <c r="O68" i="144"/>
  <c r="N68" i="144"/>
  <c r="F73" i="144"/>
  <c r="E73" i="144"/>
  <c r="K76" i="144"/>
  <c r="M76" i="144" s="1"/>
  <c r="O100" i="144"/>
  <c r="N100" i="144"/>
  <c r="O108" i="144"/>
  <c r="N108" i="144"/>
  <c r="N153" i="144"/>
  <c r="N157" i="144"/>
  <c r="O157" i="144"/>
  <c r="K62" i="145"/>
  <c r="J62" i="145"/>
  <c r="F46" i="143"/>
  <c r="C46" i="143"/>
  <c r="C58" i="143"/>
  <c r="K57" i="143"/>
  <c r="M57" i="143" s="1"/>
  <c r="K60" i="143"/>
  <c r="M60" i="143" s="1"/>
  <c r="K76" i="143"/>
  <c r="M76" i="143" s="1"/>
  <c r="F90" i="143"/>
  <c r="E90" i="143"/>
  <c r="I93" i="143"/>
  <c r="K93" i="143"/>
  <c r="M93" i="143" s="1"/>
  <c r="F97" i="143"/>
  <c r="C107" i="143" s="1"/>
  <c r="C97" i="143"/>
  <c r="N186" i="143"/>
  <c r="O186" i="143"/>
  <c r="I59" i="144"/>
  <c r="F56" i="144"/>
  <c r="E56" i="144"/>
  <c r="G114" i="144"/>
  <c r="C124" i="144"/>
  <c r="K124" i="144" s="1"/>
  <c r="M124" i="144" s="1"/>
  <c r="O121" i="144"/>
  <c r="N121" i="144"/>
  <c r="N185" i="144"/>
  <c r="O185" i="144"/>
  <c r="I34" i="145"/>
  <c r="K35" i="145"/>
  <c r="K44" i="145"/>
  <c r="J44" i="145"/>
  <c r="O14" i="145"/>
  <c r="J98" i="145"/>
  <c r="K98" i="145"/>
  <c r="O38" i="146"/>
  <c r="N38" i="146"/>
  <c r="M37" i="146"/>
  <c r="N31" i="147"/>
  <c r="O31" i="147"/>
  <c r="N138" i="148"/>
  <c r="O138" i="148"/>
  <c r="J116" i="144"/>
  <c r="K116" i="144" s="1"/>
  <c r="G13" i="145"/>
  <c r="K28" i="145"/>
  <c r="J28" i="145"/>
  <c r="J35" i="145"/>
  <c r="K50" i="145"/>
  <c r="J50" i="145"/>
  <c r="K65" i="145"/>
  <c r="J65" i="145"/>
  <c r="K78" i="145"/>
  <c r="J78" i="145"/>
  <c r="O45" i="146"/>
  <c r="N45" i="146"/>
  <c r="N41" i="147"/>
  <c r="O41" i="147"/>
  <c r="O117" i="148"/>
  <c r="N117" i="148"/>
  <c r="O162" i="148"/>
  <c r="N162" i="148"/>
  <c r="J116" i="143"/>
  <c r="K116" i="143" s="1"/>
  <c r="N192" i="143"/>
  <c r="G40" i="144"/>
  <c r="J133" i="144"/>
  <c r="K133" i="144" s="1"/>
  <c r="O154" i="144"/>
  <c r="K161" i="144"/>
  <c r="M161" i="144" s="1"/>
  <c r="O186" i="144"/>
  <c r="N186" i="144"/>
  <c r="O197" i="144"/>
  <c r="I14" i="145"/>
  <c r="J40" i="145"/>
  <c r="K55" i="145"/>
  <c r="I85" i="145"/>
  <c r="G84" i="145"/>
  <c r="H84" i="145" s="1"/>
  <c r="K91" i="145"/>
  <c r="J91" i="145"/>
  <c r="M16" i="146"/>
  <c r="K12" i="146"/>
  <c r="K9" i="146" s="1"/>
  <c r="N31" i="146"/>
  <c r="O42" i="147"/>
  <c r="N42" i="147"/>
  <c r="O18" i="148"/>
  <c r="N18" i="148"/>
  <c r="O36" i="148"/>
  <c r="N36" i="148"/>
  <c r="F158" i="144"/>
  <c r="N180" i="144"/>
  <c r="O180" i="144"/>
  <c r="J19" i="145"/>
  <c r="K19" i="145"/>
  <c r="K24" i="145"/>
  <c r="J24" i="145"/>
  <c r="G34" i="145"/>
  <c r="H34" i="145" s="1"/>
  <c r="J79" i="145"/>
  <c r="K79" i="145"/>
  <c r="J92" i="145"/>
  <c r="K92" i="145"/>
  <c r="O24" i="146"/>
  <c r="N24" i="146"/>
  <c r="O87" i="148"/>
  <c r="N87" i="148"/>
  <c r="G91" i="144"/>
  <c r="J160" i="144"/>
  <c r="K160" i="144" s="1"/>
  <c r="M160" i="144" s="1"/>
  <c r="F160" i="144"/>
  <c r="D160" i="144"/>
  <c r="O169" i="144"/>
  <c r="N169" i="144"/>
  <c r="K15" i="145"/>
  <c r="J15" i="145"/>
  <c r="K20" i="145"/>
  <c r="J20" i="145"/>
  <c r="K25" i="145"/>
  <c r="J25" i="145"/>
  <c r="K36" i="145"/>
  <c r="J36" i="145"/>
  <c r="K51" i="145"/>
  <c r="J51" i="145"/>
  <c r="K59" i="145"/>
  <c r="J59" i="145"/>
  <c r="K73" i="145"/>
  <c r="J73" i="145"/>
  <c r="K100" i="145"/>
  <c r="J100" i="145"/>
  <c r="N25" i="147"/>
  <c r="O25" i="147"/>
  <c r="O40" i="148"/>
  <c r="N40" i="148"/>
  <c r="O50" i="148"/>
  <c r="N50" i="148"/>
  <c r="O118" i="148"/>
  <c r="N118" i="148"/>
  <c r="O145" i="148"/>
  <c r="N145" i="148"/>
  <c r="G107" i="143"/>
  <c r="G142" i="143"/>
  <c r="F148" i="143"/>
  <c r="G148" i="143" s="1"/>
  <c r="N196" i="143"/>
  <c r="G29" i="144"/>
  <c r="N34" i="144"/>
  <c r="G39" i="144"/>
  <c r="N54" i="144"/>
  <c r="J82" i="144"/>
  <c r="K82" i="144" s="1"/>
  <c r="E160" i="144"/>
  <c r="E177" i="144"/>
  <c r="N187" i="144"/>
  <c r="K30" i="145"/>
  <c r="J30" i="145"/>
  <c r="K41" i="145"/>
  <c r="J41" i="145"/>
  <c r="K60" i="145"/>
  <c r="J60" i="145"/>
  <c r="K74" i="145"/>
  <c r="J74" i="145"/>
  <c r="K93" i="145"/>
  <c r="J93" i="145"/>
  <c r="J101" i="145"/>
  <c r="K101" i="145"/>
  <c r="O18" i="146"/>
  <c r="N18" i="146"/>
  <c r="O25" i="146"/>
  <c r="O26" i="147"/>
  <c r="N26" i="147"/>
  <c r="C24" i="143"/>
  <c r="G90" i="143"/>
  <c r="G106" i="143"/>
  <c r="K179" i="143"/>
  <c r="M179" i="143" s="1"/>
  <c r="F165" i="144"/>
  <c r="C165" i="144"/>
  <c r="F177" i="144"/>
  <c r="J52" i="145"/>
  <c r="K52" i="145"/>
  <c r="O26" i="146"/>
  <c r="N26" i="146"/>
  <c r="O48" i="146"/>
  <c r="N48" i="146"/>
  <c r="O51" i="148"/>
  <c r="N51" i="148"/>
  <c r="O123" i="148"/>
  <c r="N123" i="148"/>
  <c r="G57" i="143"/>
  <c r="I112" i="143"/>
  <c r="J112" i="143" s="1"/>
  <c r="K112" i="143" s="1"/>
  <c r="M112" i="143" s="1"/>
  <c r="J39" i="144"/>
  <c r="K39" i="144" s="1"/>
  <c r="M39" i="144" s="1"/>
  <c r="G90" i="144"/>
  <c r="O103" i="144"/>
  <c r="N122" i="144"/>
  <c r="G131" i="144"/>
  <c r="C141" i="144"/>
  <c r="J16" i="145"/>
  <c r="J21" i="145"/>
  <c r="J47" i="145"/>
  <c r="K47" i="145"/>
  <c r="J68" i="145"/>
  <c r="K68" i="145"/>
  <c r="K87" i="145"/>
  <c r="J87" i="145"/>
  <c r="N20" i="146"/>
  <c r="M38" i="147"/>
  <c r="K36" i="147"/>
  <c r="L36" i="147" s="1"/>
  <c r="O38" i="148"/>
  <c r="N38" i="148"/>
  <c r="O108" i="148"/>
  <c r="N108" i="148"/>
  <c r="K88" i="145"/>
  <c r="J88" i="145"/>
  <c r="O28" i="146"/>
  <c r="N28" i="146"/>
  <c r="N52" i="148"/>
  <c r="O52" i="148"/>
  <c r="O146" i="148"/>
  <c r="N146" i="148"/>
  <c r="K127" i="144"/>
  <c r="M127" i="144" s="1"/>
  <c r="G159" i="144"/>
  <c r="K159" i="144"/>
  <c r="M159" i="144" s="1"/>
  <c r="K53" i="145"/>
  <c r="J53" i="145"/>
  <c r="K81" i="145"/>
  <c r="K95" i="145"/>
  <c r="O42" i="146"/>
  <c r="O37" i="146" s="1"/>
  <c r="N42" i="146"/>
  <c r="O76" i="148"/>
  <c r="N76" i="148"/>
  <c r="O106" i="148"/>
  <c r="N106" i="148"/>
  <c r="O129" i="148"/>
  <c r="N129" i="148"/>
  <c r="I44" i="144"/>
  <c r="J44" i="144" s="1"/>
  <c r="K44" i="144" s="1"/>
  <c r="M44" i="144" s="1"/>
  <c r="J42" i="144"/>
  <c r="K90" i="144"/>
  <c r="M90" i="144" s="1"/>
  <c r="D92" i="144"/>
  <c r="G108" i="144"/>
  <c r="J141" i="144"/>
  <c r="I145" i="144"/>
  <c r="J145" i="144" s="1"/>
  <c r="K145" i="144" s="1"/>
  <c r="M145" i="144" s="1"/>
  <c r="I146" i="144"/>
  <c r="J146" i="144" s="1"/>
  <c r="K146" i="144" s="1"/>
  <c r="M146" i="144" s="1"/>
  <c r="J144" i="144"/>
  <c r="K176" i="144"/>
  <c r="M176" i="144" s="1"/>
  <c r="G176" i="144"/>
  <c r="N184" i="144"/>
  <c r="K17" i="145"/>
  <c r="J17" i="145"/>
  <c r="K22" i="145"/>
  <c r="J22" i="145"/>
  <c r="K32" i="145"/>
  <c r="K39" i="145"/>
  <c r="J39" i="145"/>
  <c r="K63" i="145"/>
  <c r="J63" i="145"/>
  <c r="J76" i="145"/>
  <c r="C107" i="145"/>
  <c r="O22" i="146"/>
  <c r="N22" i="146"/>
  <c r="O29" i="146"/>
  <c r="N29" i="146"/>
  <c r="K37" i="146"/>
  <c r="O172" i="148"/>
  <c r="N172" i="148"/>
  <c r="E92" i="144"/>
  <c r="O120" i="144"/>
  <c r="N120" i="144"/>
  <c r="K43" i="145"/>
  <c r="J43" i="145"/>
  <c r="K54" i="145"/>
  <c r="J54" i="145"/>
  <c r="K57" i="145"/>
  <c r="J57" i="145"/>
  <c r="K64" i="145"/>
  <c r="J64" i="145"/>
  <c r="K71" i="145"/>
  <c r="J71" i="145"/>
  <c r="J77" i="145"/>
  <c r="K77" i="145"/>
  <c r="J82" i="145"/>
  <c r="K82" i="145"/>
  <c r="K97" i="145"/>
  <c r="J97" i="145"/>
  <c r="O44" i="146"/>
  <c r="N44" i="146"/>
  <c r="N22" i="147"/>
  <c r="O22" i="147"/>
  <c r="J48" i="144"/>
  <c r="K48" i="144" s="1"/>
  <c r="J99" i="144"/>
  <c r="K99" i="144" s="1"/>
  <c r="J150" i="144"/>
  <c r="K150" i="144" s="1"/>
  <c r="O23" i="147"/>
  <c r="N23" i="147"/>
  <c r="O39" i="147"/>
  <c r="N39" i="147"/>
  <c r="G97" i="148"/>
  <c r="F109" i="148"/>
  <c r="E109" i="148"/>
  <c r="D109" i="148"/>
  <c r="J109" i="148"/>
  <c r="K109" i="148" s="1"/>
  <c r="M109" i="148" s="1"/>
  <c r="O187" i="148"/>
  <c r="N187" i="148"/>
  <c r="O122" i="149"/>
  <c r="N122" i="149"/>
  <c r="J129" i="149"/>
  <c r="K129" i="149" s="1"/>
  <c r="M129" i="149" s="1"/>
  <c r="I144" i="149"/>
  <c r="F141" i="149"/>
  <c r="K18" i="150"/>
  <c r="J18" i="150"/>
  <c r="K45" i="150"/>
  <c r="J45" i="150"/>
  <c r="K37" i="145"/>
  <c r="I95" i="145"/>
  <c r="N27" i="146"/>
  <c r="N43" i="146"/>
  <c r="O14" i="147"/>
  <c r="N14" i="147"/>
  <c r="O28" i="147"/>
  <c r="O44" i="147"/>
  <c r="C24" i="148"/>
  <c r="F12" i="148"/>
  <c r="C22" i="148" s="1"/>
  <c r="N16" i="148"/>
  <c r="J25" i="148"/>
  <c r="K25" i="148" s="1"/>
  <c r="M25" i="148" s="1"/>
  <c r="I26" i="148"/>
  <c r="J26" i="148" s="1"/>
  <c r="K26" i="148" s="1"/>
  <c r="M26" i="148" s="1"/>
  <c r="I27" i="148"/>
  <c r="J27" i="148" s="1"/>
  <c r="K27" i="148" s="1"/>
  <c r="M27" i="148" s="1"/>
  <c r="F39" i="148"/>
  <c r="E39" i="148"/>
  <c r="I42" i="148"/>
  <c r="O37" i="148"/>
  <c r="O53" i="148"/>
  <c r="J57" i="148"/>
  <c r="K57" i="148" s="1"/>
  <c r="M57" i="148" s="1"/>
  <c r="G57" i="148"/>
  <c r="N104" i="148"/>
  <c r="K107" i="148"/>
  <c r="M107" i="148" s="1"/>
  <c r="J110" i="148"/>
  <c r="K110" i="148" s="1"/>
  <c r="M110" i="148" s="1"/>
  <c r="I111" i="148"/>
  <c r="J111" i="148" s="1"/>
  <c r="K111" i="148" s="1"/>
  <c r="M111" i="148" s="1"/>
  <c r="N125" i="148"/>
  <c r="O175" i="148"/>
  <c r="N175" i="148"/>
  <c r="N50" i="149"/>
  <c r="O50" i="149"/>
  <c r="O71" i="149"/>
  <c r="N71" i="149"/>
  <c r="M82" i="149"/>
  <c r="O145" i="149"/>
  <c r="N145" i="149"/>
  <c r="O191" i="149"/>
  <c r="N191" i="149"/>
  <c r="K39" i="150"/>
  <c r="J39" i="150"/>
  <c r="O29" i="147"/>
  <c r="N29" i="147"/>
  <c r="O45" i="147"/>
  <c r="N45" i="147"/>
  <c r="J31" i="148"/>
  <c r="K31" i="148" s="1"/>
  <c r="J32" i="148"/>
  <c r="K32" i="148" s="1"/>
  <c r="M32" i="148" s="1"/>
  <c r="M65" i="148"/>
  <c r="O85" i="148"/>
  <c r="N85" i="148"/>
  <c r="O89" i="148"/>
  <c r="N89" i="148"/>
  <c r="I110" i="148"/>
  <c r="F107" i="148"/>
  <c r="J159" i="148"/>
  <c r="G159" i="148"/>
  <c r="J176" i="148"/>
  <c r="K176" i="148" s="1"/>
  <c r="M176" i="148" s="1"/>
  <c r="G176" i="148"/>
  <c r="O32" i="149"/>
  <c r="N32" i="149"/>
  <c r="O83" i="149"/>
  <c r="N83" i="149"/>
  <c r="O143" i="149"/>
  <c r="N143" i="149"/>
  <c r="O150" i="149"/>
  <c r="N150" i="149"/>
  <c r="O70" i="148"/>
  <c r="G89" i="148"/>
  <c r="K90" i="148"/>
  <c r="M90" i="148" s="1"/>
  <c r="G90" i="148"/>
  <c r="O105" i="148"/>
  <c r="N120" i="148"/>
  <c r="F126" i="148"/>
  <c r="E126" i="148"/>
  <c r="D126" i="148"/>
  <c r="O173" i="148"/>
  <c r="N173" i="148"/>
  <c r="O21" i="149"/>
  <c r="N21" i="149"/>
  <c r="O33" i="149"/>
  <c r="N33" i="149"/>
  <c r="O66" i="149"/>
  <c r="O77" i="149"/>
  <c r="N77" i="149"/>
  <c r="N111" i="149"/>
  <c r="O111" i="149"/>
  <c r="N123" i="149"/>
  <c r="O123" i="149"/>
  <c r="J30" i="150"/>
  <c r="K30" i="150"/>
  <c r="N40" i="146"/>
  <c r="N30" i="147"/>
  <c r="O46" i="147"/>
  <c r="K23" i="148"/>
  <c r="M23" i="148" s="1"/>
  <c r="J93" i="148"/>
  <c r="K93" i="148" s="1"/>
  <c r="M93" i="148" s="1"/>
  <c r="I94" i="148"/>
  <c r="J94" i="148" s="1"/>
  <c r="K94" i="148" s="1"/>
  <c r="M94" i="148" s="1"/>
  <c r="O195" i="148"/>
  <c r="N195" i="148"/>
  <c r="O16" i="149"/>
  <c r="N16" i="149"/>
  <c r="J39" i="149"/>
  <c r="K39" i="149" s="1"/>
  <c r="M39" i="149" s="1"/>
  <c r="G38" i="149"/>
  <c r="G39" i="149"/>
  <c r="J59" i="149"/>
  <c r="I60" i="149"/>
  <c r="J60" i="149" s="1"/>
  <c r="K60" i="149" s="1"/>
  <c r="M60" i="149" s="1"/>
  <c r="I61" i="149"/>
  <c r="J61" i="149" s="1"/>
  <c r="K61" i="149" s="1"/>
  <c r="M61" i="149" s="1"/>
  <c r="O72" i="149"/>
  <c r="N72" i="149"/>
  <c r="J78" i="149"/>
  <c r="K78" i="149" s="1"/>
  <c r="M78" i="149" s="1"/>
  <c r="N84" i="149"/>
  <c r="O84" i="149"/>
  <c r="M12" i="146"/>
  <c r="M9" i="146" s="1"/>
  <c r="N21" i="146"/>
  <c r="O20" i="147"/>
  <c r="N20" i="147"/>
  <c r="O37" i="147"/>
  <c r="M36" i="147"/>
  <c r="O34" i="148"/>
  <c r="N34" i="148"/>
  <c r="N42" i="148"/>
  <c r="N54" i="148"/>
  <c r="N71" i="148"/>
  <c r="O86" i="148"/>
  <c r="F90" i="148"/>
  <c r="J95" i="148"/>
  <c r="K95" i="148" s="1"/>
  <c r="M95" i="148" s="1"/>
  <c r="I112" i="148"/>
  <c r="J112" i="148" s="1"/>
  <c r="K112" i="148" s="1"/>
  <c r="M112" i="148" s="1"/>
  <c r="K124" i="148"/>
  <c r="M124" i="148" s="1"/>
  <c r="J126" i="148"/>
  <c r="K126" i="148" s="1"/>
  <c r="M126" i="148" s="1"/>
  <c r="C131" i="148"/>
  <c r="F131" i="148"/>
  <c r="N152" i="148"/>
  <c r="O152" i="148"/>
  <c r="O178" i="148"/>
  <c r="N178" i="148"/>
  <c r="O34" i="149"/>
  <c r="O49" i="149"/>
  <c r="N49" i="149"/>
  <c r="O102" i="149"/>
  <c r="N102" i="149"/>
  <c r="O137" i="149"/>
  <c r="N137" i="149"/>
  <c r="F160" i="149"/>
  <c r="E160" i="149"/>
  <c r="D160" i="149"/>
  <c r="J160" i="149"/>
  <c r="K160" i="149" s="1"/>
  <c r="M160" i="149" s="1"/>
  <c r="G70" i="145"/>
  <c r="H70" i="145" s="1"/>
  <c r="O47" i="147"/>
  <c r="N47" i="147"/>
  <c r="K39" i="148"/>
  <c r="M39" i="148" s="1"/>
  <c r="N66" i="148"/>
  <c r="O66" i="148"/>
  <c r="O102" i="148"/>
  <c r="N102" i="148"/>
  <c r="O121" i="148"/>
  <c r="N121" i="148"/>
  <c r="O128" i="148"/>
  <c r="N128" i="148"/>
  <c r="O136" i="148"/>
  <c r="N136" i="148"/>
  <c r="K159" i="148"/>
  <c r="M159" i="148" s="1"/>
  <c r="N184" i="148"/>
  <c r="O184" i="148"/>
  <c r="M182" i="148"/>
  <c r="N68" i="149"/>
  <c r="O68" i="149"/>
  <c r="F90" i="149"/>
  <c r="E90" i="149"/>
  <c r="I93" i="149"/>
  <c r="O153" i="149"/>
  <c r="N153" i="149"/>
  <c r="K93" i="150"/>
  <c r="J93" i="150"/>
  <c r="N72" i="148"/>
  <c r="O72" i="148"/>
  <c r="O74" i="148"/>
  <c r="N74" i="148"/>
  <c r="O142" i="148"/>
  <c r="N142" i="148"/>
  <c r="N17" i="149"/>
  <c r="O85" i="149"/>
  <c r="N85" i="149"/>
  <c r="O92" i="149"/>
  <c r="N92" i="149"/>
  <c r="O103" i="149"/>
  <c r="N103" i="149"/>
  <c r="O119" i="149"/>
  <c r="N119" i="149"/>
  <c r="O127" i="149"/>
  <c r="N127" i="149"/>
  <c r="N139" i="149"/>
  <c r="O139" i="149"/>
  <c r="O173" i="149"/>
  <c r="N173" i="149"/>
  <c r="K12" i="147"/>
  <c r="K9" i="147" s="1"/>
  <c r="F46" i="148"/>
  <c r="C46" i="148"/>
  <c r="C58" i="148"/>
  <c r="O55" i="148"/>
  <c r="N55" i="148"/>
  <c r="G72" i="148"/>
  <c r="K73" i="148"/>
  <c r="M73" i="148" s="1"/>
  <c r="G73" i="148"/>
  <c r="O83" i="148"/>
  <c r="N83" i="148"/>
  <c r="I95" i="148"/>
  <c r="O137" i="148"/>
  <c r="N137" i="148"/>
  <c r="O157" i="148"/>
  <c r="J160" i="148"/>
  <c r="K160" i="148" s="1"/>
  <c r="M160" i="148" s="1"/>
  <c r="F160" i="148"/>
  <c r="E160" i="148"/>
  <c r="D160" i="148"/>
  <c r="O174" i="148"/>
  <c r="O197" i="148"/>
  <c r="N197" i="148"/>
  <c r="F39" i="149"/>
  <c r="E39" i="149"/>
  <c r="I42" i="149"/>
  <c r="C56" i="149"/>
  <c r="G46" i="149"/>
  <c r="J100" i="149"/>
  <c r="K100" i="149" s="1"/>
  <c r="M100" i="149" s="1"/>
  <c r="O104" i="149"/>
  <c r="N104" i="149"/>
  <c r="K144" i="149"/>
  <c r="M144" i="149" s="1"/>
  <c r="O158" i="149"/>
  <c r="N158" i="149"/>
  <c r="O38" i="152"/>
  <c r="N38" i="152"/>
  <c r="N14" i="146"/>
  <c r="N33" i="146"/>
  <c r="L12" i="147"/>
  <c r="O17" i="147"/>
  <c r="N17" i="147"/>
  <c r="N27" i="147"/>
  <c r="O32" i="147"/>
  <c r="N32" i="147"/>
  <c r="N43" i="147"/>
  <c r="O21" i="148"/>
  <c r="J23" i="148"/>
  <c r="J39" i="148"/>
  <c r="G55" i="148"/>
  <c r="E73" i="148"/>
  <c r="C143" i="148"/>
  <c r="O153" i="148"/>
  <c r="O170" i="148"/>
  <c r="F175" i="148"/>
  <c r="E175" i="148"/>
  <c r="M185" i="148"/>
  <c r="O18" i="149"/>
  <c r="N18" i="149"/>
  <c r="O36" i="149"/>
  <c r="N69" i="149"/>
  <c r="O69" i="149"/>
  <c r="O86" i="149"/>
  <c r="N86" i="149"/>
  <c r="O135" i="149"/>
  <c r="N135" i="149"/>
  <c r="O154" i="149"/>
  <c r="N154" i="149"/>
  <c r="O14" i="150"/>
  <c r="N46" i="146"/>
  <c r="M12" i="147"/>
  <c r="C12" i="148"/>
  <c r="G56" i="148"/>
  <c r="K60" i="148"/>
  <c r="M60" i="148" s="1"/>
  <c r="F73" i="148"/>
  <c r="J82" i="148"/>
  <c r="K82" i="148" s="1"/>
  <c r="J83" i="148"/>
  <c r="O103" i="148"/>
  <c r="E107" i="148"/>
  <c r="O186" i="148"/>
  <c r="N186" i="148"/>
  <c r="O37" i="149"/>
  <c r="N37" i="149"/>
  <c r="O87" i="149"/>
  <c r="N87" i="149"/>
  <c r="O91" i="149"/>
  <c r="N91" i="149"/>
  <c r="G12" i="148"/>
  <c r="G29" i="148"/>
  <c r="G80" i="148"/>
  <c r="O84" i="148"/>
  <c r="N84" i="148"/>
  <c r="J99" i="148"/>
  <c r="K99" i="148" s="1"/>
  <c r="J100" i="148"/>
  <c r="K100" i="148" s="1"/>
  <c r="M100" i="148" s="1"/>
  <c r="C124" i="148"/>
  <c r="G114" i="148"/>
  <c r="N154" i="148"/>
  <c r="O154" i="148"/>
  <c r="F12" i="149"/>
  <c r="C12" i="149"/>
  <c r="C24" i="149"/>
  <c r="O88" i="149"/>
  <c r="N88" i="149"/>
  <c r="N121" i="149"/>
  <c r="O121" i="149"/>
  <c r="O128" i="149"/>
  <c r="N128" i="149"/>
  <c r="J37" i="150"/>
  <c r="K37" i="150"/>
  <c r="O27" i="149"/>
  <c r="N27" i="149"/>
  <c r="I43" i="149"/>
  <c r="J43" i="149" s="1"/>
  <c r="K43" i="149" s="1"/>
  <c r="M43" i="149" s="1"/>
  <c r="I44" i="149"/>
  <c r="J44" i="149" s="1"/>
  <c r="K44" i="149" s="1"/>
  <c r="M44" i="149" s="1"/>
  <c r="J42" i="149"/>
  <c r="K42" i="149" s="1"/>
  <c r="M42" i="149" s="1"/>
  <c r="O54" i="149"/>
  <c r="N54" i="149"/>
  <c r="I94" i="149"/>
  <c r="J94" i="149" s="1"/>
  <c r="K94" i="149" s="1"/>
  <c r="M94" i="149" s="1"/>
  <c r="I95" i="149"/>
  <c r="J95" i="149" s="1"/>
  <c r="K95" i="149" s="1"/>
  <c r="M95" i="149" s="1"/>
  <c r="J93" i="149"/>
  <c r="K93" i="149" s="1"/>
  <c r="M93" i="149" s="1"/>
  <c r="C109" i="149"/>
  <c r="F97" i="149"/>
  <c r="J99" i="149" s="1"/>
  <c r="K99" i="149" s="1"/>
  <c r="O155" i="149"/>
  <c r="N155" i="149"/>
  <c r="N175" i="149"/>
  <c r="O175" i="149"/>
  <c r="O178" i="149"/>
  <c r="N178" i="149"/>
  <c r="K17" i="150"/>
  <c r="J17" i="150"/>
  <c r="K28" i="150"/>
  <c r="J28" i="150"/>
  <c r="I36" i="150"/>
  <c r="G34" i="150"/>
  <c r="H34" i="150" s="1"/>
  <c r="J49" i="150"/>
  <c r="K49" i="150"/>
  <c r="O23" i="152"/>
  <c r="N23" i="152"/>
  <c r="N19" i="153"/>
  <c r="O19" i="153"/>
  <c r="I27" i="153"/>
  <c r="J25" i="153"/>
  <c r="I26" i="153"/>
  <c r="J26" i="153" s="1"/>
  <c r="K26" i="153" s="1"/>
  <c r="M26" i="153" s="1"/>
  <c r="C158" i="148"/>
  <c r="G148" i="148"/>
  <c r="O169" i="148"/>
  <c r="N169" i="148"/>
  <c r="O191" i="148"/>
  <c r="N191" i="148"/>
  <c r="G124" i="149"/>
  <c r="K124" i="149"/>
  <c r="M124" i="149" s="1"/>
  <c r="G123" i="149"/>
  <c r="J124" i="149"/>
  <c r="K44" i="150"/>
  <c r="J44" i="150"/>
  <c r="J88" i="150"/>
  <c r="K88" i="150"/>
  <c r="O68" i="148"/>
  <c r="J150" i="148"/>
  <c r="K150" i="148" s="1"/>
  <c r="F177" i="148"/>
  <c r="J177" i="148"/>
  <c r="K177" i="148" s="1"/>
  <c r="M177" i="148" s="1"/>
  <c r="O40" i="149"/>
  <c r="N40" i="149"/>
  <c r="O76" i="149"/>
  <c r="N76" i="149"/>
  <c r="O120" i="149"/>
  <c r="O138" i="149"/>
  <c r="N138" i="149"/>
  <c r="N156" i="149"/>
  <c r="N172" i="149"/>
  <c r="O196" i="149"/>
  <c r="N196" i="149"/>
  <c r="G13" i="150"/>
  <c r="K38" i="150"/>
  <c r="J38" i="150"/>
  <c r="K65" i="150"/>
  <c r="J65" i="150"/>
  <c r="K89" i="150"/>
  <c r="J89" i="150"/>
  <c r="I95" i="150"/>
  <c r="K96" i="150"/>
  <c r="J96" i="150"/>
  <c r="O40" i="151"/>
  <c r="N40" i="151"/>
  <c r="N44" i="152"/>
  <c r="O44" i="152"/>
  <c r="C41" i="148"/>
  <c r="K161" i="148"/>
  <c r="M161" i="148" s="1"/>
  <c r="E177" i="148"/>
  <c r="J22" i="149"/>
  <c r="G21" i="149"/>
  <c r="G22" i="149"/>
  <c r="K26" i="149"/>
  <c r="M26" i="149" s="1"/>
  <c r="F73" i="149"/>
  <c r="E73" i="149"/>
  <c r="G73" i="149"/>
  <c r="J73" i="149"/>
  <c r="K73" i="149" s="1"/>
  <c r="M73" i="149" s="1"/>
  <c r="O157" i="149"/>
  <c r="N157" i="149"/>
  <c r="O187" i="149"/>
  <c r="N187" i="149"/>
  <c r="K31" i="150"/>
  <c r="J31" i="150"/>
  <c r="K74" i="150"/>
  <c r="J74" i="150"/>
  <c r="O15" i="151"/>
  <c r="N15" i="151"/>
  <c r="O46" i="152"/>
  <c r="N46" i="152"/>
  <c r="E92" i="148"/>
  <c r="D92" i="148"/>
  <c r="O139" i="148"/>
  <c r="O183" i="148"/>
  <c r="N183" i="148"/>
  <c r="J31" i="149"/>
  <c r="K31" i="149" s="1"/>
  <c r="G40" i="149"/>
  <c r="J56" i="149"/>
  <c r="K56" i="149" s="1"/>
  <c r="M56" i="149" s="1"/>
  <c r="G55" i="149"/>
  <c r="G56" i="149"/>
  <c r="E58" i="149"/>
  <c r="D58" i="149"/>
  <c r="J65" i="149"/>
  <c r="K65" i="149" s="1"/>
  <c r="C75" i="149"/>
  <c r="O101" i="149"/>
  <c r="N101" i="149"/>
  <c r="O105" i="149"/>
  <c r="K125" i="149"/>
  <c r="M125" i="149" s="1"/>
  <c r="G125" i="149"/>
  <c r="N152" i="149"/>
  <c r="O152" i="149"/>
  <c r="J25" i="150"/>
  <c r="K25" i="150"/>
  <c r="K54" i="150"/>
  <c r="K75" i="150"/>
  <c r="J75" i="150"/>
  <c r="I85" i="150"/>
  <c r="G84" i="150"/>
  <c r="H84" i="150" s="1"/>
  <c r="O78" i="153"/>
  <c r="N78" i="153"/>
  <c r="O87" i="153"/>
  <c r="N87" i="153"/>
  <c r="F92" i="148"/>
  <c r="O188" i="148"/>
  <c r="N188" i="148"/>
  <c r="O52" i="149"/>
  <c r="F58" i="149"/>
  <c r="O174" i="149"/>
  <c r="N174" i="149"/>
  <c r="O179" i="149"/>
  <c r="N179" i="149"/>
  <c r="K20" i="150"/>
  <c r="J20" i="150"/>
  <c r="J98" i="150"/>
  <c r="K98" i="150"/>
  <c r="O31" i="153"/>
  <c r="N31" i="153"/>
  <c r="O111" i="153"/>
  <c r="N111" i="153"/>
  <c r="K21" i="150"/>
  <c r="J21" i="150"/>
  <c r="K26" i="150"/>
  <c r="J26" i="150"/>
  <c r="K58" i="150"/>
  <c r="J58" i="150"/>
  <c r="K67" i="150"/>
  <c r="J67" i="150"/>
  <c r="N19" i="152"/>
  <c r="O19" i="152"/>
  <c r="O40" i="152"/>
  <c r="N40" i="152"/>
  <c r="I61" i="148"/>
  <c r="J61" i="148" s="1"/>
  <c r="K61" i="148" s="1"/>
  <c r="M61" i="148" s="1"/>
  <c r="J92" i="148"/>
  <c r="K92" i="148" s="1"/>
  <c r="M92" i="148" s="1"/>
  <c r="O156" i="148"/>
  <c r="N156" i="148"/>
  <c r="O189" i="148"/>
  <c r="N189" i="148"/>
  <c r="G23" i="149"/>
  <c r="K23" i="149"/>
  <c r="M23" i="149" s="1"/>
  <c r="O35" i="149"/>
  <c r="N35" i="149"/>
  <c r="C41" i="149"/>
  <c r="J58" i="149"/>
  <c r="K58" i="149" s="1"/>
  <c r="M58" i="149" s="1"/>
  <c r="K182" i="149"/>
  <c r="J41" i="150"/>
  <c r="K52" i="150"/>
  <c r="K99" i="150"/>
  <c r="J99" i="150"/>
  <c r="O34" i="151"/>
  <c r="N34" i="151"/>
  <c r="O29" i="152"/>
  <c r="N29" i="152"/>
  <c r="J44" i="148"/>
  <c r="K44" i="148" s="1"/>
  <c r="M44" i="148" s="1"/>
  <c r="J116" i="148"/>
  <c r="K116" i="148" s="1"/>
  <c r="K127" i="148"/>
  <c r="M127" i="148" s="1"/>
  <c r="J151" i="148"/>
  <c r="K151" i="148" s="1"/>
  <c r="M151" i="148" s="1"/>
  <c r="O171" i="148"/>
  <c r="N171" i="148"/>
  <c r="O194" i="148"/>
  <c r="N194" i="148"/>
  <c r="O20" i="149"/>
  <c r="N20" i="149"/>
  <c r="J48" i="149"/>
  <c r="K48" i="149" s="1"/>
  <c r="F92" i="149"/>
  <c r="D92" i="149"/>
  <c r="O170" i="149"/>
  <c r="N170" i="149"/>
  <c r="K16" i="150"/>
  <c r="J16" i="150"/>
  <c r="K22" i="150"/>
  <c r="J22" i="150"/>
  <c r="K27" i="150"/>
  <c r="J27" i="150"/>
  <c r="G70" i="150"/>
  <c r="H70" i="150" s="1"/>
  <c r="I71" i="150"/>
  <c r="K76" i="150"/>
  <c r="O21" i="152"/>
  <c r="N21" i="152"/>
  <c r="O190" i="149"/>
  <c r="N190" i="149"/>
  <c r="I179" i="148"/>
  <c r="J179" i="148" s="1"/>
  <c r="K179" i="148" s="1"/>
  <c r="M179" i="148" s="1"/>
  <c r="K141" i="149"/>
  <c r="M141" i="149" s="1"/>
  <c r="M183" i="149"/>
  <c r="J66" i="150"/>
  <c r="K66" i="150"/>
  <c r="J79" i="150"/>
  <c r="K79" i="150"/>
  <c r="K97" i="150"/>
  <c r="J97" i="150"/>
  <c r="M37" i="151"/>
  <c r="N38" i="151"/>
  <c r="O27" i="152"/>
  <c r="N27" i="152"/>
  <c r="M36" i="152"/>
  <c r="O37" i="152"/>
  <c r="N37" i="152"/>
  <c r="O77" i="153"/>
  <c r="N77" i="153"/>
  <c r="O91" i="153"/>
  <c r="N91" i="153"/>
  <c r="O105" i="153"/>
  <c r="N105" i="153"/>
  <c r="O193" i="153"/>
  <c r="N193" i="153"/>
  <c r="O142" i="153"/>
  <c r="N142" i="153"/>
  <c r="I180" i="149"/>
  <c r="J180" i="149" s="1"/>
  <c r="K180" i="149" s="1"/>
  <c r="M180" i="149" s="1"/>
  <c r="M21" i="151"/>
  <c r="K12" i="151"/>
  <c r="O31" i="151"/>
  <c r="N31" i="151"/>
  <c r="O39" i="151"/>
  <c r="N39" i="151"/>
  <c r="O20" i="152"/>
  <c r="N20" i="152"/>
  <c r="O45" i="152"/>
  <c r="N45" i="152"/>
  <c r="O20" i="153"/>
  <c r="N20" i="153"/>
  <c r="O32" i="153"/>
  <c r="N32" i="153"/>
  <c r="O50" i="153"/>
  <c r="N50" i="153"/>
  <c r="O101" i="153"/>
  <c r="N101" i="153"/>
  <c r="O121" i="153"/>
  <c r="N121" i="153"/>
  <c r="O179" i="153"/>
  <c r="N179" i="153"/>
  <c r="N122" i="153"/>
  <c r="O122" i="153"/>
  <c r="N172" i="153"/>
  <c r="O172" i="153"/>
  <c r="G140" i="149"/>
  <c r="J161" i="149"/>
  <c r="K161" i="149" s="1"/>
  <c r="M161" i="149" s="1"/>
  <c r="I163" i="149"/>
  <c r="J163" i="149" s="1"/>
  <c r="K163" i="149" s="1"/>
  <c r="G95" i="150"/>
  <c r="H95" i="150" s="1"/>
  <c r="O45" i="151"/>
  <c r="N45" i="151"/>
  <c r="O14" i="152"/>
  <c r="N14" i="152"/>
  <c r="N22" i="152"/>
  <c r="O22" i="152"/>
  <c r="O39" i="152"/>
  <c r="N39" i="152"/>
  <c r="N47" i="152"/>
  <c r="O47" i="152"/>
  <c r="O33" i="153"/>
  <c r="N33" i="153"/>
  <c r="N40" i="153"/>
  <c r="O40" i="153"/>
  <c r="N112" i="153"/>
  <c r="O112" i="153"/>
  <c r="O126" i="153"/>
  <c r="N126" i="153"/>
  <c r="I14" i="150"/>
  <c r="K12" i="152"/>
  <c r="O16" i="153"/>
  <c r="N16" i="153"/>
  <c r="O102" i="153"/>
  <c r="N102" i="153"/>
  <c r="O109" i="153"/>
  <c r="N109" i="153"/>
  <c r="O36" i="154"/>
  <c r="N36" i="154"/>
  <c r="K90" i="149"/>
  <c r="M90" i="149" s="1"/>
  <c r="G106" i="149"/>
  <c r="D143" i="149"/>
  <c r="K176" i="149"/>
  <c r="M176" i="149" s="1"/>
  <c r="G176" i="149"/>
  <c r="N184" i="149"/>
  <c r="K35" i="150"/>
  <c r="J35" i="150"/>
  <c r="O41" i="151"/>
  <c r="M15" i="152"/>
  <c r="O30" i="152"/>
  <c r="O21" i="153"/>
  <c r="O51" i="153"/>
  <c r="O89" i="153"/>
  <c r="N89" i="153"/>
  <c r="J93" i="153"/>
  <c r="K93" i="153" s="1"/>
  <c r="M93" i="153" s="1"/>
  <c r="I95" i="153"/>
  <c r="J95" i="153" s="1"/>
  <c r="K95" i="153" s="1"/>
  <c r="M95" i="153" s="1"/>
  <c r="I94" i="153"/>
  <c r="J94" i="153" s="1"/>
  <c r="K94" i="153" s="1"/>
  <c r="M94" i="153" s="1"/>
  <c r="N128" i="153"/>
  <c r="O128" i="153"/>
  <c r="O155" i="153"/>
  <c r="N155" i="153"/>
  <c r="C165" i="148"/>
  <c r="N67" i="149"/>
  <c r="E143" i="149"/>
  <c r="O151" i="149"/>
  <c r="N188" i="149"/>
  <c r="J46" i="150"/>
  <c r="J55" i="150"/>
  <c r="J57" i="150"/>
  <c r="K64" i="150"/>
  <c r="J68" i="150"/>
  <c r="J81" i="150"/>
  <c r="K86" i="150"/>
  <c r="J86" i="150"/>
  <c r="O24" i="152"/>
  <c r="N24" i="152"/>
  <c r="N31" i="152"/>
  <c r="O31" i="152"/>
  <c r="O24" i="154"/>
  <c r="N24" i="154"/>
  <c r="I180" i="148"/>
  <c r="J180" i="148" s="1"/>
  <c r="K180" i="148" s="1"/>
  <c r="M180" i="148" s="1"/>
  <c r="F143" i="149"/>
  <c r="I162" i="149"/>
  <c r="J162" i="149" s="1"/>
  <c r="K162" i="149" s="1"/>
  <c r="M162" i="149" s="1"/>
  <c r="J53" i="150"/>
  <c r="K61" i="150"/>
  <c r="J61" i="150"/>
  <c r="K100" i="150"/>
  <c r="J100" i="150"/>
  <c r="O47" i="151"/>
  <c r="N47" i="151"/>
  <c r="O32" i="152"/>
  <c r="N32" i="152"/>
  <c r="G12" i="153"/>
  <c r="N17" i="153"/>
  <c r="O17" i="153"/>
  <c r="O35" i="153"/>
  <c r="N35" i="153"/>
  <c r="I43" i="153"/>
  <c r="J43" i="153" s="1"/>
  <c r="K43" i="153" s="1"/>
  <c r="M43" i="153" s="1"/>
  <c r="I44" i="153"/>
  <c r="J42" i="153"/>
  <c r="K42" i="153" s="1"/>
  <c r="M42" i="153" s="1"/>
  <c r="N108" i="153"/>
  <c r="O108" i="153"/>
  <c r="O152" i="153"/>
  <c r="N152" i="153"/>
  <c r="N174" i="153"/>
  <c r="O174" i="153"/>
  <c r="O18" i="154"/>
  <c r="N18" i="154"/>
  <c r="G90" i="149"/>
  <c r="J116" i="149"/>
  <c r="K116" i="149" s="1"/>
  <c r="C131" i="149"/>
  <c r="N140" i="149"/>
  <c r="J146" i="149"/>
  <c r="K146" i="149" s="1"/>
  <c r="M146" i="149" s="1"/>
  <c r="O171" i="149"/>
  <c r="N185" i="149"/>
  <c r="J43" i="150"/>
  <c r="K78" i="150"/>
  <c r="O17" i="152"/>
  <c r="N17" i="152"/>
  <c r="O33" i="152"/>
  <c r="N33" i="152"/>
  <c r="O42" i="152"/>
  <c r="N42" i="152"/>
  <c r="O36" i="153"/>
  <c r="N36" i="153"/>
  <c r="J59" i="153"/>
  <c r="K59" i="153" s="1"/>
  <c r="M59" i="153" s="1"/>
  <c r="I61" i="153"/>
  <c r="I60" i="153"/>
  <c r="J60" i="153" s="1"/>
  <c r="K60" i="153" s="1"/>
  <c r="M60" i="153" s="1"/>
  <c r="J82" i="153"/>
  <c r="K82" i="153" s="1"/>
  <c r="J83" i="153"/>
  <c r="O169" i="153"/>
  <c r="N169" i="153"/>
  <c r="M182" i="153"/>
  <c r="G74" i="149"/>
  <c r="G89" i="149"/>
  <c r="I112" i="149"/>
  <c r="J112" i="149" s="1"/>
  <c r="K112" i="149" s="1"/>
  <c r="M112" i="149" s="1"/>
  <c r="C126" i="149"/>
  <c r="I127" i="149"/>
  <c r="G131" i="149"/>
  <c r="E158" i="149"/>
  <c r="K91" i="150"/>
  <c r="J91" i="150"/>
  <c r="K101" i="150"/>
  <c r="H12" i="151"/>
  <c r="O18" i="151"/>
  <c r="N18" i="151"/>
  <c r="N24" i="151"/>
  <c r="O26" i="152"/>
  <c r="N26" i="152"/>
  <c r="K36" i="152"/>
  <c r="L36" i="152" s="1"/>
  <c r="C24" i="153"/>
  <c r="F12" i="153"/>
  <c r="C22" i="153" s="1"/>
  <c r="C12" i="153"/>
  <c r="O41" i="153"/>
  <c r="N41" i="153"/>
  <c r="O74" i="153"/>
  <c r="N74" i="153"/>
  <c r="N137" i="153"/>
  <c r="O137" i="153"/>
  <c r="N15" i="154"/>
  <c r="O15" i="154"/>
  <c r="J167" i="149"/>
  <c r="K167" i="149" s="1"/>
  <c r="J168" i="149"/>
  <c r="K168" i="149" s="1"/>
  <c r="M168" i="149" s="1"/>
  <c r="F175" i="149"/>
  <c r="E175" i="149"/>
  <c r="O193" i="149"/>
  <c r="N193" i="149"/>
  <c r="K40" i="150"/>
  <c r="J40" i="150"/>
  <c r="O25" i="151"/>
  <c r="N25" i="151"/>
  <c r="O18" i="153"/>
  <c r="N18" i="153"/>
  <c r="N53" i="153"/>
  <c r="O53" i="153"/>
  <c r="N56" i="153"/>
  <c r="O72" i="153"/>
  <c r="N72" i="153"/>
  <c r="O90" i="153"/>
  <c r="N90" i="153"/>
  <c r="I127" i="153"/>
  <c r="E124" i="153"/>
  <c r="F124" i="153"/>
  <c r="K23" i="153"/>
  <c r="M23" i="153" s="1"/>
  <c r="J23" i="153"/>
  <c r="E41" i="153"/>
  <c r="D41" i="153"/>
  <c r="J48" i="153"/>
  <c r="K48" i="153" s="1"/>
  <c r="G97" i="153"/>
  <c r="O154" i="153"/>
  <c r="N17" i="154"/>
  <c r="I27" i="154"/>
  <c r="J27" i="154" s="1"/>
  <c r="K27" i="154" s="1"/>
  <c r="M27" i="154" s="1"/>
  <c r="J25" i="154"/>
  <c r="K25" i="154" s="1"/>
  <c r="M25" i="154" s="1"/>
  <c r="I26" i="154"/>
  <c r="J26" i="154" s="1"/>
  <c r="K26" i="154" s="1"/>
  <c r="M26" i="154" s="1"/>
  <c r="O33" i="154"/>
  <c r="N85" i="154"/>
  <c r="O85" i="154"/>
  <c r="N103" i="154"/>
  <c r="O103" i="154"/>
  <c r="N145" i="154"/>
  <c r="O145" i="154"/>
  <c r="O180" i="154"/>
  <c r="N180" i="154"/>
  <c r="J19" i="155"/>
  <c r="K19" i="155"/>
  <c r="O88" i="153"/>
  <c r="N88" i="153"/>
  <c r="E107" i="153"/>
  <c r="I110" i="153"/>
  <c r="K127" i="153"/>
  <c r="M127" i="153" s="1"/>
  <c r="N188" i="153"/>
  <c r="O188" i="153"/>
  <c r="O34" i="154"/>
  <c r="N34" i="154"/>
  <c r="O66" i="154"/>
  <c r="N66" i="154"/>
  <c r="O139" i="154"/>
  <c r="N139" i="154"/>
  <c r="F56" i="154"/>
  <c r="E56" i="154"/>
  <c r="I59" i="154"/>
  <c r="C177" i="149"/>
  <c r="G23" i="153"/>
  <c r="F73" i="153"/>
  <c r="G123" i="153"/>
  <c r="J124" i="153"/>
  <c r="K124" i="153" s="1"/>
  <c r="M124" i="153" s="1"/>
  <c r="G124" i="153"/>
  <c r="O156" i="153"/>
  <c r="N156" i="153"/>
  <c r="O32" i="154"/>
  <c r="N32" i="154"/>
  <c r="F58" i="154"/>
  <c r="D58" i="154"/>
  <c r="J58" i="154"/>
  <c r="K58" i="154" s="1"/>
  <c r="M58" i="154" s="1"/>
  <c r="E58" i="154"/>
  <c r="N53" i="154"/>
  <c r="O53" i="154"/>
  <c r="O135" i="154"/>
  <c r="N135" i="154"/>
  <c r="M14" i="151"/>
  <c r="L12" i="151"/>
  <c r="G21" i="153"/>
  <c r="G22" i="153"/>
  <c r="I76" i="153"/>
  <c r="O85" i="153"/>
  <c r="N85" i="153"/>
  <c r="O136" i="153"/>
  <c r="N136" i="153"/>
  <c r="F158" i="153"/>
  <c r="E158" i="153"/>
  <c r="N170" i="153"/>
  <c r="O170" i="153"/>
  <c r="N180" i="153"/>
  <c r="O180" i="153"/>
  <c r="N194" i="153"/>
  <c r="O194" i="153"/>
  <c r="O19" i="154"/>
  <c r="N19" i="154"/>
  <c r="O54" i="154"/>
  <c r="N54" i="154"/>
  <c r="O68" i="154"/>
  <c r="N68" i="154"/>
  <c r="K182" i="154"/>
  <c r="M184" i="154"/>
  <c r="M182" i="154" s="1"/>
  <c r="K73" i="155"/>
  <c r="J73" i="155"/>
  <c r="O49" i="153"/>
  <c r="N58" i="153"/>
  <c r="J65" i="153"/>
  <c r="K65" i="153" s="1"/>
  <c r="N70" i="153"/>
  <c r="C75" i="153"/>
  <c r="K76" i="153"/>
  <c r="M76" i="153" s="1"/>
  <c r="G106" i="153"/>
  <c r="G107" i="153"/>
  <c r="K107" i="153"/>
  <c r="M107" i="153" s="1"/>
  <c r="K110" i="153"/>
  <c r="M110" i="153" s="1"/>
  <c r="O120" i="153"/>
  <c r="N120" i="153"/>
  <c r="E141" i="153"/>
  <c r="K141" i="153"/>
  <c r="M141" i="153" s="1"/>
  <c r="O88" i="154"/>
  <c r="N88" i="154"/>
  <c r="O94" i="154"/>
  <c r="N94" i="154"/>
  <c r="O128" i="154"/>
  <c r="N128" i="154"/>
  <c r="J27" i="153"/>
  <c r="K27" i="153" s="1"/>
  <c r="M27" i="153" s="1"/>
  <c r="O103" i="153"/>
  <c r="N103" i="153"/>
  <c r="F107" i="153"/>
  <c r="J160" i="153"/>
  <c r="K160" i="153" s="1"/>
  <c r="M160" i="153" s="1"/>
  <c r="F160" i="153"/>
  <c r="D160" i="153"/>
  <c r="O190" i="153"/>
  <c r="N190" i="153"/>
  <c r="K74" i="155"/>
  <c r="J74" i="155"/>
  <c r="N22" i="151"/>
  <c r="N43" i="151"/>
  <c r="N38" i="153"/>
  <c r="N52" i="153"/>
  <c r="O55" i="153"/>
  <c r="J61" i="153"/>
  <c r="K61" i="153" s="1"/>
  <c r="M61" i="153" s="1"/>
  <c r="N71" i="153"/>
  <c r="K73" i="153"/>
  <c r="M73" i="153" s="1"/>
  <c r="I93" i="153"/>
  <c r="O117" i="153"/>
  <c r="K125" i="153"/>
  <c r="M125" i="153" s="1"/>
  <c r="E160" i="153"/>
  <c r="O171" i="153"/>
  <c r="N171" i="153"/>
  <c r="O37" i="154"/>
  <c r="N37" i="154"/>
  <c r="N74" i="154"/>
  <c r="O74" i="154"/>
  <c r="C160" i="154"/>
  <c r="F148" i="154"/>
  <c r="C158" i="154" s="1"/>
  <c r="C148" i="154"/>
  <c r="O172" i="154"/>
  <c r="N172" i="154"/>
  <c r="J66" i="155"/>
  <c r="K66" i="155"/>
  <c r="N32" i="151"/>
  <c r="J22" i="153"/>
  <c r="K22" i="153" s="1"/>
  <c r="M22" i="153" s="1"/>
  <c r="K39" i="153"/>
  <c r="M39" i="153" s="1"/>
  <c r="J39" i="153"/>
  <c r="J57" i="153"/>
  <c r="K57" i="153" s="1"/>
  <c r="M57" i="153" s="1"/>
  <c r="E90" i="153"/>
  <c r="E109" i="153"/>
  <c r="D109" i="153"/>
  <c r="I146" i="153"/>
  <c r="J144" i="153"/>
  <c r="K144" i="153" s="1"/>
  <c r="M144" i="153" s="1"/>
  <c r="I145" i="153"/>
  <c r="J145" i="153" s="1"/>
  <c r="K145" i="153" s="1"/>
  <c r="M145" i="153" s="1"/>
  <c r="J146" i="153"/>
  <c r="K146" i="153" s="1"/>
  <c r="M146" i="153" s="1"/>
  <c r="I162" i="153"/>
  <c r="J162" i="153" s="1"/>
  <c r="K162" i="153" s="1"/>
  <c r="M162" i="153" s="1"/>
  <c r="J161" i="153"/>
  <c r="K161" i="153" s="1"/>
  <c r="M161" i="153" s="1"/>
  <c r="N69" i="154"/>
  <c r="O69" i="154"/>
  <c r="O89" i="154"/>
  <c r="N89" i="154"/>
  <c r="J81" i="155"/>
  <c r="K81" i="155"/>
  <c r="N29" i="151"/>
  <c r="O25" i="152"/>
  <c r="E39" i="153"/>
  <c r="J44" i="153"/>
  <c r="K44" i="153" s="1"/>
  <c r="M44" i="153" s="1"/>
  <c r="E56" i="153"/>
  <c r="N68" i="153"/>
  <c r="O83" i="153"/>
  <c r="N83" i="153"/>
  <c r="N104" i="153"/>
  <c r="F109" i="153"/>
  <c r="G114" i="153"/>
  <c r="K158" i="153"/>
  <c r="M158" i="153" s="1"/>
  <c r="G158" i="153"/>
  <c r="O196" i="153"/>
  <c r="N196" i="153"/>
  <c r="M14" i="154"/>
  <c r="O38" i="154"/>
  <c r="N38" i="154"/>
  <c r="K22" i="155"/>
  <c r="J22" i="155"/>
  <c r="K37" i="151"/>
  <c r="F39" i="153"/>
  <c r="F56" i="153"/>
  <c r="G125" i="153"/>
  <c r="O150" i="153"/>
  <c r="N150" i="153"/>
  <c r="K182" i="153"/>
  <c r="L182" i="153" s="1"/>
  <c r="O16" i="154"/>
  <c r="N16" i="154"/>
  <c r="O195" i="154"/>
  <c r="N195" i="154"/>
  <c r="O138" i="153"/>
  <c r="N138" i="153"/>
  <c r="O151" i="153"/>
  <c r="N151" i="153"/>
  <c r="N168" i="153"/>
  <c r="O168" i="153"/>
  <c r="O173" i="153"/>
  <c r="N173" i="153"/>
  <c r="N183" i="153"/>
  <c r="O183" i="153"/>
  <c r="K57" i="154"/>
  <c r="M57" i="154" s="1"/>
  <c r="G57" i="154"/>
  <c r="O71" i="154"/>
  <c r="N71" i="154"/>
  <c r="N77" i="154"/>
  <c r="O77" i="154"/>
  <c r="O84" i="154"/>
  <c r="N84" i="154"/>
  <c r="O106" i="154"/>
  <c r="N106" i="154"/>
  <c r="N111" i="154"/>
  <c r="O111" i="154"/>
  <c r="O119" i="154"/>
  <c r="N119" i="154"/>
  <c r="O138" i="154"/>
  <c r="N138" i="154"/>
  <c r="J163" i="153"/>
  <c r="K163" i="153" s="1"/>
  <c r="M163" i="153" s="1"/>
  <c r="C177" i="153"/>
  <c r="F165" i="153"/>
  <c r="C97" i="154"/>
  <c r="F97" i="154"/>
  <c r="C109" i="154"/>
  <c r="N118" i="154"/>
  <c r="O118" i="154"/>
  <c r="K17" i="155"/>
  <c r="J17" i="155"/>
  <c r="K27" i="155"/>
  <c r="J27" i="155"/>
  <c r="K59" i="155"/>
  <c r="J59" i="155"/>
  <c r="J92" i="155"/>
  <c r="K92" i="155"/>
  <c r="N32" i="156"/>
  <c r="O32" i="156"/>
  <c r="O162" i="158"/>
  <c r="N162" i="158"/>
  <c r="N20" i="156"/>
  <c r="O20" i="156"/>
  <c r="C143" i="153"/>
  <c r="G174" i="153"/>
  <c r="G175" i="153"/>
  <c r="E39" i="154"/>
  <c r="I42" i="154"/>
  <c r="K90" i="154"/>
  <c r="M90" i="154" s="1"/>
  <c r="G90" i="154"/>
  <c r="D92" i="154"/>
  <c r="F92" i="154"/>
  <c r="E92" i="154"/>
  <c r="F124" i="154"/>
  <c r="E124" i="154"/>
  <c r="I127" i="154"/>
  <c r="F143" i="154"/>
  <c r="D143" i="154"/>
  <c r="J143" i="154"/>
  <c r="K143" i="154" s="1"/>
  <c r="M143" i="154" s="1"/>
  <c r="N171" i="154"/>
  <c r="O171" i="154"/>
  <c r="O183" i="154"/>
  <c r="N183" i="154"/>
  <c r="O188" i="154"/>
  <c r="N188" i="154"/>
  <c r="K38" i="155"/>
  <c r="J38" i="155"/>
  <c r="K47" i="155"/>
  <c r="J47" i="155"/>
  <c r="J52" i="155"/>
  <c r="K52" i="155"/>
  <c r="K60" i="155"/>
  <c r="J60" i="155"/>
  <c r="J88" i="155"/>
  <c r="K88" i="155"/>
  <c r="O17" i="158"/>
  <c r="N17" i="158"/>
  <c r="N32" i="158"/>
  <c r="O32" i="158"/>
  <c r="C92" i="153"/>
  <c r="C131" i="153"/>
  <c r="J92" i="154"/>
  <c r="K92" i="154" s="1"/>
  <c r="M92" i="154" s="1"/>
  <c r="I129" i="154"/>
  <c r="J129" i="154" s="1"/>
  <c r="K129" i="154" s="1"/>
  <c r="M129" i="154" s="1"/>
  <c r="J127" i="154"/>
  <c r="K127" i="154" s="1"/>
  <c r="M127" i="154" s="1"/>
  <c r="O140" i="154"/>
  <c r="N140" i="154"/>
  <c r="O156" i="154"/>
  <c r="N156" i="154"/>
  <c r="I14" i="155"/>
  <c r="G13" i="155"/>
  <c r="K24" i="155"/>
  <c r="J24" i="155"/>
  <c r="K43" i="155"/>
  <c r="J43" i="155"/>
  <c r="K61" i="155"/>
  <c r="J61" i="155"/>
  <c r="J116" i="153"/>
  <c r="K116" i="153" s="1"/>
  <c r="G131" i="153"/>
  <c r="G159" i="153"/>
  <c r="N51" i="154"/>
  <c r="F63" i="154"/>
  <c r="J65" i="154" s="1"/>
  <c r="K65" i="154" s="1"/>
  <c r="J90" i="154"/>
  <c r="K20" i="155"/>
  <c r="J20" i="155"/>
  <c r="K29" i="155"/>
  <c r="K53" i="155"/>
  <c r="J53" i="155"/>
  <c r="O27" i="157"/>
  <c r="N27" i="157"/>
  <c r="N40" i="154"/>
  <c r="C80" i="154"/>
  <c r="F80" i="154"/>
  <c r="C90" i="154" s="1"/>
  <c r="J110" i="154"/>
  <c r="I112" i="154"/>
  <c r="J112" i="154"/>
  <c r="K112" i="154" s="1"/>
  <c r="M112" i="154" s="1"/>
  <c r="O123" i="154"/>
  <c r="O153" i="154"/>
  <c r="N153" i="154"/>
  <c r="K82" i="155"/>
  <c r="J82" i="155"/>
  <c r="C97" i="153"/>
  <c r="J129" i="153"/>
  <c r="K129" i="153" s="1"/>
  <c r="M129" i="153" s="1"/>
  <c r="K159" i="153"/>
  <c r="M159" i="153" s="1"/>
  <c r="M148" i="153" s="1"/>
  <c r="O191" i="153"/>
  <c r="N35" i="154"/>
  <c r="O35" i="154"/>
  <c r="G39" i="154"/>
  <c r="G38" i="154"/>
  <c r="J59" i="154"/>
  <c r="K59" i="154" s="1"/>
  <c r="M59" i="154" s="1"/>
  <c r="I60" i="154"/>
  <c r="J60" i="154" s="1"/>
  <c r="K60" i="154" s="1"/>
  <c r="M60" i="154" s="1"/>
  <c r="I61" i="154"/>
  <c r="O157" i="154"/>
  <c r="N157" i="154"/>
  <c r="J163" i="154"/>
  <c r="K163" i="154" s="1"/>
  <c r="M163" i="154" s="1"/>
  <c r="J177" i="154"/>
  <c r="K177" i="154" s="1"/>
  <c r="M177" i="154" s="1"/>
  <c r="F177" i="154"/>
  <c r="E177" i="154"/>
  <c r="D177" i="154"/>
  <c r="J15" i="155"/>
  <c r="K50" i="155"/>
  <c r="K77" i="155"/>
  <c r="J77" i="155"/>
  <c r="J90" i="155"/>
  <c r="O15" i="156"/>
  <c r="N15" i="156"/>
  <c r="J22" i="154"/>
  <c r="K22" i="154" s="1"/>
  <c r="G21" i="154"/>
  <c r="O23" i="154"/>
  <c r="N23" i="154"/>
  <c r="J56" i="154"/>
  <c r="G56" i="154"/>
  <c r="D75" i="154"/>
  <c r="F75" i="154"/>
  <c r="E75" i="154"/>
  <c r="O87" i="154"/>
  <c r="N87" i="154"/>
  <c r="O142" i="154"/>
  <c r="N142" i="154"/>
  <c r="I85" i="155"/>
  <c r="G84" i="155"/>
  <c r="H84" i="155" s="1"/>
  <c r="N40" i="156"/>
  <c r="O40" i="156"/>
  <c r="K176" i="153"/>
  <c r="M176" i="153" s="1"/>
  <c r="J176" i="153"/>
  <c r="G12" i="154"/>
  <c r="E22" i="154"/>
  <c r="J41" i="154"/>
  <c r="K41" i="154" s="1"/>
  <c r="M41" i="154" s="1"/>
  <c r="F41" i="154"/>
  <c r="E41" i="154"/>
  <c r="D41" i="154"/>
  <c r="J48" i="154"/>
  <c r="K48" i="154" s="1"/>
  <c r="O52" i="154"/>
  <c r="J61" i="154"/>
  <c r="K61" i="154" s="1"/>
  <c r="M61" i="154" s="1"/>
  <c r="G73" i="154"/>
  <c r="N137" i="154"/>
  <c r="O137" i="154"/>
  <c r="J26" i="155"/>
  <c r="K26" i="155"/>
  <c r="K54" i="155"/>
  <c r="J54" i="155"/>
  <c r="K72" i="155"/>
  <c r="J72" i="155"/>
  <c r="K86" i="155"/>
  <c r="J86" i="155"/>
  <c r="J98" i="155"/>
  <c r="K98" i="155"/>
  <c r="O41" i="156"/>
  <c r="N41" i="156"/>
  <c r="N47" i="156"/>
  <c r="O47" i="156"/>
  <c r="N20" i="158"/>
  <c r="O20" i="158"/>
  <c r="E24" i="154"/>
  <c r="F24" i="154"/>
  <c r="F22" i="154"/>
  <c r="D24" i="154"/>
  <c r="J39" i="154"/>
  <c r="K39" i="154" s="1"/>
  <c r="M39" i="154" s="1"/>
  <c r="J42" i="154"/>
  <c r="K42" i="154" s="1"/>
  <c r="M42" i="154" s="1"/>
  <c r="I44" i="154"/>
  <c r="J44" i="154" s="1"/>
  <c r="K44" i="154" s="1"/>
  <c r="M44" i="154" s="1"/>
  <c r="I43" i="154"/>
  <c r="J43" i="154" s="1"/>
  <c r="K43" i="154" s="1"/>
  <c r="M43" i="154" s="1"/>
  <c r="G46" i="154"/>
  <c r="K56" i="154"/>
  <c r="M56" i="154" s="1"/>
  <c r="J75" i="154"/>
  <c r="K75" i="154" s="1"/>
  <c r="M75" i="154" s="1"/>
  <c r="J78" i="154"/>
  <c r="K78" i="154" s="1"/>
  <c r="M78" i="154" s="1"/>
  <c r="O117" i="154"/>
  <c r="N121" i="154"/>
  <c r="N154" i="154"/>
  <c r="O154" i="154"/>
  <c r="J161" i="154"/>
  <c r="K161" i="154" s="1"/>
  <c r="M161" i="154" s="1"/>
  <c r="I162" i="154"/>
  <c r="J162" i="154" s="1"/>
  <c r="K162" i="154" s="1"/>
  <c r="M162" i="154" s="1"/>
  <c r="I163" i="154"/>
  <c r="N174" i="154"/>
  <c r="O174" i="154"/>
  <c r="N186" i="154"/>
  <c r="K31" i="155"/>
  <c r="J31" i="155"/>
  <c r="J45" i="155"/>
  <c r="K45" i="155"/>
  <c r="K64" i="155"/>
  <c r="J64" i="155"/>
  <c r="J31" i="154"/>
  <c r="K31" i="154" s="1"/>
  <c r="J49" i="154"/>
  <c r="K49" i="154" s="1"/>
  <c r="M49" i="154" s="1"/>
  <c r="J76" i="154"/>
  <c r="I146" i="154"/>
  <c r="G157" i="154"/>
  <c r="K30" i="155"/>
  <c r="J30" i="155"/>
  <c r="I34" i="155"/>
  <c r="K57" i="155"/>
  <c r="J57" i="155"/>
  <c r="K91" i="155"/>
  <c r="J91" i="155"/>
  <c r="K96" i="155"/>
  <c r="K95" i="155" s="1"/>
  <c r="J96" i="155"/>
  <c r="O17" i="156"/>
  <c r="N17" i="156"/>
  <c r="O40" i="157"/>
  <c r="N40" i="157"/>
  <c r="O46" i="157"/>
  <c r="N46" i="157"/>
  <c r="O50" i="158"/>
  <c r="N50" i="158"/>
  <c r="N155" i="158"/>
  <c r="O155" i="158"/>
  <c r="J93" i="154"/>
  <c r="F165" i="154"/>
  <c r="C175" i="154" s="1"/>
  <c r="O187" i="154"/>
  <c r="N187" i="154"/>
  <c r="K23" i="155"/>
  <c r="J35" i="155"/>
  <c r="I71" i="155"/>
  <c r="G70" i="155"/>
  <c r="H70" i="155" s="1"/>
  <c r="J87" i="155"/>
  <c r="J101" i="155"/>
  <c r="O25" i="156"/>
  <c r="N25" i="156"/>
  <c r="O16" i="157"/>
  <c r="N16" i="157"/>
  <c r="J41" i="158"/>
  <c r="K41" i="158" s="1"/>
  <c r="M41" i="158" s="1"/>
  <c r="E41" i="158"/>
  <c r="D41" i="158"/>
  <c r="O68" i="158"/>
  <c r="N68" i="158"/>
  <c r="F131" i="154"/>
  <c r="C141" i="154" s="1"/>
  <c r="K141" i="154" s="1"/>
  <c r="M141" i="154" s="1"/>
  <c r="C131" i="154"/>
  <c r="J167" i="154"/>
  <c r="K167" i="154" s="1"/>
  <c r="H12" i="156"/>
  <c r="O47" i="157"/>
  <c r="N47" i="157"/>
  <c r="O19" i="158"/>
  <c r="N19" i="158"/>
  <c r="J66" i="158"/>
  <c r="K66" i="158" s="1"/>
  <c r="M66" i="158" s="1"/>
  <c r="J65" i="158"/>
  <c r="K65" i="158" s="1"/>
  <c r="N95" i="158"/>
  <c r="O95" i="158"/>
  <c r="N176" i="158"/>
  <c r="O176" i="158"/>
  <c r="I43" i="158"/>
  <c r="J43" i="158" s="1"/>
  <c r="K43" i="158" s="1"/>
  <c r="M43" i="158" s="1"/>
  <c r="I44" i="158"/>
  <c r="J44" i="158" s="1"/>
  <c r="K44" i="158" s="1"/>
  <c r="M44" i="158" s="1"/>
  <c r="J42" i="158"/>
  <c r="K42" i="158" s="1"/>
  <c r="M42" i="158" s="1"/>
  <c r="O69" i="158"/>
  <c r="N69" i="158"/>
  <c r="O90" i="158"/>
  <c r="N90" i="158"/>
  <c r="N92" i="158"/>
  <c r="O92" i="158"/>
  <c r="E126" i="158"/>
  <c r="D126" i="158"/>
  <c r="J126" i="158"/>
  <c r="K126" i="158" s="1"/>
  <c r="M126" i="158" s="1"/>
  <c r="F126" i="158"/>
  <c r="O169" i="158"/>
  <c r="N169" i="158"/>
  <c r="O192" i="158"/>
  <c r="N192" i="158"/>
  <c r="K36" i="155"/>
  <c r="J36" i="155"/>
  <c r="K12" i="156"/>
  <c r="K9" i="156" s="1"/>
  <c r="O123" i="158"/>
  <c r="N123" i="158"/>
  <c r="I95" i="154"/>
  <c r="J95" i="154" s="1"/>
  <c r="K95" i="154" s="1"/>
  <c r="M95" i="154" s="1"/>
  <c r="J116" i="154"/>
  <c r="K116" i="154" s="1"/>
  <c r="G125" i="154"/>
  <c r="G148" i="154"/>
  <c r="J63" i="155"/>
  <c r="J67" i="155"/>
  <c r="J76" i="155"/>
  <c r="J80" i="155"/>
  <c r="N27" i="156"/>
  <c r="O33" i="157"/>
  <c r="N33" i="157"/>
  <c r="N16" i="158"/>
  <c r="O34" i="158"/>
  <c r="N49" i="158"/>
  <c r="O49" i="158"/>
  <c r="O52" i="158"/>
  <c r="N52" i="158"/>
  <c r="D75" i="158"/>
  <c r="J75" i="158"/>
  <c r="K75" i="158" s="1"/>
  <c r="M75" i="158" s="1"/>
  <c r="F75" i="158"/>
  <c r="E75" i="158"/>
  <c r="O108" i="158"/>
  <c r="N108" i="158"/>
  <c r="J116" i="158"/>
  <c r="K116" i="158" s="1"/>
  <c r="J117" i="158"/>
  <c r="K117" i="158" s="1"/>
  <c r="M117" i="158" s="1"/>
  <c r="K124" i="158"/>
  <c r="M124" i="158" s="1"/>
  <c r="G123" i="158"/>
  <c r="J124" i="158"/>
  <c r="G124" i="158"/>
  <c r="O173" i="154"/>
  <c r="N173" i="154"/>
  <c r="J178" i="154"/>
  <c r="K178" i="154" s="1"/>
  <c r="M178" i="154" s="1"/>
  <c r="I179" i="154"/>
  <c r="J179" i="154" s="1"/>
  <c r="K179" i="154" s="1"/>
  <c r="M179" i="154" s="1"/>
  <c r="O43" i="157"/>
  <c r="N43" i="157"/>
  <c r="O35" i="158"/>
  <c r="N35" i="158"/>
  <c r="J82" i="158"/>
  <c r="K82" i="158" s="1"/>
  <c r="O102" i="158"/>
  <c r="N102" i="158"/>
  <c r="O106" i="158"/>
  <c r="N106" i="158"/>
  <c r="O110" i="158"/>
  <c r="N110" i="158"/>
  <c r="N146" i="158"/>
  <c r="O146" i="158"/>
  <c r="N187" i="158"/>
  <c r="O187" i="158"/>
  <c r="N72" i="159"/>
  <c r="O72" i="159"/>
  <c r="J141" i="154"/>
  <c r="G141" i="154"/>
  <c r="O155" i="154"/>
  <c r="N155" i="154"/>
  <c r="K176" i="154"/>
  <c r="M176" i="154" s="1"/>
  <c r="G176" i="154"/>
  <c r="O196" i="154"/>
  <c r="N196" i="154"/>
  <c r="K18" i="155"/>
  <c r="J18" i="155"/>
  <c r="I95" i="155"/>
  <c r="N18" i="157"/>
  <c r="N23" i="157"/>
  <c r="K36" i="157"/>
  <c r="L36" i="157" s="1"/>
  <c r="M37" i="157"/>
  <c r="O15" i="158"/>
  <c r="N15" i="158"/>
  <c r="O21" i="158"/>
  <c r="N21" i="158"/>
  <c r="O74" i="158"/>
  <c r="N74" i="158"/>
  <c r="O44" i="157"/>
  <c r="O36" i="157" s="1"/>
  <c r="N44" i="157"/>
  <c r="F22" i="158"/>
  <c r="E22" i="158"/>
  <c r="I25" i="158"/>
  <c r="O26" i="158"/>
  <c r="N26" i="158"/>
  <c r="J58" i="158"/>
  <c r="K58" i="158" s="1"/>
  <c r="M58" i="158" s="1"/>
  <c r="E58" i="158"/>
  <c r="D58" i="158"/>
  <c r="N71" i="158"/>
  <c r="O71" i="158"/>
  <c r="J78" i="158"/>
  <c r="K78" i="158" s="1"/>
  <c r="M78" i="158" s="1"/>
  <c r="N137" i="158"/>
  <c r="O137" i="158"/>
  <c r="O38" i="159"/>
  <c r="N38" i="159"/>
  <c r="O67" i="159"/>
  <c r="N67" i="159"/>
  <c r="G40" i="154"/>
  <c r="G123" i="154"/>
  <c r="J124" i="154"/>
  <c r="K124" i="154" s="1"/>
  <c r="M124" i="154" s="1"/>
  <c r="J144" i="154"/>
  <c r="J146" i="154"/>
  <c r="K146" i="154" s="1"/>
  <c r="M146" i="154" s="1"/>
  <c r="K158" i="154"/>
  <c r="M158" i="154" s="1"/>
  <c r="J168" i="154"/>
  <c r="K168" i="154" s="1"/>
  <c r="M168" i="154" s="1"/>
  <c r="O193" i="154"/>
  <c r="N193" i="154"/>
  <c r="K49" i="155"/>
  <c r="J49" i="155"/>
  <c r="O24" i="157"/>
  <c r="N24" i="157"/>
  <c r="O60" i="158"/>
  <c r="N60" i="158"/>
  <c r="F175" i="158"/>
  <c r="E175" i="158"/>
  <c r="I178" i="158"/>
  <c r="K37" i="156"/>
  <c r="M38" i="156"/>
  <c r="O37" i="158"/>
  <c r="N37" i="158"/>
  <c r="N54" i="158"/>
  <c r="F58" i="158"/>
  <c r="N67" i="158"/>
  <c r="O86" i="158"/>
  <c r="N86" i="158"/>
  <c r="O121" i="158"/>
  <c r="N121" i="158"/>
  <c r="O158" i="158"/>
  <c r="N158" i="158"/>
  <c r="C126" i="154"/>
  <c r="G165" i="154"/>
  <c r="O190" i="154"/>
  <c r="N190" i="154"/>
  <c r="G34" i="155"/>
  <c r="H34" i="155" s="1"/>
  <c r="K65" i="155"/>
  <c r="J65" i="155"/>
  <c r="K78" i="155"/>
  <c r="J78" i="155"/>
  <c r="G95" i="155"/>
  <c r="H95" i="155" s="1"/>
  <c r="O39" i="156"/>
  <c r="N39" i="156"/>
  <c r="K12" i="157"/>
  <c r="K9" i="157" s="1"/>
  <c r="M15" i="157"/>
  <c r="O39" i="157"/>
  <c r="M99" i="158"/>
  <c r="K97" i="158"/>
  <c r="L97" i="158" s="1"/>
  <c r="N103" i="158"/>
  <c r="O107" i="158"/>
  <c r="N107" i="158"/>
  <c r="O61" i="159"/>
  <c r="N61" i="159"/>
  <c r="O196" i="158"/>
  <c r="N196" i="158"/>
  <c r="O32" i="159"/>
  <c r="N32" i="159"/>
  <c r="N121" i="159"/>
  <c r="O121" i="159"/>
  <c r="J144" i="158"/>
  <c r="I145" i="158"/>
  <c r="J145" i="158" s="1"/>
  <c r="K145" i="158" s="1"/>
  <c r="M145" i="158" s="1"/>
  <c r="N163" i="158"/>
  <c r="O163" i="158"/>
  <c r="G91" i="159"/>
  <c r="K91" i="159"/>
  <c r="M91" i="159" s="1"/>
  <c r="O104" i="159"/>
  <c r="N104" i="159"/>
  <c r="K88" i="160"/>
  <c r="J88" i="160"/>
  <c r="O19" i="157"/>
  <c r="N19" i="157"/>
  <c r="O28" i="157"/>
  <c r="N28" i="157"/>
  <c r="J24" i="158"/>
  <c r="K24" i="158" s="1"/>
  <c r="M24" i="158" s="1"/>
  <c r="F24" i="158"/>
  <c r="G63" i="158"/>
  <c r="O128" i="158"/>
  <c r="O172" i="158"/>
  <c r="N172" i="158"/>
  <c r="J31" i="159"/>
  <c r="K31" i="159" s="1"/>
  <c r="O40" i="159"/>
  <c r="N40" i="159"/>
  <c r="O52" i="159"/>
  <c r="N52" i="159"/>
  <c r="K64" i="160"/>
  <c r="J64" i="160"/>
  <c r="G95" i="160"/>
  <c r="H95" i="160" s="1"/>
  <c r="I96" i="160"/>
  <c r="D24" i="158"/>
  <c r="J39" i="158"/>
  <c r="K39" i="158" s="1"/>
  <c r="M39" i="158" s="1"/>
  <c r="G38" i="158"/>
  <c r="G39" i="158"/>
  <c r="O129" i="158"/>
  <c r="N129" i="158"/>
  <c r="N191" i="158"/>
  <c r="O19" i="159"/>
  <c r="N19" i="159"/>
  <c r="F80" i="159"/>
  <c r="C92" i="159"/>
  <c r="C80" i="159"/>
  <c r="N87" i="159"/>
  <c r="O87" i="159"/>
  <c r="J150" i="159"/>
  <c r="K150" i="159" s="1"/>
  <c r="J151" i="159"/>
  <c r="K151" i="159" s="1"/>
  <c r="M151" i="159" s="1"/>
  <c r="K24" i="160"/>
  <c r="J24" i="160"/>
  <c r="K30" i="160"/>
  <c r="J30" i="160"/>
  <c r="N74" i="159"/>
  <c r="O74" i="159"/>
  <c r="K20" i="160"/>
  <c r="J20" i="160"/>
  <c r="C24" i="159"/>
  <c r="C12" i="159"/>
  <c r="F12" i="159"/>
  <c r="C22" i="159" s="1"/>
  <c r="K73" i="160"/>
  <c r="J73" i="160"/>
  <c r="O25" i="157"/>
  <c r="N25" i="157"/>
  <c r="J56" i="158"/>
  <c r="K56" i="158" s="1"/>
  <c r="M56" i="158" s="1"/>
  <c r="G55" i="158"/>
  <c r="G56" i="158"/>
  <c r="O72" i="158"/>
  <c r="N72" i="158"/>
  <c r="O104" i="158"/>
  <c r="N104" i="158"/>
  <c r="O135" i="158"/>
  <c r="N135" i="158"/>
  <c r="J142" i="158"/>
  <c r="K142" i="158" s="1"/>
  <c r="M142" i="158" s="1"/>
  <c r="G142" i="158"/>
  <c r="M183" i="158"/>
  <c r="K182" i="158"/>
  <c r="L182" i="158" s="1"/>
  <c r="O101" i="159"/>
  <c r="N101" i="159"/>
  <c r="K23" i="158"/>
  <c r="M23" i="158" s="1"/>
  <c r="G23" i="158"/>
  <c r="O33" i="158"/>
  <c r="N33" i="158"/>
  <c r="K40" i="158"/>
  <c r="M40" i="158" s="1"/>
  <c r="J40" i="158"/>
  <c r="O139" i="158"/>
  <c r="N152" i="158"/>
  <c r="M65" i="159"/>
  <c r="O78" i="159"/>
  <c r="N78" i="159"/>
  <c r="O119" i="159"/>
  <c r="N119" i="159"/>
  <c r="J21" i="160"/>
  <c r="K21" i="160"/>
  <c r="M12" i="156"/>
  <c r="O21" i="157"/>
  <c r="N21" i="157"/>
  <c r="O30" i="157"/>
  <c r="N30" i="157"/>
  <c r="O41" i="157"/>
  <c r="N41" i="157"/>
  <c r="J27" i="158"/>
  <c r="K27" i="158" s="1"/>
  <c r="M27" i="158" s="1"/>
  <c r="J61" i="158"/>
  <c r="K61" i="158" s="1"/>
  <c r="M61" i="158" s="1"/>
  <c r="J73" i="158"/>
  <c r="K73" i="158" s="1"/>
  <c r="M73" i="158" s="1"/>
  <c r="G72" i="158"/>
  <c r="O87" i="158"/>
  <c r="N87" i="158"/>
  <c r="O91" i="158"/>
  <c r="N91" i="158"/>
  <c r="O119" i="158"/>
  <c r="N119" i="158"/>
  <c r="O170" i="158"/>
  <c r="N170" i="158"/>
  <c r="O188" i="158"/>
  <c r="N188" i="158"/>
  <c r="N16" i="159"/>
  <c r="O16" i="159"/>
  <c r="K26" i="159"/>
  <c r="M26" i="159" s="1"/>
  <c r="O58" i="159"/>
  <c r="N58" i="159"/>
  <c r="I17" i="160"/>
  <c r="G13" i="160"/>
  <c r="J102" i="155"/>
  <c r="N14" i="156"/>
  <c r="N22" i="156"/>
  <c r="N33" i="156"/>
  <c r="N26" i="157"/>
  <c r="K57" i="158"/>
  <c r="M57" i="158" s="1"/>
  <c r="J57" i="158"/>
  <c r="G57" i="158"/>
  <c r="I77" i="158"/>
  <c r="J77" i="158" s="1"/>
  <c r="K77" i="158" s="1"/>
  <c r="M77" i="158" s="1"/>
  <c r="I78" i="158"/>
  <c r="O100" i="158"/>
  <c r="N100" i="158"/>
  <c r="O174" i="158"/>
  <c r="N174" i="158"/>
  <c r="N21" i="159"/>
  <c r="O50" i="159"/>
  <c r="N50" i="159"/>
  <c r="K75" i="160"/>
  <c r="J75" i="160"/>
  <c r="O14" i="156"/>
  <c r="O26" i="156"/>
  <c r="O42" i="156"/>
  <c r="O22" i="157"/>
  <c r="N22" i="157"/>
  <c r="O31" i="157"/>
  <c r="N31" i="157"/>
  <c r="N18" i="158"/>
  <c r="G40" i="158"/>
  <c r="I42" i="158"/>
  <c r="O53" i="158"/>
  <c r="G73" i="158"/>
  <c r="F90" i="158"/>
  <c r="N111" i="158"/>
  <c r="O125" i="158"/>
  <c r="N125" i="158"/>
  <c r="N127" i="158"/>
  <c r="E158" i="158"/>
  <c r="I161" i="158"/>
  <c r="O184" i="158"/>
  <c r="N184" i="158"/>
  <c r="O36" i="159"/>
  <c r="N36" i="159"/>
  <c r="O44" i="159"/>
  <c r="N44" i="159"/>
  <c r="O95" i="159"/>
  <c r="N95" i="159"/>
  <c r="O187" i="159"/>
  <c r="N187" i="159"/>
  <c r="J23" i="158"/>
  <c r="O70" i="158"/>
  <c r="N70" i="158"/>
  <c r="O112" i="158"/>
  <c r="N112" i="158"/>
  <c r="O120" i="158"/>
  <c r="N120" i="158"/>
  <c r="F131" i="158"/>
  <c r="C131" i="158"/>
  <c r="C143" i="158"/>
  <c r="N153" i="158"/>
  <c r="O153" i="158"/>
  <c r="N157" i="158"/>
  <c r="O157" i="158"/>
  <c r="N195" i="158"/>
  <c r="K42" i="159"/>
  <c r="M42" i="159" s="1"/>
  <c r="N68" i="159"/>
  <c r="O68" i="159"/>
  <c r="O152" i="159"/>
  <c r="N152" i="159"/>
  <c r="O157" i="159"/>
  <c r="N157" i="159"/>
  <c r="C165" i="158"/>
  <c r="C177" i="158"/>
  <c r="K22" i="159"/>
  <c r="M22" i="159" s="1"/>
  <c r="N48" i="159"/>
  <c r="O66" i="159"/>
  <c r="N66" i="159"/>
  <c r="J73" i="159"/>
  <c r="G72" i="159"/>
  <c r="K73" i="159"/>
  <c r="M73" i="159" s="1"/>
  <c r="G73" i="159"/>
  <c r="O86" i="159"/>
  <c r="N86" i="159"/>
  <c r="J177" i="159"/>
  <c r="K177" i="159" s="1"/>
  <c r="M177" i="159" s="1"/>
  <c r="F177" i="159"/>
  <c r="E177" i="159"/>
  <c r="D177" i="159"/>
  <c r="O186" i="159"/>
  <c r="N186" i="159"/>
  <c r="N194" i="159"/>
  <c r="O194" i="159"/>
  <c r="K77" i="160"/>
  <c r="J77" i="160"/>
  <c r="J25" i="158"/>
  <c r="K25" i="158" s="1"/>
  <c r="M25" i="158" s="1"/>
  <c r="J31" i="158"/>
  <c r="K31" i="158" s="1"/>
  <c r="F63" i="158"/>
  <c r="C73" i="158" s="1"/>
  <c r="E124" i="158"/>
  <c r="K178" i="158"/>
  <c r="M178" i="158" s="1"/>
  <c r="J27" i="159"/>
  <c r="K27" i="159" s="1"/>
  <c r="M27" i="159" s="1"/>
  <c r="O106" i="159"/>
  <c r="N106" i="159"/>
  <c r="G125" i="159"/>
  <c r="K125" i="159"/>
  <c r="M125" i="159" s="1"/>
  <c r="J14" i="158"/>
  <c r="K14" i="158" s="1"/>
  <c r="F46" i="158"/>
  <c r="C56" i="158" s="1"/>
  <c r="K94" i="158"/>
  <c r="M94" i="158" s="1"/>
  <c r="F124" i="158"/>
  <c r="J175" i="158"/>
  <c r="K175" i="158" s="1"/>
  <c r="M175" i="158" s="1"/>
  <c r="O55" i="159"/>
  <c r="N55" i="159"/>
  <c r="K76" i="159"/>
  <c r="M76" i="159" s="1"/>
  <c r="I76" i="159"/>
  <c r="F73" i="159"/>
  <c r="N88" i="159"/>
  <c r="O102" i="159"/>
  <c r="N102" i="159"/>
  <c r="N170" i="159"/>
  <c r="N174" i="159"/>
  <c r="K27" i="160"/>
  <c r="J27" i="160"/>
  <c r="K50" i="160"/>
  <c r="J50" i="160"/>
  <c r="I85" i="160"/>
  <c r="G84" i="160"/>
  <c r="H84" i="160" s="1"/>
  <c r="I61" i="158"/>
  <c r="K161" i="158"/>
  <c r="M161" i="158" s="1"/>
  <c r="O180" i="158"/>
  <c r="N180" i="158"/>
  <c r="K23" i="159"/>
  <c r="M23" i="159" s="1"/>
  <c r="G23" i="159"/>
  <c r="O43" i="159"/>
  <c r="N43" i="159"/>
  <c r="C56" i="159"/>
  <c r="O84" i="159"/>
  <c r="N84" i="159"/>
  <c r="N138" i="159"/>
  <c r="O138" i="159"/>
  <c r="O196" i="159"/>
  <c r="N196" i="159"/>
  <c r="K54" i="160"/>
  <c r="J54" i="160"/>
  <c r="K67" i="160"/>
  <c r="J67" i="160"/>
  <c r="K90" i="160"/>
  <c r="J90" i="160"/>
  <c r="J56" i="159"/>
  <c r="K56" i="159" s="1"/>
  <c r="G55" i="159"/>
  <c r="O128" i="159"/>
  <c r="N128" i="159"/>
  <c r="O139" i="159"/>
  <c r="N139" i="159"/>
  <c r="O142" i="159"/>
  <c r="N142" i="159"/>
  <c r="O145" i="159"/>
  <c r="N145" i="159"/>
  <c r="G34" i="160"/>
  <c r="H34" i="160" s="1"/>
  <c r="I35" i="160"/>
  <c r="K79" i="160"/>
  <c r="J79" i="160"/>
  <c r="G21" i="158"/>
  <c r="E92" i="158"/>
  <c r="N109" i="158"/>
  <c r="N136" i="158"/>
  <c r="N154" i="158"/>
  <c r="G174" i="158"/>
  <c r="N185" i="158"/>
  <c r="O20" i="159"/>
  <c r="G56" i="159"/>
  <c r="C109" i="159"/>
  <c r="F97" i="159"/>
  <c r="C97" i="159"/>
  <c r="N135" i="159"/>
  <c r="O156" i="159"/>
  <c r="O161" i="159"/>
  <c r="N161" i="159"/>
  <c r="O184" i="159"/>
  <c r="N184" i="159"/>
  <c r="K41" i="160"/>
  <c r="J58" i="160"/>
  <c r="K58" i="160"/>
  <c r="J22" i="158"/>
  <c r="K22" i="158" s="1"/>
  <c r="M22" i="158" s="1"/>
  <c r="J93" i="158"/>
  <c r="K93" i="158" s="1"/>
  <c r="M93" i="158" s="1"/>
  <c r="C148" i="158"/>
  <c r="C160" i="158"/>
  <c r="O48" i="159"/>
  <c r="O70" i="159"/>
  <c r="N89" i="159"/>
  <c r="O89" i="159"/>
  <c r="K94" i="159"/>
  <c r="M94" i="159" s="1"/>
  <c r="K36" i="160"/>
  <c r="J36" i="160"/>
  <c r="J159" i="158"/>
  <c r="K159" i="158" s="1"/>
  <c r="M159" i="158" s="1"/>
  <c r="K179" i="158"/>
  <c r="M179" i="158" s="1"/>
  <c r="G12" i="159"/>
  <c r="K25" i="159"/>
  <c r="M25" i="159" s="1"/>
  <c r="G29" i="159"/>
  <c r="O71" i="159"/>
  <c r="N71" i="159"/>
  <c r="O85" i="159"/>
  <c r="I111" i="159"/>
  <c r="J111" i="159" s="1"/>
  <c r="K111" i="159" s="1"/>
  <c r="M111" i="159" s="1"/>
  <c r="I112" i="159"/>
  <c r="J112" i="159" s="1"/>
  <c r="K112" i="159" s="1"/>
  <c r="M112" i="159" s="1"/>
  <c r="J110" i="159"/>
  <c r="I129" i="159"/>
  <c r="J129" i="159" s="1"/>
  <c r="K129" i="159" s="1"/>
  <c r="M129" i="159" s="1"/>
  <c r="J127" i="159"/>
  <c r="N140" i="159"/>
  <c r="O140" i="159"/>
  <c r="J37" i="160"/>
  <c r="K37" i="160"/>
  <c r="K52" i="160"/>
  <c r="J52" i="160"/>
  <c r="F29" i="159"/>
  <c r="C39" i="159" s="1"/>
  <c r="F114" i="159"/>
  <c r="C114" i="159"/>
  <c r="O153" i="159"/>
  <c r="N153" i="159"/>
  <c r="I161" i="159"/>
  <c r="E158" i="159"/>
  <c r="F158" i="159"/>
  <c r="F165" i="159"/>
  <c r="C165" i="159"/>
  <c r="K179" i="159"/>
  <c r="M179" i="159" s="1"/>
  <c r="O190" i="159"/>
  <c r="N190" i="159"/>
  <c r="N197" i="159"/>
  <c r="O197" i="159"/>
  <c r="J26" i="160"/>
  <c r="K26" i="160"/>
  <c r="D58" i="159"/>
  <c r="D143" i="159"/>
  <c r="F143" i="159"/>
  <c r="E143" i="159"/>
  <c r="J143" i="159"/>
  <c r="K143" i="159" s="1"/>
  <c r="M143" i="159" s="1"/>
  <c r="O171" i="159"/>
  <c r="N171" i="159"/>
  <c r="K14" i="160"/>
  <c r="J14" i="160"/>
  <c r="J51" i="160"/>
  <c r="K60" i="160"/>
  <c r="J60" i="160"/>
  <c r="K86" i="160"/>
  <c r="J86" i="160"/>
  <c r="N43" i="161"/>
  <c r="O43" i="161"/>
  <c r="J141" i="159"/>
  <c r="K141" i="159" s="1"/>
  <c r="M141" i="159" s="1"/>
  <c r="G140" i="159"/>
  <c r="O154" i="159"/>
  <c r="N154" i="159"/>
  <c r="E160" i="159"/>
  <c r="D160" i="159"/>
  <c r="J160" i="159"/>
  <c r="K160" i="159" s="1"/>
  <c r="M160" i="159" s="1"/>
  <c r="F160" i="159"/>
  <c r="I71" i="160"/>
  <c r="G70" i="160"/>
  <c r="H70" i="160" s="1"/>
  <c r="J80" i="160"/>
  <c r="F58" i="159"/>
  <c r="N103" i="159"/>
  <c r="O120" i="159"/>
  <c r="N120" i="159"/>
  <c r="N123" i="159"/>
  <c r="O137" i="159"/>
  <c r="K158" i="159"/>
  <c r="M158" i="159" s="1"/>
  <c r="O192" i="159"/>
  <c r="N192" i="159"/>
  <c r="K38" i="160"/>
  <c r="J38" i="160"/>
  <c r="I27" i="159"/>
  <c r="N35" i="159"/>
  <c r="G141" i="159"/>
  <c r="O155" i="159"/>
  <c r="N155" i="159"/>
  <c r="O172" i="159"/>
  <c r="N172" i="159"/>
  <c r="O193" i="159"/>
  <c r="N193" i="159"/>
  <c r="J15" i="160"/>
  <c r="K43" i="160"/>
  <c r="J43" i="160"/>
  <c r="J47" i="160"/>
  <c r="J61" i="160"/>
  <c r="K72" i="160"/>
  <c r="J72" i="160"/>
  <c r="K99" i="160"/>
  <c r="O38" i="161"/>
  <c r="M37" i="161"/>
  <c r="N38" i="161"/>
  <c r="G22" i="159"/>
  <c r="C41" i="159"/>
  <c r="J75" i="159"/>
  <c r="K75" i="159" s="1"/>
  <c r="M75" i="159" s="1"/>
  <c r="C126" i="159"/>
  <c r="J134" i="159"/>
  <c r="K134" i="159" s="1"/>
  <c r="M134" i="159" s="1"/>
  <c r="J133" i="159"/>
  <c r="K133" i="159" s="1"/>
  <c r="N180" i="159"/>
  <c r="K57" i="160"/>
  <c r="K66" i="160"/>
  <c r="J66" i="160"/>
  <c r="K92" i="160"/>
  <c r="J92" i="160"/>
  <c r="O17" i="162"/>
  <c r="N17" i="162"/>
  <c r="N40" i="161"/>
  <c r="O40" i="161"/>
  <c r="N46" i="161"/>
  <c r="O46" i="161"/>
  <c r="M183" i="159"/>
  <c r="K182" i="159"/>
  <c r="N188" i="159"/>
  <c r="O188" i="159"/>
  <c r="O14" i="160"/>
  <c r="K82" i="160"/>
  <c r="J82" i="160"/>
  <c r="K93" i="160"/>
  <c r="J93" i="160"/>
  <c r="I60" i="159"/>
  <c r="J60" i="159" s="1"/>
  <c r="K60" i="159" s="1"/>
  <c r="M60" i="159" s="1"/>
  <c r="I144" i="159"/>
  <c r="K29" i="160"/>
  <c r="J40" i="160"/>
  <c r="O191" i="159"/>
  <c r="J25" i="160"/>
  <c r="K56" i="160"/>
  <c r="J97" i="160"/>
  <c r="K97" i="160"/>
  <c r="M12" i="161"/>
  <c r="N14" i="161"/>
  <c r="O41" i="161"/>
  <c r="N41" i="161"/>
  <c r="M36" i="162"/>
  <c r="N37" i="162"/>
  <c r="O25" i="162"/>
  <c r="N25" i="162"/>
  <c r="O15" i="161"/>
  <c r="O12" i="161" s="1"/>
  <c r="N15" i="161"/>
  <c r="O25" i="161"/>
  <c r="N25" i="161"/>
  <c r="O34" i="161"/>
  <c r="N34" i="161"/>
  <c r="N30" i="162"/>
  <c r="O38" i="162"/>
  <c r="N38" i="162"/>
  <c r="K176" i="159"/>
  <c r="M176" i="159" s="1"/>
  <c r="J23" i="160"/>
  <c r="J46" i="160"/>
  <c r="N15" i="162"/>
  <c r="O31" i="162"/>
  <c r="N31" i="162"/>
  <c r="G158" i="159"/>
  <c r="K37" i="161"/>
  <c r="O47" i="161"/>
  <c r="N47" i="161"/>
  <c r="O16" i="162"/>
  <c r="O12" i="162" s="1"/>
  <c r="N16" i="162"/>
  <c r="O44" i="162"/>
  <c r="N44" i="162"/>
  <c r="O22" i="161"/>
  <c r="N22" i="161"/>
  <c r="O31" i="161"/>
  <c r="N31" i="161"/>
  <c r="O22" i="162"/>
  <c r="N22" i="162"/>
  <c r="K102" i="160"/>
  <c r="J102" i="160"/>
  <c r="N39" i="161"/>
  <c r="O39" i="161"/>
  <c r="N27" i="162"/>
  <c r="N45" i="162"/>
  <c r="O44" i="161"/>
  <c r="N44" i="161"/>
  <c r="O28" i="162"/>
  <c r="N28" i="162"/>
  <c r="O17" i="161"/>
  <c r="O27" i="161"/>
  <c r="N33" i="162"/>
  <c r="N40" i="162"/>
  <c r="J146" i="159"/>
  <c r="K146" i="159" s="1"/>
  <c r="M146" i="159" s="1"/>
  <c r="K49" i="160"/>
  <c r="J49" i="160"/>
  <c r="O18" i="161"/>
  <c r="N18" i="161"/>
  <c r="O28" i="161"/>
  <c r="N28" i="161"/>
  <c r="M12" i="162"/>
  <c r="N18" i="162"/>
  <c r="N29" i="162"/>
  <c r="O41" i="162"/>
  <c r="N41" i="162"/>
  <c r="K65" i="160"/>
  <c r="J65" i="160"/>
  <c r="K78" i="160"/>
  <c r="J78" i="160"/>
  <c r="K91" i="160"/>
  <c r="J91" i="160"/>
  <c r="L12" i="161"/>
  <c r="K12" i="161"/>
  <c r="N14" i="162"/>
  <c r="O19" i="162"/>
  <c r="N19" i="162"/>
  <c r="K36" i="162"/>
  <c r="L36" i="162" s="1"/>
  <c r="O47" i="162"/>
  <c r="N47" i="162"/>
  <c r="N46" i="162"/>
  <c r="G46" i="132"/>
  <c r="O54" i="132"/>
  <c r="N54" i="132"/>
  <c r="O85" i="132"/>
  <c r="N85" i="132"/>
  <c r="O103" i="132"/>
  <c r="N103" i="132"/>
  <c r="M133" i="132"/>
  <c r="O136" i="132"/>
  <c r="N136" i="132"/>
  <c r="O152" i="132"/>
  <c r="N152" i="132"/>
  <c r="N157" i="132"/>
  <c r="O157" i="132"/>
  <c r="N175" i="132"/>
  <c r="O175" i="132"/>
  <c r="N193" i="132"/>
  <c r="O193" i="132"/>
  <c r="O33" i="133"/>
  <c r="N33" i="133"/>
  <c r="O19" i="132"/>
  <c r="N19" i="132"/>
  <c r="O26" i="132"/>
  <c r="N26" i="132"/>
  <c r="O33" i="132"/>
  <c r="N33" i="132"/>
  <c r="O68" i="132"/>
  <c r="N68" i="132"/>
  <c r="N143" i="132"/>
  <c r="O143" i="132"/>
  <c r="N169" i="132"/>
  <c r="O169" i="132"/>
  <c r="O20" i="132"/>
  <c r="N20" i="132"/>
  <c r="K56" i="132"/>
  <c r="M56" i="132" s="1"/>
  <c r="F56" i="132"/>
  <c r="E56" i="132"/>
  <c r="I59" i="132"/>
  <c r="E90" i="132"/>
  <c r="I93" i="132"/>
  <c r="K90" i="132"/>
  <c r="M90" i="132" s="1"/>
  <c r="F90" i="132"/>
  <c r="O86" i="132"/>
  <c r="N86" i="132"/>
  <c r="J100" i="132"/>
  <c r="K100" i="132" s="1"/>
  <c r="M100" i="132" s="1"/>
  <c r="J99" i="132"/>
  <c r="K99" i="132" s="1"/>
  <c r="O104" i="132"/>
  <c r="N104" i="132"/>
  <c r="N111" i="132"/>
  <c r="O111" i="132"/>
  <c r="N153" i="132"/>
  <c r="O153" i="132"/>
  <c r="N163" i="132"/>
  <c r="O163" i="132"/>
  <c r="O23" i="132"/>
  <c r="N23" i="132"/>
  <c r="O34" i="132"/>
  <c r="N34" i="132"/>
  <c r="O39" i="132"/>
  <c r="N39" i="132"/>
  <c r="O55" i="132"/>
  <c r="N55" i="132"/>
  <c r="O61" i="132"/>
  <c r="N61" i="132"/>
  <c r="O69" i="132"/>
  <c r="N69" i="132"/>
  <c r="J92" i="132"/>
  <c r="K92" i="132" s="1"/>
  <c r="M92" i="132" s="1"/>
  <c r="E92" i="132"/>
  <c r="D92" i="132"/>
  <c r="F92" i="132"/>
  <c r="O87" i="132"/>
  <c r="N87" i="132"/>
  <c r="N105" i="132"/>
  <c r="O105" i="132"/>
  <c r="O119" i="132"/>
  <c r="N119" i="132"/>
  <c r="N151" i="132"/>
  <c r="O151" i="132"/>
  <c r="O53" i="133"/>
  <c r="N53" i="133"/>
  <c r="O40" i="132"/>
  <c r="N40" i="132"/>
  <c r="O108" i="132"/>
  <c r="N108" i="132"/>
  <c r="N168" i="132"/>
  <c r="O168" i="132"/>
  <c r="O21" i="132"/>
  <c r="N21" i="132"/>
  <c r="O27" i="132"/>
  <c r="N27" i="132"/>
  <c r="O35" i="132"/>
  <c r="N35" i="132"/>
  <c r="O50" i="132"/>
  <c r="N50" i="132"/>
  <c r="O94" i="132"/>
  <c r="N94" i="132"/>
  <c r="O101" i="132"/>
  <c r="N101" i="132"/>
  <c r="N106" i="132"/>
  <c r="O106" i="132"/>
  <c r="M183" i="132"/>
  <c r="K182" i="132"/>
  <c r="L182" i="132" s="1"/>
  <c r="O17" i="132"/>
  <c r="N17" i="132"/>
  <c r="O36" i="132"/>
  <c r="N36" i="132"/>
  <c r="O43" i="132"/>
  <c r="N43" i="132"/>
  <c r="K59" i="132"/>
  <c r="M59" i="132" s="1"/>
  <c r="O70" i="132"/>
  <c r="N70" i="132"/>
  <c r="O112" i="132"/>
  <c r="N112" i="132"/>
  <c r="N120" i="132"/>
  <c r="O120" i="132"/>
  <c r="O138" i="132"/>
  <c r="N138" i="132"/>
  <c r="O144" i="132"/>
  <c r="N144" i="132"/>
  <c r="F158" i="132"/>
  <c r="E158" i="132"/>
  <c r="I161" i="132"/>
  <c r="O37" i="132"/>
  <c r="N37" i="132"/>
  <c r="O51" i="132"/>
  <c r="N51" i="132"/>
  <c r="C73" i="132"/>
  <c r="G63" i="132"/>
  <c r="O121" i="132"/>
  <c r="N121" i="132"/>
  <c r="N139" i="132"/>
  <c r="O139" i="132"/>
  <c r="O71" i="132"/>
  <c r="N71" i="132"/>
  <c r="N89" i="132"/>
  <c r="O89" i="132"/>
  <c r="O122" i="132"/>
  <c r="N122" i="132"/>
  <c r="O126" i="132"/>
  <c r="N126" i="132"/>
  <c r="N155" i="132"/>
  <c r="O155" i="132"/>
  <c r="N50" i="133"/>
  <c r="O50" i="133"/>
  <c r="N61" i="133"/>
  <c r="O61" i="133"/>
  <c r="J14" i="132"/>
  <c r="K14" i="132" s="1"/>
  <c r="J15" i="132"/>
  <c r="K15" i="132" s="1"/>
  <c r="M15" i="132" s="1"/>
  <c r="F39" i="132"/>
  <c r="E39" i="132"/>
  <c r="I42" i="132"/>
  <c r="O52" i="132"/>
  <c r="N52" i="132"/>
  <c r="O95" i="132"/>
  <c r="N95" i="132"/>
  <c r="O117" i="132"/>
  <c r="N117" i="132"/>
  <c r="M150" i="132"/>
  <c r="O156" i="132"/>
  <c r="N156" i="132"/>
  <c r="J31" i="132"/>
  <c r="K31" i="132" s="1"/>
  <c r="J32" i="132"/>
  <c r="K32" i="132" s="1"/>
  <c r="M32" i="132" s="1"/>
  <c r="O42" i="132"/>
  <c r="N42" i="132"/>
  <c r="O44" i="132"/>
  <c r="N44" i="132"/>
  <c r="O60" i="132"/>
  <c r="N60" i="132"/>
  <c r="O67" i="132"/>
  <c r="N67" i="132"/>
  <c r="N77" i="132"/>
  <c r="O77" i="132"/>
  <c r="O145" i="132"/>
  <c r="N145" i="132"/>
  <c r="N171" i="132"/>
  <c r="O171" i="132"/>
  <c r="O38" i="132"/>
  <c r="N38" i="132"/>
  <c r="O53" i="132"/>
  <c r="N53" i="132"/>
  <c r="O72" i="132"/>
  <c r="N72" i="132"/>
  <c r="M82" i="132"/>
  <c r="O123" i="132"/>
  <c r="N123" i="132"/>
  <c r="O128" i="132"/>
  <c r="N128" i="132"/>
  <c r="N176" i="132"/>
  <c r="O176" i="132"/>
  <c r="F12" i="132"/>
  <c r="G29" i="132"/>
  <c r="N154" i="132"/>
  <c r="N186" i="132"/>
  <c r="O191" i="132"/>
  <c r="N191" i="132"/>
  <c r="F46" i="133"/>
  <c r="C58" i="133"/>
  <c r="O52" i="133"/>
  <c r="N52" i="133"/>
  <c r="C109" i="133"/>
  <c r="F97" i="133"/>
  <c r="C97" i="133"/>
  <c r="K37" i="134"/>
  <c r="J37" i="134"/>
  <c r="J134" i="132"/>
  <c r="K134" i="132" s="1"/>
  <c r="M134" i="132" s="1"/>
  <c r="G140" i="132"/>
  <c r="G141" i="132"/>
  <c r="O192" i="132"/>
  <c r="N192" i="132"/>
  <c r="O22" i="133"/>
  <c r="N22" i="133"/>
  <c r="O27" i="133"/>
  <c r="N27" i="133"/>
  <c r="O40" i="133"/>
  <c r="N40" i="133"/>
  <c r="O67" i="133"/>
  <c r="N67" i="133"/>
  <c r="O72" i="133"/>
  <c r="N72" i="133"/>
  <c r="O128" i="133"/>
  <c r="N128" i="133"/>
  <c r="O139" i="133"/>
  <c r="N139" i="133"/>
  <c r="C58" i="132"/>
  <c r="O118" i="132"/>
  <c r="O34" i="133"/>
  <c r="N34" i="133"/>
  <c r="O38" i="133"/>
  <c r="N38" i="133"/>
  <c r="O68" i="133"/>
  <c r="N68" i="133"/>
  <c r="N77" i="133"/>
  <c r="O77" i="133"/>
  <c r="O129" i="133"/>
  <c r="N129" i="133"/>
  <c r="N179" i="133"/>
  <c r="O179" i="133"/>
  <c r="J29" i="134"/>
  <c r="K29" i="134"/>
  <c r="C41" i="132"/>
  <c r="J91" i="132"/>
  <c r="G106" i="132"/>
  <c r="F126" i="132"/>
  <c r="F141" i="132"/>
  <c r="O187" i="132"/>
  <c r="E22" i="133"/>
  <c r="I25" i="133"/>
  <c r="F22" i="133"/>
  <c r="O16" i="133"/>
  <c r="O20" i="133"/>
  <c r="J31" i="133"/>
  <c r="K31" i="133" s="1"/>
  <c r="J32" i="133"/>
  <c r="K32" i="133" s="1"/>
  <c r="M32" i="133" s="1"/>
  <c r="O126" i="133"/>
  <c r="N126" i="133"/>
  <c r="N170" i="133"/>
  <c r="O170" i="133"/>
  <c r="K51" i="134"/>
  <c r="J51" i="134"/>
  <c r="I72" i="134"/>
  <c r="G70" i="134"/>
  <c r="H70" i="134" s="1"/>
  <c r="G74" i="132"/>
  <c r="J75" i="132"/>
  <c r="K75" i="132" s="1"/>
  <c r="M75" i="132" s="1"/>
  <c r="I78" i="132"/>
  <c r="J78" i="132" s="1"/>
  <c r="K78" i="132" s="1"/>
  <c r="M78" i="132" s="1"/>
  <c r="N88" i="132"/>
  <c r="K91" i="132"/>
  <c r="M91" i="132" s="1"/>
  <c r="J160" i="132"/>
  <c r="K160" i="132" s="1"/>
  <c r="M160" i="132" s="1"/>
  <c r="J178" i="132"/>
  <c r="K178" i="132" s="1"/>
  <c r="M178" i="132" s="1"/>
  <c r="I179" i="132"/>
  <c r="J179" i="132" s="1"/>
  <c r="K179" i="132" s="1"/>
  <c r="M179" i="132" s="1"/>
  <c r="I180" i="132"/>
  <c r="C12" i="133"/>
  <c r="C24" i="133"/>
  <c r="N44" i="133"/>
  <c r="O44" i="133"/>
  <c r="N54" i="133"/>
  <c r="C124" i="133"/>
  <c r="G114" i="133"/>
  <c r="N121" i="133"/>
  <c r="O121" i="133"/>
  <c r="K17" i="134"/>
  <c r="J17" i="134"/>
  <c r="C24" i="132"/>
  <c r="C63" i="132"/>
  <c r="I129" i="132"/>
  <c r="J129" i="132" s="1"/>
  <c r="K129" i="132" s="1"/>
  <c r="M129" i="132" s="1"/>
  <c r="J141" i="132"/>
  <c r="K141" i="132" s="1"/>
  <c r="G148" i="132"/>
  <c r="O194" i="132"/>
  <c r="N194" i="132"/>
  <c r="O17" i="133"/>
  <c r="O69" i="133"/>
  <c r="N69" i="133"/>
  <c r="N89" i="133"/>
  <c r="O89" i="133"/>
  <c r="C46" i="132"/>
  <c r="G57" i="132"/>
  <c r="G73" i="132"/>
  <c r="J74" i="132"/>
  <c r="K74" i="132" s="1"/>
  <c r="M74" i="132" s="1"/>
  <c r="C109" i="132"/>
  <c r="J110" i="132"/>
  <c r="F114" i="132"/>
  <c r="G125" i="132"/>
  <c r="J167" i="132"/>
  <c r="K167" i="132" s="1"/>
  <c r="K25" i="133"/>
  <c r="M25" i="133" s="1"/>
  <c r="C41" i="133"/>
  <c r="F29" i="133"/>
  <c r="K43" i="133"/>
  <c r="M43" i="133" s="1"/>
  <c r="O78" i="133"/>
  <c r="O84" i="133"/>
  <c r="N84" i="133"/>
  <c r="K111" i="133"/>
  <c r="M111" i="133" s="1"/>
  <c r="K46" i="134"/>
  <c r="J46" i="134"/>
  <c r="O32" i="135"/>
  <c r="N32" i="135"/>
  <c r="G124" i="132"/>
  <c r="J146" i="132"/>
  <c r="K146" i="132" s="1"/>
  <c r="M146" i="132" s="1"/>
  <c r="J158" i="132"/>
  <c r="K158" i="132" s="1"/>
  <c r="O177" i="132"/>
  <c r="N177" i="132"/>
  <c r="N184" i="132"/>
  <c r="O184" i="132"/>
  <c r="O195" i="132"/>
  <c r="N195" i="132"/>
  <c r="N70" i="133"/>
  <c r="O70" i="133"/>
  <c r="O102" i="133"/>
  <c r="N102" i="133"/>
  <c r="N117" i="133"/>
  <c r="O117" i="133"/>
  <c r="O153" i="133"/>
  <c r="N153" i="133"/>
  <c r="M184" i="133"/>
  <c r="K182" i="133"/>
  <c r="J20" i="134"/>
  <c r="K20" i="134"/>
  <c r="J57" i="132"/>
  <c r="K57" i="132" s="1"/>
  <c r="M57" i="132" s="1"/>
  <c r="G72" i="132"/>
  <c r="J73" i="132"/>
  <c r="K73" i="132" s="1"/>
  <c r="M73" i="132" s="1"/>
  <c r="N84" i="132"/>
  <c r="J116" i="132"/>
  <c r="K116" i="132" s="1"/>
  <c r="K125" i="132"/>
  <c r="M125" i="132" s="1"/>
  <c r="N137" i="132"/>
  <c r="D143" i="132"/>
  <c r="N172" i="132"/>
  <c r="N174" i="132"/>
  <c r="J180" i="132"/>
  <c r="K180" i="132" s="1"/>
  <c r="M180" i="132" s="1"/>
  <c r="O189" i="132"/>
  <c r="N189" i="132"/>
  <c r="O21" i="133"/>
  <c r="O51" i="133"/>
  <c r="N51" i="133"/>
  <c r="O55" i="133"/>
  <c r="N55" i="133"/>
  <c r="K32" i="134"/>
  <c r="J32" i="134"/>
  <c r="C107" i="132"/>
  <c r="E143" i="132"/>
  <c r="C46" i="133"/>
  <c r="O92" i="133"/>
  <c r="N92" i="133"/>
  <c r="O103" i="133"/>
  <c r="N103" i="133"/>
  <c r="O118" i="133"/>
  <c r="N118" i="133"/>
  <c r="C141" i="133"/>
  <c r="J133" i="133"/>
  <c r="K133" i="133" s="1"/>
  <c r="G131" i="133"/>
  <c r="K27" i="134"/>
  <c r="J27" i="134"/>
  <c r="J142" i="132"/>
  <c r="K142" i="132" s="1"/>
  <c r="M142" i="132" s="1"/>
  <c r="G158" i="132"/>
  <c r="K26" i="133"/>
  <c r="M26" i="133" s="1"/>
  <c r="N37" i="133"/>
  <c r="O37" i="133"/>
  <c r="O71" i="133"/>
  <c r="N71" i="133"/>
  <c r="O90" i="133"/>
  <c r="N90" i="133"/>
  <c r="O123" i="133"/>
  <c r="N123" i="133"/>
  <c r="N138" i="133"/>
  <c r="O138" i="133"/>
  <c r="C177" i="133"/>
  <c r="F165" i="133"/>
  <c r="C165" i="133"/>
  <c r="N192" i="133"/>
  <c r="O192" i="133"/>
  <c r="K93" i="132"/>
  <c r="M93" i="132" s="1"/>
  <c r="O60" i="133"/>
  <c r="N60" i="133"/>
  <c r="N87" i="133"/>
  <c r="O87" i="133"/>
  <c r="O162" i="133"/>
  <c r="N162" i="133"/>
  <c r="K62" i="134"/>
  <c r="J62" i="134"/>
  <c r="J68" i="134"/>
  <c r="K68" i="134"/>
  <c r="K77" i="134"/>
  <c r="J77" i="134"/>
  <c r="J75" i="133"/>
  <c r="K75" i="133" s="1"/>
  <c r="M75" i="133" s="1"/>
  <c r="D75" i="133"/>
  <c r="O85" i="133"/>
  <c r="N106" i="133"/>
  <c r="O137" i="133"/>
  <c r="O169" i="133"/>
  <c r="N169" i="133"/>
  <c r="O183" i="133"/>
  <c r="N183" i="133"/>
  <c r="N189" i="133"/>
  <c r="J36" i="134"/>
  <c r="K36" i="134"/>
  <c r="K76" i="134"/>
  <c r="J76" i="134"/>
  <c r="J82" i="134"/>
  <c r="N24" i="135"/>
  <c r="O24" i="135"/>
  <c r="J161" i="132"/>
  <c r="K161" i="132" s="1"/>
  <c r="M161" i="132" s="1"/>
  <c r="K23" i="133"/>
  <c r="M23" i="133" s="1"/>
  <c r="F63" i="133"/>
  <c r="C63" i="133"/>
  <c r="F75" i="133"/>
  <c r="I93" i="133"/>
  <c r="I95" i="133"/>
  <c r="J95" i="133" s="1"/>
  <c r="K95" i="133" s="1"/>
  <c r="M95" i="133" s="1"/>
  <c r="N134" i="133"/>
  <c r="O134" i="133"/>
  <c r="K176" i="133"/>
  <c r="M176" i="133" s="1"/>
  <c r="G176" i="133"/>
  <c r="O190" i="133"/>
  <c r="N190" i="133"/>
  <c r="K92" i="134"/>
  <c r="J92" i="134"/>
  <c r="J100" i="134"/>
  <c r="K100" i="134"/>
  <c r="N17" i="135"/>
  <c r="M12" i="135"/>
  <c r="O17" i="135"/>
  <c r="O27" i="136"/>
  <c r="N27" i="136"/>
  <c r="O32" i="136"/>
  <c r="N32" i="136"/>
  <c r="O185" i="133"/>
  <c r="N185" i="133"/>
  <c r="J18" i="134"/>
  <c r="K18" i="134"/>
  <c r="J38" i="134"/>
  <c r="K38" i="134"/>
  <c r="K63" i="134"/>
  <c r="J63" i="134"/>
  <c r="N152" i="137"/>
  <c r="O152" i="137"/>
  <c r="O172" i="137"/>
  <c r="N172" i="137"/>
  <c r="F177" i="132"/>
  <c r="E177" i="132"/>
  <c r="O86" i="133"/>
  <c r="J146" i="133"/>
  <c r="K146" i="133" s="1"/>
  <c r="M146" i="133" s="1"/>
  <c r="K19" i="134"/>
  <c r="J19" i="134"/>
  <c r="J78" i="134"/>
  <c r="K78" i="134"/>
  <c r="J93" i="134"/>
  <c r="K93" i="134"/>
  <c r="N122" i="137"/>
  <c r="O122" i="137"/>
  <c r="O125" i="137"/>
  <c r="N125" i="137"/>
  <c r="G108" i="133"/>
  <c r="K108" i="133"/>
  <c r="M108" i="133" s="1"/>
  <c r="N152" i="133"/>
  <c r="O152" i="133"/>
  <c r="O38" i="135"/>
  <c r="N38" i="135"/>
  <c r="M37" i="135"/>
  <c r="G80" i="133"/>
  <c r="J116" i="133"/>
  <c r="K116" i="133" s="1"/>
  <c r="O171" i="133"/>
  <c r="N171" i="133"/>
  <c r="O193" i="133"/>
  <c r="N193" i="133"/>
  <c r="K40" i="134"/>
  <c r="J40" i="134"/>
  <c r="K45" i="134"/>
  <c r="J45" i="134"/>
  <c r="J80" i="134"/>
  <c r="K80" i="134"/>
  <c r="O77" i="137"/>
  <c r="N77" i="137"/>
  <c r="O88" i="137"/>
  <c r="N88" i="137"/>
  <c r="J59" i="134"/>
  <c r="K59" i="134"/>
  <c r="K88" i="134"/>
  <c r="J88" i="134"/>
  <c r="O24" i="136"/>
  <c r="N24" i="136"/>
  <c r="O78" i="137"/>
  <c r="N78" i="137"/>
  <c r="G91" i="133"/>
  <c r="K91" i="133"/>
  <c r="M91" i="133" s="1"/>
  <c r="I94" i="133"/>
  <c r="J94" i="133" s="1"/>
  <c r="K94" i="133" s="1"/>
  <c r="M94" i="133" s="1"/>
  <c r="N142" i="133"/>
  <c r="K22" i="134"/>
  <c r="J22" i="134"/>
  <c r="G34" i="134"/>
  <c r="H34" i="134" s="1"/>
  <c r="K60" i="134"/>
  <c r="J60" i="134"/>
  <c r="K97" i="134"/>
  <c r="K95" i="134" s="1"/>
  <c r="O40" i="135"/>
  <c r="N40" i="135"/>
  <c r="I162" i="132"/>
  <c r="J162" i="132" s="1"/>
  <c r="K162" i="132" s="1"/>
  <c r="M162" i="132" s="1"/>
  <c r="E175" i="132"/>
  <c r="G12" i="133"/>
  <c r="O88" i="133"/>
  <c r="N88" i="133"/>
  <c r="J124" i="133"/>
  <c r="K124" i="133" s="1"/>
  <c r="M124" i="133" s="1"/>
  <c r="G123" i="133"/>
  <c r="G124" i="133"/>
  <c r="K159" i="133"/>
  <c r="M159" i="133" s="1"/>
  <c r="K47" i="134"/>
  <c r="J47" i="134"/>
  <c r="O30" i="135"/>
  <c r="N30" i="135"/>
  <c r="O120" i="133"/>
  <c r="N120" i="133"/>
  <c r="J160" i="133"/>
  <c r="K160" i="133" s="1"/>
  <c r="M160" i="133" s="1"/>
  <c r="D160" i="133"/>
  <c r="O157" i="133"/>
  <c r="N157" i="133"/>
  <c r="O172" i="133"/>
  <c r="N172" i="133"/>
  <c r="K35" i="134"/>
  <c r="K34" i="134" s="1"/>
  <c r="J35" i="134"/>
  <c r="I34" i="134"/>
  <c r="J49" i="134"/>
  <c r="K49" i="134"/>
  <c r="J67" i="134"/>
  <c r="K67" i="134"/>
  <c r="K75" i="134"/>
  <c r="J75" i="134"/>
  <c r="O23" i="135"/>
  <c r="N23" i="135"/>
  <c r="O40" i="136"/>
  <c r="N40" i="136"/>
  <c r="O45" i="136"/>
  <c r="N45" i="136"/>
  <c r="O22" i="137"/>
  <c r="N22" i="137"/>
  <c r="N53" i="137"/>
  <c r="O53" i="137"/>
  <c r="I180" i="133"/>
  <c r="J178" i="133"/>
  <c r="K55" i="134"/>
  <c r="J58" i="134"/>
  <c r="J66" i="134"/>
  <c r="J71" i="134"/>
  <c r="J86" i="134"/>
  <c r="O29" i="135"/>
  <c r="N49" i="137"/>
  <c r="O49" i="137"/>
  <c r="N94" i="138"/>
  <c r="O94" i="138"/>
  <c r="C148" i="133"/>
  <c r="G13" i="134"/>
  <c r="O15" i="136"/>
  <c r="N15" i="136"/>
  <c r="F29" i="137"/>
  <c r="C29" i="137"/>
  <c r="C41" i="137"/>
  <c r="O72" i="137"/>
  <c r="N72" i="137"/>
  <c r="O125" i="133"/>
  <c r="J175" i="133"/>
  <c r="G174" i="133"/>
  <c r="I14" i="134"/>
  <c r="K21" i="134"/>
  <c r="K25" i="134"/>
  <c r="J56" i="134"/>
  <c r="J98" i="134"/>
  <c r="N25" i="135"/>
  <c r="O25" i="135"/>
  <c r="O39" i="135"/>
  <c r="N39" i="135"/>
  <c r="O21" i="136"/>
  <c r="N21" i="136"/>
  <c r="O26" i="136"/>
  <c r="N26" i="136"/>
  <c r="O19" i="137"/>
  <c r="N19" i="137"/>
  <c r="O123" i="137"/>
  <c r="N123" i="137"/>
  <c r="J177" i="137"/>
  <c r="K177" i="137" s="1"/>
  <c r="M177" i="137" s="1"/>
  <c r="E177" i="137"/>
  <c r="D177" i="137"/>
  <c r="F177" i="137"/>
  <c r="M133" i="137"/>
  <c r="J73" i="133"/>
  <c r="G72" i="133"/>
  <c r="F148" i="133"/>
  <c r="C158" i="133" s="1"/>
  <c r="K158" i="133" s="1"/>
  <c r="M158" i="133" s="1"/>
  <c r="G95" i="134"/>
  <c r="H95" i="134" s="1"/>
  <c r="N20" i="135"/>
  <c r="O20" i="135"/>
  <c r="O33" i="136"/>
  <c r="N33" i="136"/>
  <c r="N55" i="137"/>
  <c r="O55" i="137"/>
  <c r="O66" i="137"/>
  <c r="N66" i="137"/>
  <c r="O117" i="137"/>
  <c r="N117" i="137"/>
  <c r="O174" i="137"/>
  <c r="N174" i="137"/>
  <c r="J180" i="133"/>
  <c r="K180" i="133" s="1"/>
  <c r="M180" i="133" s="1"/>
  <c r="K89" i="134"/>
  <c r="J89" i="134"/>
  <c r="I95" i="134"/>
  <c r="O17" i="136"/>
  <c r="N17" i="136"/>
  <c r="O28" i="136"/>
  <c r="N28" i="136"/>
  <c r="N42" i="136"/>
  <c r="O42" i="136"/>
  <c r="O36" i="136" s="1"/>
  <c r="N23" i="137"/>
  <c r="O23" i="137"/>
  <c r="O26" i="137"/>
  <c r="N26" i="137"/>
  <c r="N51" i="137"/>
  <c r="O51" i="137"/>
  <c r="K79" i="134"/>
  <c r="J79" i="134"/>
  <c r="N27" i="135"/>
  <c r="O27" i="135"/>
  <c r="K36" i="136"/>
  <c r="L36" i="136" s="1"/>
  <c r="M37" i="136"/>
  <c r="O92" i="137"/>
  <c r="N92" i="137"/>
  <c r="O108" i="137"/>
  <c r="N108" i="137"/>
  <c r="O120" i="137"/>
  <c r="N120" i="137"/>
  <c r="N138" i="137"/>
  <c r="O138" i="137"/>
  <c r="N187" i="133"/>
  <c r="J31" i="134"/>
  <c r="J44" i="134"/>
  <c r="J57" i="134"/>
  <c r="K65" i="134"/>
  <c r="G84" i="134"/>
  <c r="H84" i="134" s="1"/>
  <c r="I85" i="134"/>
  <c r="J90" i="134"/>
  <c r="J96" i="134"/>
  <c r="N21" i="135"/>
  <c r="O33" i="135"/>
  <c r="O47" i="135"/>
  <c r="O43" i="136"/>
  <c r="N43" i="136"/>
  <c r="O21" i="137"/>
  <c r="N21" i="137"/>
  <c r="F73" i="137"/>
  <c r="E73" i="137"/>
  <c r="I76" i="137"/>
  <c r="J82" i="133"/>
  <c r="K82" i="133" s="1"/>
  <c r="G140" i="133"/>
  <c r="J23" i="134"/>
  <c r="O48" i="135"/>
  <c r="N48" i="135"/>
  <c r="O70" i="137"/>
  <c r="N70" i="137"/>
  <c r="K91" i="137"/>
  <c r="M91" i="137" s="1"/>
  <c r="J91" i="137"/>
  <c r="G91" i="137"/>
  <c r="K52" i="134"/>
  <c r="J52" i="134"/>
  <c r="K101" i="134"/>
  <c r="J101" i="134"/>
  <c r="O42" i="135"/>
  <c r="N42" i="135"/>
  <c r="O17" i="137"/>
  <c r="N17" i="137"/>
  <c r="O27" i="137"/>
  <c r="N27" i="137"/>
  <c r="K12" i="135"/>
  <c r="K9" i="135" s="1"/>
  <c r="O31" i="135"/>
  <c r="N46" i="135"/>
  <c r="N16" i="136"/>
  <c r="N23" i="136"/>
  <c r="I44" i="137"/>
  <c r="J44" i="137" s="1"/>
  <c r="K44" i="137" s="1"/>
  <c r="M44" i="137" s="1"/>
  <c r="J42" i="137"/>
  <c r="I43" i="137"/>
  <c r="J43" i="137" s="1"/>
  <c r="K43" i="137" s="1"/>
  <c r="M43" i="137" s="1"/>
  <c r="J57" i="137"/>
  <c r="K57" i="137" s="1"/>
  <c r="M57" i="137" s="1"/>
  <c r="G57" i="137"/>
  <c r="O84" i="137"/>
  <c r="N84" i="137"/>
  <c r="I144" i="137"/>
  <c r="E141" i="137"/>
  <c r="O186" i="137"/>
  <c r="N186" i="137"/>
  <c r="O194" i="137"/>
  <c r="N194" i="137"/>
  <c r="O35" i="138"/>
  <c r="N35" i="138"/>
  <c r="J14" i="137"/>
  <c r="K14" i="137" s="1"/>
  <c r="J15" i="137"/>
  <c r="K15" i="137" s="1"/>
  <c r="M15" i="137" s="1"/>
  <c r="N36" i="137"/>
  <c r="N54" i="137"/>
  <c r="O121" i="137"/>
  <c r="N121" i="137"/>
  <c r="O128" i="137"/>
  <c r="O180" i="137"/>
  <c r="N180" i="137"/>
  <c r="O187" i="137"/>
  <c r="N187" i="137"/>
  <c r="O16" i="138"/>
  <c r="N16" i="138"/>
  <c r="O93" i="138"/>
  <c r="N93" i="138"/>
  <c r="O101" i="137"/>
  <c r="N101" i="137"/>
  <c r="O106" i="137"/>
  <c r="N106" i="137"/>
  <c r="N136" i="137"/>
  <c r="O136" i="137"/>
  <c r="O196" i="137"/>
  <c r="N196" i="137"/>
  <c r="I76" i="138"/>
  <c r="F73" i="138"/>
  <c r="E73" i="138"/>
  <c r="O71" i="138"/>
  <c r="N71" i="138"/>
  <c r="O86" i="138"/>
  <c r="N86" i="138"/>
  <c r="N67" i="137"/>
  <c r="O85" i="137"/>
  <c r="N118" i="137"/>
  <c r="C158" i="137"/>
  <c r="K161" i="137" s="1"/>
  <c r="M161" i="137" s="1"/>
  <c r="G148" i="137"/>
  <c r="K182" i="137"/>
  <c r="L182" i="137" s="1"/>
  <c r="M183" i="137"/>
  <c r="O188" i="137"/>
  <c r="N188" i="137"/>
  <c r="O17" i="138"/>
  <c r="N17" i="138"/>
  <c r="C39" i="138"/>
  <c r="G29" i="138"/>
  <c r="O37" i="138"/>
  <c r="N37" i="138"/>
  <c r="L12" i="136"/>
  <c r="K12" i="136"/>
  <c r="K9" i="136" s="1"/>
  <c r="F22" i="137"/>
  <c r="E22" i="137"/>
  <c r="K25" i="137"/>
  <c r="M25" i="137" s="1"/>
  <c r="O33" i="137"/>
  <c r="N33" i="137"/>
  <c r="O37" i="137"/>
  <c r="N37" i="137"/>
  <c r="O71" i="137"/>
  <c r="K74" i="137"/>
  <c r="M74" i="137" s="1"/>
  <c r="K90" i="137"/>
  <c r="M90" i="137" s="1"/>
  <c r="G97" i="137"/>
  <c r="O102" i="137"/>
  <c r="N102" i="137"/>
  <c r="J107" i="137"/>
  <c r="K107" i="137" s="1"/>
  <c r="M107" i="137" s="1"/>
  <c r="G106" i="137"/>
  <c r="G107" i="137"/>
  <c r="C148" i="137"/>
  <c r="C160" i="137"/>
  <c r="C29" i="138"/>
  <c r="C41" i="138"/>
  <c r="O44" i="135"/>
  <c r="M14" i="136"/>
  <c r="E90" i="137"/>
  <c r="I127" i="137"/>
  <c r="K127" i="137"/>
  <c r="M127" i="137" s="1"/>
  <c r="F124" i="137"/>
  <c r="O155" i="137"/>
  <c r="N155" i="137"/>
  <c r="O190" i="137"/>
  <c r="N190" i="137"/>
  <c r="O18" i="138"/>
  <c r="N18" i="138"/>
  <c r="N57" i="138"/>
  <c r="O57" i="138"/>
  <c r="N67" i="138"/>
  <c r="O67" i="138"/>
  <c r="O100" i="138"/>
  <c r="N100" i="138"/>
  <c r="O127" i="138"/>
  <c r="N127" i="138"/>
  <c r="O52" i="137"/>
  <c r="N52" i="137"/>
  <c r="O60" i="137"/>
  <c r="N60" i="137"/>
  <c r="O86" i="137"/>
  <c r="N86" i="137"/>
  <c r="C109" i="137"/>
  <c r="F97" i="137"/>
  <c r="C107" i="137" s="1"/>
  <c r="C97" i="137"/>
  <c r="K111" i="137"/>
  <c r="M111" i="137" s="1"/>
  <c r="O119" i="137"/>
  <c r="N119" i="137"/>
  <c r="O142" i="137"/>
  <c r="N142" i="137"/>
  <c r="O169" i="137"/>
  <c r="N169" i="137"/>
  <c r="J39" i="138"/>
  <c r="K39" i="138" s="1"/>
  <c r="M39" i="138" s="1"/>
  <c r="G38" i="138"/>
  <c r="G39" i="138"/>
  <c r="O44" i="138"/>
  <c r="N44" i="138"/>
  <c r="N68" i="138"/>
  <c r="O68" i="138"/>
  <c r="O138" i="138"/>
  <c r="N138" i="138"/>
  <c r="O18" i="136"/>
  <c r="N18" i="136"/>
  <c r="O34" i="137"/>
  <c r="N34" i="137"/>
  <c r="J61" i="137"/>
  <c r="K61" i="137" s="1"/>
  <c r="M61" i="137" s="1"/>
  <c r="K76" i="137"/>
  <c r="M76" i="137" s="1"/>
  <c r="I94" i="137"/>
  <c r="J94" i="137" s="1"/>
  <c r="K94" i="137" s="1"/>
  <c r="M94" i="137" s="1"/>
  <c r="J93" i="137"/>
  <c r="K93" i="137" s="1"/>
  <c r="M93" i="137" s="1"/>
  <c r="O103" i="137"/>
  <c r="N103" i="137"/>
  <c r="O163" i="137"/>
  <c r="N163" i="137"/>
  <c r="O35" i="137"/>
  <c r="N35" i="137"/>
  <c r="O50" i="137"/>
  <c r="N50" i="137"/>
  <c r="O104" i="137"/>
  <c r="N104" i="137"/>
  <c r="J116" i="137"/>
  <c r="K116" i="137" s="1"/>
  <c r="K124" i="137"/>
  <c r="M124" i="137" s="1"/>
  <c r="J124" i="137"/>
  <c r="G123" i="137"/>
  <c r="O192" i="137"/>
  <c r="N192" i="137"/>
  <c r="O23" i="138"/>
  <c r="N23" i="138"/>
  <c r="H12" i="135"/>
  <c r="O15" i="135"/>
  <c r="O12" i="135" s="1"/>
  <c r="O34" i="135"/>
  <c r="O20" i="137"/>
  <c r="N20" i="137"/>
  <c r="E56" i="137"/>
  <c r="I59" i="137"/>
  <c r="J75" i="137"/>
  <c r="K75" i="137" s="1"/>
  <c r="M75" i="137" s="1"/>
  <c r="F75" i="137"/>
  <c r="D75" i="137"/>
  <c r="G80" i="137"/>
  <c r="J95" i="137"/>
  <c r="K95" i="137" s="1"/>
  <c r="M95" i="137" s="1"/>
  <c r="E124" i="137"/>
  <c r="E126" i="137"/>
  <c r="J126" i="137"/>
  <c r="K126" i="137" s="1"/>
  <c r="M126" i="137" s="1"/>
  <c r="F126" i="137"/>
  <c r="D126" i="137"/>
  <c r="G131" i="137"/>
  <c r="O153" i="137"/>
  <c r="N153" i="137"/>
  <c r="O170" i="137"/>
  <c r="N170" i="137"/>
  <c r="O193" i="137"/>
  <c r="N193" i="137"/>
  <c r="O20" i="138"/>
  <c r="N20" i="138"/>
  <c r="O30" i="136"/>
  <c r="N30" i="136"/>
  <c r="O46" i="136"/>
  <c r="N46" i="136"/>
  <c r="K141" i="137"/>
  <c r="M141" i="137" s="1"/>
  <c r="N146" i="137"/>
  <c r="O146" i="137"/>
  <c r="O157" i="137"/>
  <c r="N157" i="137"/>
  <c r="I26" i="138"/>
  <c r="J26" i="138" s="1"/>
  <c r="K26" i="138" s="1"/>
  <c r="M26" i="138" s="1"/>
  <c r="J25" i="138"/>
  <c r="I27" i="138"/>
  <c r="O54" i="138"/>
  <c r="N54" i="138"/>
  <c r="I60" i="138"/>
  <c r="J60" i="138" s="1"/>
  <c r="K60" i="138" s="1"/>
  <c r="M60" i="138" s="1"/>
  <c r="I61" i="138"/>
  <c r="J59" i="138"/>
  <c r="O90" i="138"/>
  <c r="N90" i="138"/>
  <c r="N168" i="138"/>
  <c r="O168" i="138"/>
  <c r="I15" i="139"/>
  <c r="K27" i="139"/>
  <c r="J27" i="139"/>
  <c r="C58" i="137"/>
  <c r="O156" i="137"/>
  <c r="N156" i="137"/>
  <c r="E90" i="138"/>
  <c r="F90" i="138"/>
  <c r="O103" i="138"/>
  <c r="N103" i="138"/>
  <c r="E107" i="138"/>
  <c r="I110" i="138"/>
  <c r="F107" i="138"/>
  <c r="O122" i="138"/>
  <c r="K76" i="138"/>
  <c r="M76" i="138" s="1"/>
  <c r="J107" i="138"/>
  <c r="K107" i="138"/>
  <c r="M107" i="138" s="1"/>
  <c r="G106" i="138"/>
  <c r="G107" i="138"/>
  <c r="O136" i="138"/>
  <c r="N136" i="138"/>
  <c r="J82" i="137"/>
  <c r="K82" i="137" s="1"/>
  <c r="N118" i="138"/>
  <c r="O145" i="138"/>
  <c r="N145" i="138"/>
  <c r="N152" i="138"/>
  <c r="N155" i="138"/>
  <c r="O160" i="138"/>
  <c r="N160" i="138"/>
  <c r="O170" i="138"/>
  <c r="N170" i="138"/>
  <c r="N188" i="138"/>
  <c r="C24" i="137"/>
  <c r="J59" i="137"/>
  <c r="K59" i="137" s="1"/>
  <c r="M59" i="137" s="1"/>
  <c r="J65" i="137"/>
  <c r="K65" i="137" s="1"/>
  <c r="G74" i="137"/>
  <c r="G90" i="137"/>
  <c r="K162" i="137"/>
  <c r="M162" i="137" s="1"/>
  <c r="F165" i="137"/>
  <c r="C165" i="137"/>
  <c r="O173" i="137"/>
  <c r="N173" i="137"/>
  <c r="C24" i="138"/>
  <c r="C12" i="138"/>
  <c r="F12" i="138"/>
  <c r="J22" i="138"/>
  <c r="G21" i="138"/>
  <c r="G22" i="138"/>
  <c r="O36" i="138"/>
  <c r="O50" i="138"/>
  <c r="N50" i="138"/>
  <c r="G63" i="138"/>
  <c r="O72" i="138"/>
  <c r="N87" i="138"/>
  <c r="O87" i="138"/>
  <c r="J141" i="138"/>
  <c r="G140" i="138"/>
  <c r="K141" i="138"/>
  <c r="M141" i="138" s="1"/>
  <c r="N156" i="138"/>
  <c r="O156" i="138"/>
  <c r="K60" i="139"/>
  <c r="J60" i="139"/>
  <c r="K82" i="139"/>
  <c r="J82" i="139"/>
  <c r="K92" i="139"/>
  <c r="J92" i="139"/>
  <c r="J48" i="137"/>
  <c r="K48" i="137" s="1"/>
  <c r="I112" i="137"/>
  <c r="J112" i="137" s="1"/>
  <c r="K112" i="137" s="1"/>
  <c r="M112" i="137" s="1"/>
  <c r="O189" i="137"/>
  <c r="N189" i="137"/>
  <c r="O195" i="137"/>
  <c r="N195" i="137"/>
  <c r="J27" i="138"/>
  <c r="K27" i="138" s="1"/>
  <c r="M27" i="138" s="1"/>
  <c r="C63" i="138"/>
  <c r="C75" i="138"/>
  <c r="O69" i="138"/>
  <c r="N69" i="138"/>
  <c r="I93" i="138"/>
  <c r="M99" i="138"/>
  <c r="K182" i="138"/>
  <c r="M183" i="138"/>
  <c r="K77" i="139"/>
  <c r="J77" i="139"/>
  <c r="I85" i="139"/>
  <c r="G84" i="139"/>
  <c r="H84" i="139" s="1"/>
  <c r="J73" i="138"/>
  <c r="K73" i="138" s="1"/>
  <c r="M73" i="138" s="1"/>
  <c r="G72" i="138"/>
  <c r="G73" i="138"/>
  <c r="M167" i="138"/>
  <c r="J46" i="139"/>
  <c r="K46" i="139"/>
  <c r="J51" i="139"/>
  <c r="K51" i="139"/>
  <c r="K55" i="139"/>
  <c r="J55" i="139"/>
  <c r="G56" i="137"/>
  <c r="G72" i="137"/>
  <c r="J150" i="138"/>
  <c r="K150" i="138" s="1"/>
  <c r="J151" i="138"/>
  <c r="K151" i="138" s="1"/>
  <c r="M151" i="138" s="1"/>
  <c r="K19" i="139"/>
  <c r="J19" i="139"/>
  <c r="G23" i="137"/>
  <c r="G39" i="137"/>
  <c r="J40" i="137"/>
  <c r="K40" i="137" s="1"/>
  <c r="M40" i="137" s="1"/>
  <c r="G55" i="137"/>
  <c r="J73" i="137"/>
  <c r="K73" i="137" s="1"/>
  <c r="M73" i="137" s="1"/>
  <c r="F143" i="137"/>
  <c r="E143" i="137"/>
  <c r="J144" i="137"/>
  <c r="K144" i="137" s="1"/>
  <c r="M144" i="137" s="1"/>
  <c r="I145" i="137"/>
  <c r="J145" i="137" s="1"/>
  <c r="K145" i="137" s="1"/>
  <c r="M145" i="137" s="1"/>
  <c r="O33" i="138"/>
  <c r="N33" i="138"/>
  <c r="O40" i="138"/>
  <c r="N40" i="138"/>
  <c r="N74" i="138"/>
  <c r="O74" i="138"/>
  <c r="O105" i="138"/>
  <c r="N105" i="138"/>
  <c r="N108" i="138"/>
  <c r="O108" i="138"/>
  <c r="I127" i="138"/>
  <c r="E124" i="138"/>
  <c r="F124" i="138"/>
  <c r="O120" i="138"/>
  <c r="N120" i="138"/>
  <c r="E126" i="138"/>
  <c r="D126" i="138"/>
  <c r="J126" i="138"/>
  <c r="K126" i="138" s="1"/>
  <c r="M126" i="138" s="1"/>
  <c r="F126" i="138"/>
  <c r="J129" i="138"/>
  <c r="K129" i="138" s="1"/>
  <c r="M129" i="138" s="1"/>
  <c r="G34" i="139"/>
  <c r="H34" i="139" s="1"/>
  <c r="I35" i="139"/>
  <c r="K47" i="139"/>
  <c r="J47" i="139"/>
  <c r="J52" i="139"/>
  <c r="K52" i="139"/>
  <c r="G38" i="137"/>
  <c r="J56" i="137"/>
  <c r="K56" i="137" s="1"/>
  <c r="M56" i="137" s="1"/>
  <c r="J143" i="137"/>
  <c r="K143" i="137" s="1"/>
  <c r="M143" i="137" s="1"/>
  <c r="O171" i="137"/>
  <c r="N171" i="137"/>
  <c r="N38" i="138"/>
  <c r="O38" i="138"/>
  <c r="C58" i="138"/>
  <c r="C46" i="138"/>
  <c r="F46" i="138"/>
  <c r="O52" i="138"/>
  <c r="N52" i="138"/>
  <c r="J56" i="138"/>
  <c r="G55" i="138"/>
  <c r="G56" i="138"/>
  <c r="J61" i="138"/>
  <c r="K61" i="138" s="1"/>
  <c r="M61" i="138" s="1"/>
  <c r="O84" i="138"/>
  <c r="N84" i="138"/>
  <c r="N89" i="138"/>
  <c r="O89" i="138"/>
  <c r="J92" i="138"/>
  <c r="K92" i="138" s="1"/>
  <c r="M92" i="138" s="1"/>
  <c r="D92" i="138"/>
  <c r="O111" i="138"/>
  <c r="N111" i="138"/>
  <c r="O121" i="138"/>
  <c r="N121" i="138"/>
  <c r="N139" i="138"/>
  <c r="O139" i="138"/>
  <c r="O159" i="138"/>
  <c r="N159" i="138"/>
  <c r="K40" i="139"/>
  <c r="J40" i="139"/>
  <c r="K64" i="139"/>
  <c r="J64" i="139"/>
  <c r="G174" i="137"/>
  <c r="G175" i="137"/>
  <c r="J175" i="137"/>
  <c r="K42" i="138"/>
  <c r="M42" i="138" s="1"/>
  <c r="N85" i="138"/>
  <c r="O85" i="138"/>
  <c r="J109" i="138"/>
  <c r="K109" i="138" s="1"/>
  <c r="M109" i="138" s="1"/>
  <c r="F109" i="138"/>
  <c r="E109" i="138"/>
  <c r="D109" i="138"/>
  <c r="K110" i="138"/>
  <c r="M110" i="138" s="1"/>
  <c r="O124" i="138"/>
  <c r="N124" i="138"/>
  <c r="O144" i="138"/>
  <c r="N144" i="138"/>
  <c r="N173" i="138"/>
  <c r="O173" i="138"/>
  <c r="O186" i="138"/>
  <c r="N186" i="138"/>
  <c r="O157" i="138"/>
  <c r="N157" i="138"/>
  <c r="O192" i="138"/>
  <c r="N192" i="138"/>
  <c r="J14" i="139"/>
  <c r="K14" i="139"/>
  <c r="K59" i="139"/>
  <c r="J59" i="139"/>
  <c r="F141" i="138"/>
  <c r="E141" i="138"/>
  <c r="J91" i="139"/>
  <c r="K91" i="139"/>
  <c r="O27" i="140"/>
  <c r="N27" i="140"/>
  <c r="O40" i="140"/>
  <c r="O37" i="140" s="1"/>
  <c r="N40" i="140"/>
  <c r="I43" i="138"/>
  <c r="J43" i="138" s="1"/>
  <c r="K43" i="138" s="1"/>
  <c r="M43" i="138" s="1"/>
  <c r="J63" i="139"/>
  <c r="K63" i="139"/>
  <c r="K68" i="139"/>
  <c r="J68" i="139"/>
  <c r="K86" i="139"/>
  <c r="J86" i="139"/>
  <c r="K101" i="139"/>
  <c r="J101" i="139"/>
  <c r="O21" i="140"/>
  <c r="N21" i="140"/>
  <c r="I77" i="138"/>
  <c r="J77" i="138" s="1"/>
  <c r="K77" i="138" s="1"/>
  <c r="M77" i="138" s="1"/>
  <c r="I95" i="138"/>
  <c r="J95" i="138" s="1"/>
  <c r="K95" i="138" s="1"/>
  <c r="M95" i="138" s="1"/>
  <c r="C114" i="138"/>
  <c r="O174" i="138"/>
  <c r="N174" i="138"/>
  <c r="N184" i="138"/>
  <c r="O184" i="138"/>
  <c r="K17" i="139"/>
  <c r="J17" i="139"/>
  <c r="K29" i="139"/>
  <c r="J29" i="139"/>
  <c r="K42" i="139"/>
  <c r="J42" i="139"/>
  <c r="K78" i="139"/>
  <c r="O22" i="140"/>
  <c r="N22" i="140"/>
  <c r="C80" i="138"/>
  <c r="O153" i="138"/>
  <c r="N153" i="138"/>
  <c r="C175" i="138"/>
  <c r="G165" i="138"/>
  <c r="G174" i="138"/>
  <c r="G175" i="138"/>
  <c r="K22" i="139"/>
  <c r="J22" i="139"/>
  <c r="K30" i="139"/>
  <c r="J30" i="139"/>
  <c r="K43" i="139"/>
  <c r="J43" i="139"/>
  <c r="G70" i="139"/>
  <c r="H70" i="139" s="1"/>
  <c r="K87" i="139"/>
  <c r="K102" i="139"/>
  <c r="J102" i="139"/>
  <c r="O30" i="140"/>
  <c r="N30" i="140"/>
  <c r="O123" i="138"/>
  <c r="N123" i="138"/>
  <c r="K142" i="138"/>
  <c r="M142" i="138" s="1"/>
  <c r="G142" i="138"/>
  <c r="O190" i="138"/>
  <c r="N190" i="138"/>
  <c r="O195" i="138"/>
  <c r="N195" i="138"/>
  <c r="J18" i="139"/>
  <c r="K18" i="139"/>
  <c r="K23" i="139"/>
  <c r="J23" i="139"/>
  <c r="K72" i="139"/>
  <c r="J72" i="139"/>
  <c r="J88" i="139"/>
  <c r="K88" i="139"/>
  <c r="G95" i="139"/>
  <c r="H95" i="139" s="1"/>
  <c r="I96" i="139"/>
  <c r="K91" i="138"/>
  <c r="M91" i="138" s="1"/>
  <c r="G114" i="138"/>
  <c r="N162" i="138"/>
  <c r="C177" i="138"/>
  <c r="K179" i="138"/>
  <c r="M179" i="138" s="1"/>
  <c r="K73" i="139"/>
  <c r="J73" i="139"/>
  <c r="J112" i="138"/>
  <c r="K112" i="138" s="1"/>
  <c r="M112" i="138" s="1"/>
  <c r="K128" i="138"/>
  <c r="M128" i="138" s="1"/>
  <c r="J163" i="138"/>
  <c r="K163" i="138" s="1"/>
  <c r="M163" i="138" s="1"/>
  <c r="J180" i="138"/>
  <c r="K180" i="138" s="1"/>
  <c r="M180" i="138" s="1"/>
  <c r="K24" i="139"/>
  <c r="J24" i="139"/>
  <c r="J31" i="139"/>
  <c r="J44" i="139"/>
  <c r="O24" i="140"/>
  <c r="N24" i="140"/>
  <c r="N32" i="140"/>
  <c r="O32" i="140"/>
  <c r="J78" i="138"/>
  <c r="K78" i="138" s="1"/>
  <c r="M78" i="138" s="1"/>
  <c r="N101" i="138"/>
  <c r="I144" i="138"/>
  <c r="I146" i="138"/>
  <c r="J146" i="138" s="1"/>
  <c r="K146" i="138" s="1"/>
  <c r="M146" i="138" s="1"/>
  <c r="O172" i="138"/>
  <c r="N172" i="138"/>
  <c r="G13" i="139"/>
  <c r="K54" i="139"/>
  <c r="J54" i="139"/>
  <c r="K74" i="139"/>
  <c r="J74" i="139"/>
  <c r="K98" i="139"/>
  <c r="J98" i="139"/>
  <c r="O14" i="140"/>
  <c r="N14" i="140"/>
  <c r="K37" i="140"/>
  <c r="M38" i="140"/>
  <c r="O43" i="140"/>
  <c r="N43" i="140"/>
  <c r="N31" i="140"/>
  <c r="O18" i="141"/>
  <c r="N18" i="141"/>
  <c r="O24" i="141"/>
  <c r="N24" i="141"/>
  <c r="O30" i="141"/>
  <c r="N30" i="141"/>
  <c r="O40" i="141"/>
  <c r="N40" i="141"/>
  <c r="E143" i="138"/>
  <c r="K161" i="138"/>
  <c r="M161" i="138" s="1"/>
  <c r="J178" i="138"/>
  <c r="I180" i="138"/>
  <c r="J67" i="139"/>
  <c r="J97" i="139"/>
  <c r="N15" i="140"/>
  <c r="O26" i="140"/>
  <c r="N39" i="140"/>
  <c r="N44" i="140"/>
  <c r="O41" i="141"/>
  <c r="N41" i="141"/>
  <c r="O196" i="138"/>
  <c r="N196" i="138"/>
  <c r="O16" i="140"/>
  <c r="O45" i="140"/>
  <c r="M12" i="141"/>
  <c r="O14" i="141"/>
  <c r="O33" i="140"/>
  <c r="N33" i="140"/>
  <c r="O46" i="140"/>
  <c r="N46" i="140"/>
  <c r="O43" i="141"/>
  <c r="N43" i="141"/>
  <c r="K50" i="139"/>
  <c r="J50" i="139"/>
  <c r="O17" i="140"/>
  <c r="N17" i="140"/>
  <c r="O15" i="141"/>
  <c r="N15" i="141"/>
  <c r="O21" i="141"/>
  <c r="N21" i="141"/>
  <c r="O27" i="141"/>
  <c r="N27" i="141"/>
  <c r="N12" i="141" s="1"/>
  <c r="O33" i="141"/>
  <c r="N33" i="141"/>
  <c r="O44" i="141"/>
  <c r="N44" i="141"/>
  <c r="J53" i="139"/>
  <c r="J61" i="139"/>
  <c r="I70" i="139"/>
  <c r="K71" i="139"/>
  <c r="K75" i="139"/>
  <c r="J79" i="139"/>
  <c r="K89" i="139"/>
  <c r="J93" i="139"/>
  <c r="N34" i="140"/>
  <c r="N47" i="140"/>
  <c r="C131" i="138"/>
  <c r="J20" i="139"/>
  <c r="J71" i="139"/>
  <c r="M12" i="140"/>
  <c r="N18" i="140"/>
  <c r="O29" i="140"/>
  <c r="O16" i="141"/>
  <c r="O22" i="141"/>
  <c r="O28" i="141"/>
  <c r="K36" i="141"/>
  <c r="L36" i="141" s="1"/>
  <c r="M37" i="141"/>
  <c r="K57" i="139"/>
  <c r="J57" i="139"/>
  <c r="K90" i="139"/>
  <c r="J90" i="139"/>
  <c r="O38" i="141"/>
  <c r="N38" i="141"/>
  <c r="O46" i="141"/>
  <c r="N46" i="141"/>
  <c r="O189" i="138"/>
  <c r="N189" i="138"/>
  <c r="J25" i="139"/>
  <c r="J38" i="139"/>
  <c r="K62" i="139"/>
  <c r="J66" i="139"/>
  <c r="K76" i="139"/>
  <c r="J80" i="139"/>
  <c r="K100" i="139"/>
  <c r="L12" i="140"/>
  <c r="K12" i="140"/>
  <c r="N25" i="140"/>
  <c r="O48" i="140"/>
  <c r="O47" i="141"/>
  <c r="N47" i="141"/>
  <c r="N45" i="141"/>
  <c r="J158" i="138"/>
  <c r="K158" i="138" s="1"/>
  <c r="M158" i="138" s="1"/>
  <c r="G29" i="127"/>
  <c r="C39" i="127"/>
  <c r="O37" i="127"/>
  <c r="N37" i="127"/>
  <c r="O44" i="127"/>
  <c r="N44" i="127"/>
  <c r="O66" i="127"/>
  <c r="N66" i="127"/>
  <c r="K73" i="127"/>
  <c r="M73" i="127" s="1"/>
  <c r="O91" i="127"/>
  <c r="N91" i="127"/>
  <c r="O184" i="127"/>
  <c r="N184" i="127"/>
  <c r="N193" i="127"/>
  <c r="O193" i="127"/>
  <c r="F22" i="127"/>
  <c r="E22" i="127"/>
  <c r="I25" i="127"/>
  <c r="O19" i="127"/>
  <c r="N19" i="127"/>
  <c r="O26" i="127"/>
  <c r="N26" i="127"/>
  <c r="O51" i="127"/>
  <c r="N51" i="127"/>
  <c r="O59" i="127"/>
  <c r="N59" i="127"/>
  <c r="O78" i="127"/>
  <c r="N78" i="127"/>
  <c r="O84" i="127"/>
  <c r="N84" i="127"/>
  <c r="O106" i="127"/>
  <c r="N106" i="127"/>
  <c r="O141" i="127"/>
  <c r="N141" i="127"/>
  <c r="O146" i="127"/>
  <c r="N146" i="127"/>
  <c r="J14" i="127"/>
  <c r="K14" i="127" s="1"/>
  <c r="J15" i="127"/>
  <c r="K15" i="127" s="1"/>
  <c r="M15" i="127" s="1"/>
  <c r="O38" i="127"/>
  <c r="N38" i="127"/>
  <c r="O89" i="127"/>
  <c r="N89" i="127"/>
  <c r="O95" i="127"/>
  <c r="N95" i="127"/>
  <c r="N109" i="127"/>
  <c r="O109" i="127"/>
  <c r="O136" i="127"/>
  <c r="N136" i="127"/>
  <c r="O155" i="127"/>
  <c r="N155" i="127"/>
  <c r="N186" i="127"/>
  <c r="O186" i="127"/>
  <c r="N16" i="128"/>
  <c r="O16" i="128"/>
  <c r="J58" i="128"/>
  <c r="K58" i="128" s="1"/>
  <c r="M58" i="128" s="1"/>
  <c r="D58" i="128"/>
  <c r="F58" i="128"/>
  <c r="E58" i="128"/>
  <c r="O138" i="128"/>
  <c r="N138" i="128"/>
  <c r="O20" i="127"/>
  <c r="N20" i="127"/>
  <c r="K39" i="127"/>
  <c r="M39" i="127" s="1"/>
  <c r="O49" i="127"/>
  <c r="N49" i="127"/>
  <c r="O52" i="127"/>
  <c r="N52" i="127"/>
  <c r="E73" i="127"/>
  <c r="I76" i="127"/>
  <c r="F73" i="127"/>
  <c r="O70" i="127"/>
  <c r="N70" i="127"/>
  <c r="M82" i="127"/>
  <c r="O85" i="127"/>
  <c r="N85" i="127"/>
  <c r="O102" i="127"/>
  <c r="N102" i="127"/>
  <c r="O129" i="127"/>
  <c r="N129" i="127"/>
  <c r="O163" i="127"/>
  <c r="N163" i="127"/>
  <c r="O187" i="127"/>
  <c r="N187" i="127"/>
  <c r="O17" i="128"/>
  <c r="N17" i="128"/>
  <c r="O42" i="128"/>
  <c r="N42" i="128"/>
  <c r="O33" i="127"/>
  <c r="N33" i="127"/>
  <c r="O53" i="127"/>
  <c r="N53" i="127"/>
  <c r="K76" i="127"/>
  <c r="M76" i="127" s="1"/>
  <c r="O16" i="127"/>
  <c r="N16" i="127"/>
  <c r="K42" i="127"/>
  <c r="M42" i="127" s="1"/>
  <c r="O54" i="127"/>
  <c r="N54" i="127"/>
  <c r="O71" i="127"/>
  <c r="N71" i="127"/>
  <c r="N112" i="127"/>
  <c r="O112" i="127"/>
  <c r="O157" i="127"/>
  <c r="N157" i="127"/>
  <c r="O179" i="127"/>
  <c r="N179" i="127"/>
  <c r="O37" i="128"/>
  <c r="N37" i="128"/>
  <c r="O58" i="127"/>
  <c r="N58" i="127"/>
  <c r="G80" i="127"/>
  <c r="C90" i="127"/>
  <c r="O86" i="127"/>
  <c r="N86" i="127"/>
  <c r="K90" i="127"/>
  <c r="M90" i="127" s="1"/>
  <c r="O107" i="127"/>
  <c r="N107" i="127"/>
  <c r="O119" i="127"/>
  <c r="N119" i="127"/>
  <c r="O138" i="127"/>
  <c r="N138" i="127"/>
  <c r="O21" i="127"/>
  <c r="N21" i="127"/>
  <c r="O27" i="127"/>
  <c r="N27" i="127"/>
  <c r="O60" i="127"/>
  <c r="N60" i="127"/>
  <c r="O74" i="127"/>
  <c r="N74" i="127"/>
  <c r="O87" i="127"/>
  <c r="N87" i="127"/>
  <c r="O117" i="127"/>
  <c r="N117" i="127"/>
  <c r="O145" i="127"/>
  <c r="N145" i="127"/>
  <c r="J177" i="127"/>
  <c r="K177" i="127" s="1"/>
  <c r="M177" i="127" s="1"/>
  <c r="F177" i="127"/>
  <c r="E177" i="127"/>
  <c r="D177" i="127"/>
  <c r="O172" i="127"/>
  <c r="N172" i="127"/>
  <c r="O17" i="127"/>
  <c r="N17" i="127"/>
  <c r="O55" i="127"/>
  <c r="N55" i="127"/>
  <c r="J61" i="127"/>
  <c r="K61" i="127" s="1"/>
  <c r="M61" i="127" s="1"/>
  <c r="O67" i="127"/>
  <c r="N67" i="127"/>
  <c r="O72" i="127"/>
  <c r="N72" i="127"/>
  <c r="O77" i="127"/>
  <c r="N77" i="127"/>
  <c r="O104" i="127"/>
  <c r="N104" i="127"/>
  <c r="N190" i="127"/>
  <c r="O190" i="127"/>
  <c r="K25" i="127"/>
  <c r="M25" i="127" s="1"/>
  <c r="J31" i="127"/>
  <c r="K31" i="127" s="1"/>
  <c r="O35" i="127"/>
  <c r="N35" i="127"/>
  <c r="O100" i="127"/>
  <c r="N100" i="127"/>
  <c r="O18" i="127"/>
  <c r="N18" i="127"/>
  <c r="O23" i="127"/>
  <c r="N23" i="127"/>
  <c r="O43" i="127"/>
  <c r="N43" i="127"/>
  <c r="O50" i="127"/>
  <c r="N50" i="127"/>
  <c r="O68" i="127"/>
  <c r="N68" i="127"/>
  <c r="N94" i="127"/>
  <c r="O94" i="127"/>
  <c r="C124" i="127"/>
  <c r="G114" i="127"/>
  <c r="O121" i="127"/>
  <c r="N121" i="127"/>
  <c r="O140" i="127"/>
  <c r="N140" i="127"/>
  <c r="O153" i="127"/>
  <c r="N153" i="127"/>
  <c r="O36" i="127"/>
  <c r="N36" i="127"/>
  <c r="O41" i="127"/>
  <c r="N41" i="127"/>
  <c r="O75" i="127"/>
  <c r="N75" i="127"/>
  <c r="O162" i="127"/>
  <c r="N162" i="127"/>
  <c r="G12" i="127"/>
  <c r="J22" i="127"/>
  <c r="K22" i="127" s="1"/>
  <c r="M22" i="127" s="1"/>
  <c r="J32" i="127"/>
  <c r="K32" i="127" s="1"/>
  <c r="M32" i="127" s="1"/>
  <c r="N105" i="127"/>
  <c r="N120" i="127"/>
  <c r="O137" i="127"/>
  <c r="O156" i="127"/>
  <c r="N156" i="127"/>
  <c r="I42" i="128"/>
  <c r="E39" i="128"/>
  <c r="J44" i="128"/>
  <c r="K44" i="128" s="1"/>
  <c r="M44" i="128" s="1"/>
  <c r="G57" i="128"/>
  <c r="K57" i="128"/>
  <c r="M57" i="128" s="1"/>
  <c r="N122" i="128"/>
  <c r="O122" i="128"/>
  <c r="N173" i="128"/>
  <c r="O173" i="128"/>
  <c r="J116" i="127"/>
  <c r="K116" i="127" s="1"/>
  <c r="K127" i="127"/>
  <c r="M127" i="127" s="1"/>
  <c r="N35" i="128"/>
  <c r="O35" i="128"/>
  <c r="O53" i="128"/>
  <c r="N53" i="128"/>
  <c r="O72" i="128"/>
  <c r="N72" i="128"/>
  <c r="N86" i="128"/>
  <c r="O86" i="128"/>
  <c r="O118" i="128"/>
  <c r="N118" i="128"/>
  <c r="K23" i="129"/>
  <c r="J23" i="129"/>
  <c r="F141" i="127"/>
  <c r="E141" i="127"/>
  <c r="I144" i="127"/>
  <c r="K144" i="127"/>
  <c r="M144" i="127" s="1"/>
  <c r="K159" i="127"/>
  <c r="M159" i="127" s="1"/>
  <c r="J159" i="127"/>
  <c r="G159" i="127"/>
  <c r="O36" i="128"/>
  <c r="N36" i="128"/>
  <c r="O39" i="128"/>
  <c r="N39" i="128"/>
  <c r="O154" i="128"/>
  <c r="N154" i="128"/>
  <c r="J51" i="129"/>
  <c r="K51" i="129"/>
  <c r="O27" i="130"/>
  <c r="N27" i="130"/>
  <c r="N34" i="127"/>
  <c r="D41" i="127"/>
  <c r="E58" i="127"/>
  <c r="I59" i="127"/>
  <c r="J65" i="127"/>
  <c r="K65" i="127" s="1"/>
  <c r="N69" i="127"/>
  <c r="N101" i="127"/>
  <c r="N111" i="127"/>
  <c r="N123" i="127"/>
  <c r="K128" i="127"/>
  <c r="M128" i="127" s="1"/>
  <c r="G131" i="127"/>
  <c r="N174" i="127"/>
  <c r="O185" i="127"/>
  <c r="N185" i="127"/>
  <c r="N19" i="128"/>
  <c r="K23" i="128"/>
  <c r="M23" i="128" s="1"/>
  <c r="G23" i="128"/>
  <c r="O54" i="128"/>
  <c r="O69" i="128"/>
  <c r="O87" i="128"/>
  <c r="N87" i="128"/>
  <c r="J100" i="128"/>
  <c r="K100" i="128" s="1"/>
  <c r="M100" i="128" s="1"/>
  <c r="E141" i="128"/>
  <c r="F141" i="128"/>
  <c r="I144" i="128"/>
  <c r="K24" i="129"/>
  <c r="J24" i="129"/>
  <c r="K32" i="129"/>
  <c r="J32" i="129"/>
  <c r="K46" i="129"/>
  <c r="K72" i="129"/>
  <c r="J72" i="129"/>
  <c r="K77" i="129"/>
  <c r="J77" i="129"/>
  <c r="N20" i="130"/>
  <c r="O20" i="130"/>
  <c r="C24" i="127"/>
  <c r="E41" i="127"/>
  <c r="F58" i="127"/>
  <c r="J133" i="127"/>
  <c r="K133" i="127" s="1"/>
  <c r="O135" i="127"/>
  <c r="N180" i="127"/>
  <c r="O20" i="128"/>
  <c r="N20" i="128"/>
  <c r="C160" i="128"/>
  <c r="F148" i="128"/>
  <c r="C158" i="128" s="1"/>
  <c r="C148" i="128"/>
  <c r="O190" i="128"/>
  <c r="N190" i="128"/>
  <c r="F41" i="127"/>
  <c r="J48" i="127"/>
  <c r="K48" i="127" s="1"/>
  <c r="E56" i="127"/>
  <c r="G57" i="127"/>
  <c r="D109" i="127"/>
  <c r="K110" i="127"/>
  <c r="M110" i="127" s="1"/>
  <c r="J125" i="127"/>
  <c r="C143" i="127"/>
  <c r="O154" i="127"/>
  <c r="N154" i="127"/>
  <c r="O171" i="127"/>
  <c r="N171" i="127"/>
  <c r="O191" i="127"/>
  <c r="N191" i="127"/>
  <c r="O196" i="127"/>
  <c r="O88" i="128"/>
  <c r="N88" i="128"/>
  <c r="O125" i="128"/>
  <c r="O128" i="128"/>
  <c r="N128" i="128"/>
  <c r="O180" i="128"/>
  <c r="N180" i="128"/>
  <c r="G40" i="127"/>
  <c r="F109" i="127"/>
  <c r="K125" i="127"/>
  <c r="M125" i="127" s="1"/>
  <c r="O139" i="127"/>
  <c r="N139" i="127"/>
  <c r="K182" i="127"/>
  <c r="L182" i="127" s="1"/>
  <c r="O197" i="127"/>
  <c r="N197" i="127"/>
  <c r="O101" i="128"/>
  <c r="N101" i="128"/>
  <c r="N106" i="128"/>
  <c r="O106" i="128"/>
  <c r="O120" i="128"/>
  <c r="N120" i="128"/>
  <c r="K131" i="128"/>
  <c r="L131" i="128" s="1"/>
  <c r="M133" i="128"/>
  <c r="J57" i="127"/>
  <c r="K57" i="127" s="1"/>
  <c r="M57" i="127" s="1"/>
  <c r="E107" i="127"/>
  <c r="I110" i="127"/>
  <c r="O15" i="128"/>
  <c r="N15" i="128"/>
  <c r="C46" i="128"/>
  <c r="F46" i="128"/>
  <c r="C56" i="128" s="1"/>
  <c r="O55" i="128"/>
  <c r="N55" i="128"/>
  <c r="O94" i="128"/>
  <c r="N94" i="128"/>
  <c r="F124" i="128"/>
  <c r="I127" i="128"/>
  <c r="E124" i="128"/>
  <c r="K127" i="128"/>
  <c r="M127" i="128" s="1"/>
  <c r="J40" i="127"/>
  <c r="K40" i="127" s="1"/>
  <c r="M40" i="127" s="1"/>
  <c r="G55" i="127"/>
  <c r="G63" i="127"/>
  <c r="E75" i="127"/>
  <c r="C92" i="127"/>
  <c r="G97" i="127"/>
  <c r="N183" i="127"/>
  <c r="N182" i="127" s="1"/>
  <c r="M182" i="127"/>
  <c r="N21" i="128"/>
  <c r="N24" i="128"/>
  <c r="O24" i="128"/>
  <c r="O38" i="128"/>
  <c r="N38" i="128"/>
  <c r="N40" i="128"/>
  <c r="I60" i="128"/>
  <c r="J60" i="128" s="1"/>
  <c r="K60" i="128" s="1"/>
  <c r="M60" i="128" s="1"/>
  <c r="J59" i="128"/>
  <c r="K59" i="128" s="1"/>
  <c r="M59" i="128" s="1"/>
  <c r="O67" i="128"/>
  <c r="N67" i="128"/>
  <c r="J78" i="128"/>
  <c r="K78" i="128" s="1"/>
  <c r="M78" i="128" s="1"/>
  <c r="O102" i="128"/>
  <c r="O145" i="128"/>
  <c r="N145" i="128"/>
  <c r="O171" i="128"/>
  <c r="N171" i="128"/>
  <c r="G38" i="127"/>
  <c r="J56" i="127"/>
  <c r="K56" i="127" s="1"/>
  <c r="M56" i="127" s="1"/>
  <c r="F75" i="127"/>
  <c r="J99" i="127"/>
  <c r="K99" i="127" s="1"/>
  <c r="O122" i="127"/>
  <c r="F148" i="127"/>
  <c r="C148" i="127"/>
  <c r="O152" i="127"/>
  <c r="N152" i="127"/>
  <c r="C160" i="127"/>
  <c r="O183" i="127"/>
  <c r="J32" i="128"/>
  <c r="K32" i="128" s="1"/>
  <c r="M32" i="128" s="1"/>
  <c r="J31" i="128"/>
  <c r="K31" i="128" s="1"/>
  <c r="K90" i="128"/>
  <c r="M90" i="128" s="1"/>
  <c r="G90" i="128"/>
  <c r="G89" i="128"/>
  <c r="F107" i="127"/>
  <c r="J108" i="127"/>
  <c r="K108" i="127" s="1"/>
  <c r="M108" i="127" s="1"/>
  <c r="J134" i="127"/>
  <c r="K134" i="127" s="1"/>
  <c r="M134" i="127" s="1"/>
  <c r="O169" i="127"/>
  <c r="N169" i="127"/>
  <c r="O188" i="127"/>
  <c r="N188" i="127"/>
  <c r="C22" i="128"/>
  <c r="G12" i="128"/>
  <c r="G29" i="128"/>
  <c r="F39" i="128"/>
  <c r="E41" i="128"/>
  <c r="D41" i="128"/>
  <c r="J41" i="128"/>
  <c r="K41" i="128" s="1"/>
  <c r="M41" i="128" s="1"/>
  <c r="N52" i="128"/>
  <c r="I61" i="128"/>
  <c r="J61" i="128" s="1"/>
  <c r="K61" i="128" s="1"/>
  <c r="M61" i="128" s="1"/>
  <c r="O85" i="128"/>
  <c r="N85" i="128"/>
  <c r="J143" i="128"/>
  <c r="K143" i="128" s="1"/>
  <c r="M143" i="128" s="1"/>
  <c r="E143" i="128"/>
  <c r="D143" i="128"/>
  <c r="F143" i="128"/>
  <c r="G165" i="128"/>
  <c r="C175" i="128"/>
  <c r="J126" i="127"/>
  <c r="K126" i="127" s="1"/>
  <c r="M126" i="127" s="1"/>
  <c r="F126" i="127"/>
  <c r="E126" i="127"/>
  <c r="F165" i="127"/>
  <c r="C175" i="127" s="1"/>
  <c r="C165" i="127"/>
  <c r="O173" i="127"/>
  <c r="N173" i="127"/>
  <c r="K176" i="127"/>
  <c r="M176" i="127" s="1"/>
  <c r="J176" i="127"/>
  <c r="G176" i="127"/>
  <c r="O194" i="127"/>
  <c r="N194" i="127"/>
  <c r="O18" i="128"/>
  <c r="N18" i="128"/>
  <c r="O43" i="128"/>
  <c r="O95" i="128"/>
  <c r="N95" i="128"/>
  <c r="K124" i="128"/>
  <c r="M124" i="128" s="1"/>
  <c r="N172" i="128"/>
  <c r="O172" i="128"/>
  <c r="J14" i="128"/>
  <c r="K14" i="128" s="1"/>
  <c r="E73" i="128"/>
  <c r="I76" i="128"/>
  <c r="J92" i="128"/>
  <c r="K92" i="128" s="1"/>
  <c r="M92" i="128" s="1"/>
  <c r="F92" i="128"/>
  <c r="E92" i="128"/>
  <c r="O137" i="128"/>
  <c r="N137" i="128"/>
  <c r="K45" i="129"/>
  <c r="J45" i="129"/>
  <c r="O45" i="130"/>
  <c r="N45" i="130"/>
  <c r="O74" i="128"/>
  <c r="N74" i="128"/>
  <c r="F97" i="128"/>
  <c r="C109" i="128"/>
  <c r="O155" i="128"/>
  <c r="N155" i="128"/>
  <c r="K182" i="128"/>
  <c r="J14" i="129"/>
  <c r="I13" i="129"/>
  <c r="K14" i="129"/>
  <c r="K19" i="129"/>
  <c r="J19" i="129"/>
  <c r="K52" i="129"/>
  <c r="J52" i="129"/>
  <c r="J73" i="128"/>
  <c r="K73" i="128" s="1"/>
  <c r="M73" i="128" s="1"/>
  <c r="G72" i="128"/>
  <c r="J110" i="128"/>
  <c r="I112" i="128"/>
  <c r="I111" i="128"/>
  <c r="J111" i="128" s="1"/>
  <c r="K111" i="128" s="1"/>
  <c r="M111" i="128" s="1"/>
  <c r="N119" i="128"/>
  <c r="O119" i="128"/>
  <c r="M182" i="128"/>
  <c r="O183" i="128"/>
  <c r="N183" i="128"/>
  <c r="K15" i="129"/>
  <c r="J15" i="129"/>
  <c r="K26" i="129"/>
  <c r="J26" i="129"/>
  <c r="K87" i="129"/>
  <c r="J87" i="129"/>
  <c r="F73" i="128"/>
  <c r="C75" i="128"/>
  <c r="J116" i="128"/>
  <c r="K116" i="128" s="1"/>
  <c r="J117" i="128"/>
  <c r="K117" i="128" s="1"/>
  <c r="M117" i="128" s="1"/>
  <c r="O146" i="128"/>
  <c r="N146" i="128"/>
  <c r="O152" i="128"/>
  <c r="N152" i="128"/>
  <c r="K41" i="129"/>
  <c r="J41" i="129"/>
  <c r="K74" i="129"/>
  <c r="J74" i="129"/>
  <c r="K92" i="129"/>
  <c r="J92" i="129"/>
  <c r="N70" i="128"/>
  <c r="G73" i="128"/>
  <c r="N84" i="128"/>
  <c r="O103" i="128"/>
  <c r="J112" i="128"/>
  <c r="K112" i="128" s="1"/>
  <c r="M112" i="128" s="1"/>
  <c r="N129" i="128"/>
  <c r="N156" i="128"/>
  <c r="N169" i="128"/>
  <c r="O169" i="128"/>
  <c r="K178" i="128"/>
  <c r="M178" i="128" s="1"/>
  <c r="N184" i="128"/>
  <c r="K60" i="129"/>
  <c r="J60" i="129"/>
  <c r="O41" i="130"/>
  <c r="N41" i="130"/>
  <c r="I77" i="128"/>
  <c r="J77" i="128" s="1"/>
  <c r="K77" i="128" s="1"/>
  <c r="M77" i="128" s="1"/>
  <c r="I78" i="128"/>
  <c r="J76" i="128"/>
  <c r="K76" i="128" s="1"/>
  <c r="M76" i="128" s="1"/>
  <c r="N135" i="128"/>
  <c r="O153" i="128"/>
  <c r="N153" i="128"/>
  <c r="N185" i="128"/>
  <c r="O185" i="128"/>
  <c r="K42" i="129"/>
  <c r="J42" i="129"/>
  <c r="K61" i="129"/>
  <c r="J61" i="129"/>
  <c r="O31" i="130"/>
  <c r="N31" i="130"/>
  <c r="G142" i="127"/>
  <c r="G175" i="127"/>
  <c r="G22" i="128"/>
  <c r="G56" i="128"/>
  <c r="C63" i="128"/>
  <c r="N68" i="128"/>
  <c r="N134" i="128"/>
  <c r="O134" i="128"/>
  <c r="G148" i="128"/>
  <c r="N174" i="128"/>
  <c r="O174" i="128"/>
  <c r="N176" i="128"/>
  <c r="N186" i="128"/>
  <c r="O186" i="128"/>
  <c r="O193" i="128"/>
  <c r="N193" i="128"/>
  <c r="K29" i="129"/>
  <c r="J29" i="129"/>
  <c r="G158" i="127"/>
  <c r="G174" i="127"/>
  <c r="N71" i="128"/>
  <c r="J83" i="128"/>
  <c r="K83" i="128" s="1"/>
  <c r="M83" i="128" s="1"/>
  <c r="J82" i="128"/>
  <c r="K82" i="128" s="1"/>
  <c r="I93" i="128"/>
  <c r="O104" i="128"/>
  <c r="O136" i="128"/>
  <c r="N136" i="128"/>
  <c r="O187" i="128"/>
  <c r="N187" i="128"/>
  <c r="K30" i="129"/>
  <c r="J30" i="129"/>
  <c r="K37" i="129"/>
  <c r="J37" i="129"/>
  <c r="K67" i="129"/>
  <c r="J67" i="129"/>
  <c r="K97" i="129"/>
  <c r="J97" i="129"/>
  <c r="J22" i="128"/>
  <c r="K22" i="128" s="1"/>
  <c r="M22" i="128" s="1"/>
  <c r="I26" i="128"/>
  <c r="J26" i="128" s="1"/>
  <c r="K26" i="128" s="1"/>
  <c r="M26" i="128" s="1"/>
  <c r="G46" i="128"/>
  <c r="O89" i="128"/>
  <c r="N89" i="128"/>
  <c r="K93" i="128"/>
  <c r="M93" i="128" s="1"/>
  <c r="D177" i="128"/>
  <c r="J177" i="128"/>
  <c r="K177" i="128" s="1"/>
  <c r="M177" i="128" s="1"/>
  <c r="F177" i="128"/>
  <c r="E177" i="128"/>
  <c r="O179" i="128"/>
  <c r="N179" i="128"/>
  <c r="K55" i="129"/>
  <c r="J55" i="129"/>
  <c r="G13" i="129"/>
  <c r="G34" i="129"/>
  <c r="H34" i="129" s="1"/>
  <c r="I35" i="129"/>
  <c r="K53" i="129"/>
  <c r="J53" i="129"/>
  <c r="K59" i="129"/>
  <c r="J59" i="129"/>
  <c r="K64" i="129"/>
  <c r="J64" i="129"/>
  <c r="K82" i="129"/>
  <c r="J82" i="129"/>
  <c r="G95" i="129"/>
  <c r="H95" i="129" s="1"/>
  <c r="I96" i="129"/>
  <c r="O34" i="130"/>
  <c r="N34" i="130"/>
  <c r="K54" i="129"/>
  <c r="J54" i="129"/>
  <c r="K73" i="129"/>
  <c r="J73" i="129"/>
  <c r="G84" i="129"/>
  <c r="H84" i="129" s="1"/>
  <c r="I85" i="129"/>
  <c r="K90" i="129"/>
  <c r="J90" i="129"/>
  <c r="O28" i="130"/>
  <c r="N28" i="130"/>
  <c r="O46" i="130"/>
  <c r="N46" i="130"/>
  <c r="J144" i="128"/>
  <c r="K144" i="128" s="1"/>
  <c r="M144" i="128" s="1"/>
  <c r="J40" i="129"/>
  <c r="K65" i="129"/>
  <c r="K86" i="129"/>
  <c r="J86" i="129"/>
  <c r="K98" i="129"/>
  <c r="J98" i="129"/>
  <c r="O21" i="130"/>
  <c r="N21" i="130"/>
  <c r="K37" i="130"/>
  <c r="M38" i="130"/>
  <c r="O47" i="130"/>
  <c r="N47" i="130"/>
  <c r="O38" i="131"/>
  <c r="O36" i="131" s="1"/>
  <c r="N38" i="131"/>
  <c r="O22" i="130"/>
  <c r="N22" i="130"/>
  <c r="K9" i="131"/>
  <c r="O39" i="131"/>
  <c r="N39" i="131"/>
  <c r="G107" i="128"/>
  <c r="C165" i="128"/>
  <c r="K25" i="129"/>
  <c r="J25" i="129"/>
  <c r="K66" i="129"/>
  <c r="J66" i="129"/>
  <c r="K91" i="129"/>
  <c r="O48" i="130"/>
  <c r="N48" i="130"/>
  <c r="K20" i="129"/>
  <c r="J20" i="129"/>
  <c r="K79" i="129"/>
  <c r="J79" i="129"/>
  <c r="O15" i="130"/>
  <c r="N15" i="130"/>
  <c r="O30" i="130"/>
  <c r="N30" i="130"/>
  <c r="O40" i="130"/>
  <c r="O37" i="130" s="1"/>
  <c r="N40" i="130"/>
  <c r="C126" i="128"/>
  <c r="J163" i="128"/>
  <c r="K163" i="128" s="1"/>
  <c r="M163" i="128" s="1"/>
  <c r="K43" i="129"/>
  <c r="J43" i="129"/>
  <c r="K80" i="129"/>
  <c r="J80" i="129"/>
  <c r="O24" i="130"/>
  <c r="N24" i="130"/>
  <c r="N12" i="131"/>
  <c r="O45" i="131"/>
  <c r="N45" i="131"/>
  <c r="K141" i="128"/>
  <c r="M141" i="128" s="1"/>
  <c r="K142" i="128"/>
  <c r="M142" i="128" s="1"/>
  <c r="K161" i="128"/>
  <c r="M161" i="128" s="1"/>
  <c r="K38" i="129"/>
  <c r="J38" i="129"/>
  <c r="K49" i="129"/>
  <c r="K57" i="129"/>
  <c r="J57" i="129"/>
  <c r="K93" i="129"/>
  <c r="J93" i="129"/>
  <c r="O16" i="130"/>
  <c r="O25" i="130"/>
  <c r="N25" i="130"/>
  <c r="O42" i="130"/>
  <c r="N42" i="130"/>
  <c r="O17" i="130"/>
  <c r="N17" i="130"/>
  <c r="O43" i="130"/>
  <c r="N43" i="130"/>
  <c r="J27" i="129"/>
  <c r="J44" i="129"/>
  <c r="J58" i="129"/>
  <c r="K63" i="129"/>
  <c r="I71" i="129"/>
  <c r="G70" i="129"/>
  <c r="H70" i="129" s="1"/>
  <c r="J81" i="129"/>
  <c r="K101" i="129"/>
  <c r="J101" i="129"/>
  <c r="O18" i="130"/>
  <c r="N18" i="130"/>
  <c r="O33" i="130"/>
  <c r="N33" i="130"/>
  <c r="O44" i="130"/>
  <c r="N44" i="130"/>
  <c r="O47" i="131"/>
  <c r="N47" i="131"/>
  <c r="M14" i="130"/>
  <c r="O14" i="131"/>
  <c r="O12" i="131" s="1"/>
  <c r="M37" i="131"/>
  <c r="N46" i="131"/>
  <c r="N196" i="128"/>
  <c r="J102" i="129"/>
  <c r="K12" i="130"/>
  <c r="N41" i="131"/>
  <c r="N44" i="131"/>
  <c r="K176" i="126"/>
  <c r="M176" i="126" s="1"/>
  <c r="J167" i="126"/>
  <c r="K167" i="126" s="1"/>
  <c r="J112" i="126"/>
  <c r="K112" i="126" s="1"/>
  <c r="M112" i="126" s="1"/>
  <c r="J95" i="126"/>
  <c r="K95" i="126" s="1"/>
  <c r="M95" i="126" s="1"/>
  <c r="G89" i="126"/>
  <c r="G72" i="126"/>
  <c r="G57" i="126"/>
  <c r="G29" i="126"/>
  <c r="F41" i="126"/>
  <c r="O17" i="126"/>
  <c r="J27" i="126"/>
  <c r="K27" i="126" s="1"/>
  <c r="M27" i="126" s="1"/>
  <c r="G176" i="126"/>
  <c r="O168" i="126"/>
  <c r="N174" i="126"/>
  <c r="G159" i="126"/>
  <c r="C148" i="126"/>
  <c r="J163" i="126"/>
  <c r="K163" i="126" s="1"/>
  <c r="M163" i="126" s="1"/>
  <c r="O163" i="126" s="1"/>
  <c r="F148" i="126"/>
  <c r="C158" i="126" s="1"/>
  <c r="F158" i="126" s="1"/>
  <c r="G131" i="126"/>
  <c r="C143" i="126"/>
  <c r="I145" i="126"/>
  <c r="J145" i="126" s="1"/>
  <c r="K145" i="126" s="1"/>
  <c r="M145" i="126" s="1"/>
  <c r="O145" i="126" s="1"/>
  <c r="J144" i="126"/>
  <c r="K144" i="126" s="1"/>
  <c r="M144" i="126" s="1"/>
  <c r="C114" i="126"/>
  <c r="J117" i="126" s="1"/>
  <c r="K117" i="126" s="1"/>
  <c r="M117" i="126" s="1"/>
  <c r="C126" i="126"/>
  <c r="D126" i="126" s="1"/>
  <c r="C109" i="126"/>
  <c r="D109" i="126" s="1"/>
  <c r="O106" i="126"/>
  <c r="J110" i="126"/>
  <c r="K110" i="126" s="1"/>
  <c r="M110" i="126" s="1"/>
  <c r="C97" i="126"/>
  <c r="I94" i="126"/>
  <c r="J94" i="126" s="1"/>
  <c r="K94" i="126" s="1"/>
  <c r="M94" i="126" s="1"/>
  <c r="O94" i="126" s="1"/>
  <c r="F80" i="126"/>
  <c r="C90" i="126" s="1"/>
  <c r="K90" i="126" s="1"/>
  <c r="M90" i="126" s="1"/>
  <c r="N69" i="126"/>
  <c r="O69" i="126"/>
  <c r="N72" i="126"/>
  <c r="O72" i="126"/>
  <c r="I78" i="126"/>
  <c r="J78" i="126" s="1"/>
  <c r="K78" i="126" s="1"/>
  <c r="M78" i="126" s="1"/>
  <c r="F63" i="126"/>
  <c r="C73" i="126" s="1"/>
  <c r="F73" i="126" s="1"/>
  <c r="G73" i="126"/>
  <c r="I77" i="126"/>
  <c r="J77" i="126" s="1"/>
  <c r="K77" i="126" s="1"/>
  <c r="M77" i="126" s="1"/>
  <c r="O77" i="126" s="1"/>
  <c r="O52" i="126"/>
  <c r="N52" i="126"/>
  <c r="O54" i="126"/>
  <c r="G55" i="126"/>
  <c r="G56" i="126"/>
  <c r="K40" i="126"/>
  <c r="M40" i="126" s="1"/>
  <c r="J39" i="126"/>
  <c r="K43" i="126"/>
  <c r="M43" i="126" s="1"/>
  <c r="N43" i="126" s="1"/>
  <c r="I44" i="126"/>
  <c r="J44" i="126" s="1"/>
  <c r="K44" i="126" s="1"/>
  <c r="M44" i="126" s="1"/>
  <c r="J31" i="126"/>
  <c r="K31" i="126" s="1"/>
  <c r="M31" i="126" s="1"/>
  <c r="G38" i="126"/>
  <c r="G40" i="126"/>
  <c r="J42" i="126"/>
  <c r="K42" i="126" s="1"/>
  <c r="M42" i="126" s="1"/>
  <c r="N42" i="126" s="1"/>
  <c r="O20" i="126"/>
  <c r="N20" i="126"/>
  <c r="O104" i="126"/>
  <c r="N104" i="126"/>
  <c r="O85" i="126"/>
  <c r="N85" i="126"/>
  <c r="N27" i="126"/>
  <c r="O27" i="126"/>
  <c r="O95" i="126"/>
  <c r="N95" i="126"/>
  <c r="O31" i="126"/>
  <c r="N31" i="126"/>
  <c r="O37" i="126"/>
  <c r="N37" i="126"/>
  <c r="O18" i="126"/>
  <c r="N18" i="126"/>
  <c r="E124" i="126"/>
  <c r="I127" i="126"/>
  <c r="F124" i="126"/>
  <c r="O152" i="126"/>
  <c r="N152" i="126"/>
  <c r="O187" i="126"/>
  <c r="N187" i="126"/>
  <c r="O50" i="126"/>
  <c r="N50" i="126"/>
  <c r="O68" i="126"/>
  <c r="N68" i="126"/>
  <c r="O88" i="126"/>
  <c r="N88" i="126"/>
  <c r="O121" i="126"/>
  <c r="N121" i="126"/>
  <c r="O135" i="126"/>
  <c r="N135" i="126"/>
  <c r="M167" i="126"/>
  <c r="N122" i="126"/>
  <c r="O173" i="126"/>
  <c r="N173" i="126"/>
  <c r="O55" i="126"/>
  <c r="N55" i="126"/>
  <c r="O136" i="126"/>
  <c r="N136" i="126"/>
  <c r="J59" i="126"/>
  <c r="K59" i="126" s="1"/>
  <c r="M59" i="126" s="1"/>
  <c r="I60" i="126"/>
  <c r="J60" i="126" s="1"/>
  <c r="K60" i="126" s="1"/>
  <c r="M60" i="126" s="1"/>
  <c r="I61" i="126"/>
  <c r="J61" i="126" s="1"/>
  <c r="K61" i="126" s="1"/>
  <c r="M61" i="126" s="1"/>
  <c r="N123" i="126"/>
  <c r="O123" i="126"/>
  <c r="N134" i="126"/>
  <c r="O134" i="126"/>
  <c r="O74" i="126"/>
  <c r="N74" i="126"/>
  <c r="N171" i="126"/>
  <c r="O171" i="126"/>
  <c r="O51" i="126"/>
  <c r="N51" i="126"/>
  <c r="O33" i="126"/>
  <c r="O89" i="126"/>
  <c r="N89" i="126"/>
  <c r="O105" i="126"/>
  <c r="N105" i="126"/>
  <c r="O154" i="126"/>
  <c r="N154" i="126"/>
  <c r="O38" i="126"/>
  <c r="N38" i="126"/>
  <c r="G46" i="126"/>
  <c r="N155" i="126"/>
  <c r="N177" i="126"/>
  <c r="O177" i="126"/>
  <c r="O41" i="126"/>
  <c r="N41" i="126"/>
  <c r="N140" i="126"/>
  <c r="O140" i="126"/>
  <c r="N19" i="126"/>
  <c r="O19" i="126"/>
  <c r="O32" i="126"/>
  <c r="N32" i="126"/>
  <c r="N15" i="126"/>
  <c r="O15" i="126"/>
  <c r="O34" i="126"/>
  <c r="N34" i="126"/>
  <c r="I59" i="126"/>
  <c r="F56" i="126"/>
  <c r="E56" i="126"/>
  <c r="O66" i="126"/>
  <c r="N66" i="126"/>
  <c r="O101" i="126"/>
  <c r="N101" i="126"/>
  <c r="O111" i="126"/>
  <c r="N111" i="126"/>
  <c r="O112" i="126"/>
  <c r="N112" i="126"/>
  <c r="N137" i="126"/>
  <c r="N156" i="126"/>
  <c r="O156" i="126"/>
  <c r="N169" i="126"/>
  <c r="O169" i="126"/>
  <c r="I26" i="126"/>
  <c r="J26" i="126" s="1"/>
  <c r="K26" i="126" s="1"/>
  <c r="M26" i="126" s="1"/>
  <c r="J25" i="126"/>
  <c r="K56" i="126"/>
  <c r="M56" i="126" s="1"/>
  <c r="O70" i="126"/>
  <c r="N70" i="126"/>
  <c r="O119" i="126"/>
  <c r="N119" i="126"/>
  <c r="K124" i="126"/>
  <c r="M124" i="126" s="1"/>
  <c r="O138" i="126"/>
  <c r="N138" i="126"/>
  <c r="O160" i="126"/>
  <c r="N160" i="126"/>
  <c r="O110" i="126"/>
  <c r="N110" i="126"/>
  <c r="J23" i="126"/>
  <c r="K23" i="126" s="1"/>
  <c r="M23" i="126" s="1"/>
  <c r="G23" i="126"/>
  <c r="O153" i="126"/>
  <c r="N153" i="126"/>
  <c r="G142" i="126"/>
  <c r="J142" i="126"/>
  <c r="K142" i="126" s="1"/>
  <c r="M142" i="126" s="1"/>
  <c r="O53" i="126"/>
  <c r="N53" i="126"/>
  <c r="O102" i="126"/>
  <c r="N102" i="126"/>
  <c r="O139" i="126"/>
  <c r="N139" i="126"/>
  <c r="O157" i="126"/>
  <c r="N157" i="126"/>
  <c r="O184" i="126"/>
  <c r="N184" i="126"/>
  <c r="M182" i="126"/>
  <c r="O195" i="126"/>
  <c r="N195" i="126"/>
  <c r="O189" i="126"/>
  <c r="N189" i="126"/>
  <c r="O57" i="126"/>
  <c r="N57" i="126"/>
  <c r="N21" i="126"/>
  <c r="O21" i="126"/>
  <c r="O36" i="126"/>
  <c r="N36" i="126"/>
  <c r="O43" i="126"/>
  <c r="F90" i="126"/>
  <c r="E90" i="126"/>
  <c r="I93" i="126"/>
  <c r="O185" i="126"/>
  <c r="N185" i="126"/>
  <c r="O87" i="126"/>
  <c r="N87" i="126"/>
  <c r="N35" i="126"/>
  <c r="O35" i="126"/>
  <c r="O91" i="126"/>
  <c r="N91" i="126"/>
  <c r="O16" i="126"/>
  <c r="N16" i="126"/>
  <c r="O67" i="126"/>
  <c r="O103" i="126"/>
  <c r="N103" i="126"/>
  <c r="O120" i="126"/>
  <c r="N120" i="126"/>
  <c r="N186" i="126"/>
  <c r="O186" i="126"/>
  <c r="C58" i="126"/>
  <c r="G106" i="126"/>
  <c r="G107" i="126"/>
  <c r="G114" i="126"/>
  <c r="O183" i="126"/>
  <c r="N183" i="126"/>
  <c r="N192" i="126"/>
  <c r="I161" i="126"/>
  <c r="O188" i="126"/>
  <c r="N188" i="126"/>
  <c r="N172" i="126"/>
  <c r="C175" i="126"/>
  <c r="O193" i="126"/>
  <c r="O176" i="126"/>
  <c r="N176" i="126"/>
  <c r="N83" i="126"/>
  <c r="I129" i="126"/>
  <c r="J129" i="126" s="1"/>
  <c r="K129" i="126" s="1"/>
  <c r="M129" i="126" s="1"/>
  <c r="J127" i="126"/>
  <c r="K127" i="126" s="1"/>
  <c r="M127" i="126" s="1"/>
  <c r="D160" i="126"/>
  <c r="J175" i="126"/>
  <c r="G175" i="126"/>
  <c r="O194" i="126"/>
  <c r="N194" i="126"/>
  <c r="G80" i="126"/>
  <c r="E109" i="126"/>
  <c r="J125" i="126"/>
  <c r="K125" i="126" s="1"/>
  <c r="M125" i="126" s="1"/>
  <c r="I128" i="126"/>
  <c r="J128" i="126" s="1"/>
  <c r="K128" i="126" s="1"/>
  <c r="M128" i="126" s="1"/>
  <c r="E160" i="126"/>
  <c r="D177" i="126"/>
  <c r="J107" i="126"/>
  <c r="K107" i="126" s="1"/>
  <c r="M107" i="126" s="1"/>
  <c r="E158" i="126"/>
  <c r="F160" i="126"/>
  <c r="E177" i="126"/>
  <c r="J158" i="126"/>
  <c r="K158" i="126" s="1"/>
  <c r="I76" i="126"/>
  <c r="O84" i="126"/>
  <c r="F109" i="126"/>
  <c r="F141" i="126"/>
  <c r="I144" i="126"/>
  <c r="J146" i="126"/>
  <c r="K146" i="126" s="1"/>
  <c r="M146" i="126" s="1"/>
  <c r="G157" i="126"/>
  <c r="N170" i="126"/>
  <c r="F177" i="126"/>
  <c r="O86" i="126"/>
  <c r="C24" i="126"/>
  <c r="F12" i="126"/>
  <c r="C22" i="126" s="1"/>
  <c r="J141" i="126"/>
  <c r="K141" i="126" s="1"/>
  <c r="M141" i="126" s="1"/>
  <c r="G140" i="126"/>
  <c r="G22" i="126"/>
  <c r="E41" i="126"/>
  <c r="D41" i="126"/>
  <c r="C75" i="126"/>
  <c r="J90" i="126"/>
  <c r="F107" i="126"/>
  <c r="I110" i="126"/>
  <c r="J108" i="126"/>
  <c r="K108" i="126" s="1"/>
  <c r="M108" i="126" s="1"/>
  <c r="G125" i="126"/>
  <c r="G141" i="126"/>
  <c r="K159" i="126"/>
  <c r="M159" i="126" s="1"/>
  <c r="I162" i="126"/>
  <c r="J162" i="126" s="1"/>
  <c r="K162" i="126" s="1"/>
  <c r="M162" i="126" s="1"/>
  <c r="I179" i="126"/>
  <c r="J179" i="126" s="1"/>
  <c r="K179" i="126" s="1"/>
  <c r="M179" i="126" s="1"/>
  <c r="I180" i="126"/>
  <c r="J180" i="126" s="1"/>
  <c r="K180" i="126" s="1"/>
  <c r="M180" i="126" s="1"/>
  <c r="O190" i="126"/>
  <c r="O71" i="126"/>
  <c r="K39" i="126"/>
  <c r="M39" i="126" s="1"/>
  <c r="D143" i="126"/>
  <c r="G174" i="126"/>
  <c r="K182" i="126"/>
  <c r="L182" i="126" s="1"/>
  <c r="O191" i="126"/>
  <c r="N191" i="126"/>
  <c r="O196" i="126"/>
  <c r="N196" i="126"/>
  <c r="O118" i="126"/>
  <c r="N118" i="126"/>
  <c r="C46" i="126"/>
  <c r="J22" i="126"/>
  <c r="K22" i="126" s="1"/>
  <c r="M22" i="126" s="1"/>
  <c r="E39" i="126"/>
  <c r="C92" i="126"/>
  <c r="K93" i="126"/>
  <c r="M93" i="126" s="1"/>
  <c r="G165" i="126"/>
  <c r="O197" i="126"/>
  <c r="N197" i="126"/>
  <c r="J133" i="126"/>
  <c r="K133" i="126" s="1"/>
  <c r="G91" i="126"/>
  <c r="G124" i="126"/>
  <c r="G123" i="126"/>
  <c r="K145" i="123"/>
  <c r="M145" i="123" s="1"/>
  <c r="N145" i="123" s="1"/>
  <c r="K12" i="125"/>
  <c r="N34" i="125"/>
  <c r="O34" i="125"/>
  <c r="O16" i="125"/>
  <c r="N16" i="125"/>
  <c r="O18" i="125"/>
  <c r="N18" i="125"/>
  <c r="N19" i="125"/>
  <c r="O19" i="125"/>
  <c r="O29" i="125"/>
  <c r="N29" i="125"/>
  <c r="O20" i="125"/>
  <c r="N20" i="125"/>
  <c r="N30" i="125"/>
  <c r="O30" i="125"/>
  <c r="O17" i="125"/>
  <c r="N17" i="125"/>
  <c r="O28" i="125"/>
  <c r="N28" i="125"/>
  <c r="N21" i="125"/>
  <c r="O21" i="125"/>
  <c r="N36" i="125"/>
  <c r="O36" i="125"/>
  <c r="O22" i="125"/>
  <c r="N22" i="125"/>
  <c r="N15" i="125"/>
  <c r="O15" i="125"/>
  <c r="N23" i="125"/>
  <c r="O23" i="125"/>
  <c r="N32" i="125"/>
  <c r="O32" i="125"/>
  <c r="M27" i="125"/>
  <c r="K26" i="125"/>
  <c r="M14" i="125"/>
  <c r="N31" i="125"/>
  <c r="N33" i="125"/>
  <c r="N35" i="125"/>
  <c r="N37" i="125"/>
  <c r="N153" i="123"/>
  <c r="O153" i="123"/>
  <c r="I146" i="123"/>
  <c r="J146" i="123" s="1"/>
  <c r="K146" i="123" s="1"/>
  <c r="M146" i="123" s="1"/>
  <c r="N146" i="123" s="1"/>
  <c r="F131" i="123"/>
  <c r="C141" i="123" s="1"/>
  <c r="I144" i="123" s="1"/>
  <c r="K179" i="123"/>
  <c r="M179" i="123" s="1"/>
  <c r="N179" i="123" s="1"/>
  <c r="O157" i="123"/>
  <c r="F165" i="123"/>
  <c r="C175" i="123" s="1"/>
  <c r="I178" i="123" s="1"/>
  <c r="I180" i="123"/>
  <c r="J180" i="123" s="1"/>
  <c r="K180" i="123" s="1"/>
  <c r="M180" i="123" s="1"/>
  <c r="O146" i="123"/>
  <c r="O136" i="123"/>
  <c r="N136" i="123"/>
  <c r="O140" i="123"/>
  <c r="N140" i="123"/>
  <c r="J168" i="123"/>
  <c r="K168" i="123" s="1"/>
  <c r="M168" i="123" s="1"/>
  <c r="O137" i="123"/>
  <c r="N137" i="123"/>
  <c r="O154" i="123"/>
  <c r="N154" i="123"/>
  <c r="J163" i="123"/>
  <c r="K163" i="123" s="1"/>
  <c r="M163" i="123" s="1"/>
  <c r="O173" i="123"/>
  <c r="N173" i="123"/>
  <c r="O169" i="123"/>
  <c r="N169" i="123"/>
  <c r="O170" i="123"/>
  <c r="N170" i="123"/>
  <c r="O174" i="123"/>
  <c r="N174" i="123"/>
  <c r="N138" i="123"/>
  <c r="O138" i="123"/>
  <c r="O171" i="123"/>
  <c r="N171" i="123"/>
  <c r="N152" i="123"/>
  <c r="O152" i="123"/>
  <c r="N156" i="123"/>
  <c r="O156" i="123"/>
  <c r="J143" i="123"/>
  <c r="K143" i="123" s="1"/>
  <c r="M143" i="123" s="1"/>
  <c r="F143" i="123"/>
  <c r="E143" i="123"/>
  <c r="D143" i="123"/>
  <c r="O139" i="123"/>
  <c r="N139" i="123"/>
  <c r="O155" i="123"/>
  <c r="N155" i="123"/>
  <c r="N142" i="123"/>
  <c r="O142" i="123"/>
  <c r="O135" i="123"/>
  <c r="N135" i="123"/>
  <c r="D160" i="123"/>
  <c r="E160" i="123"/>
  <c r="J160" i="123"/>
  <c r="K160" i="123" s="1"/>
  <c r="M160" i="123" s="1"/>
  <c r="F160" i="123"/>
  <c r="N172" i="123"/>
  <c r="O172" i="123"/>
  <c r="N176" i="123"/>
  <c r="O176" i="123"/>
  <c r="G141" i="123"/>
  <c r="J144" i="123"/>
  <c r="K144" i="123" s="1"/>
  <c r="M144" i="123" s="1"/>
  <c r="C148" i="123"/>
  <c r="K159" i="123"/>
  <c r="M159" i="123" s="1"/>
  <c r="G175" i="123"/>
  <c r="J178" i="123"/>
  <c r="J141" i="123"/>
  <c r="K141" i="123" s="1"/>
  <c r="M141" i="123" s="1"/>
  <c r="G142" i="123"/>
  <c r="J175" i="123"/>
  <c r="G176" i="123"/>
  <c r="F148" i="123"/>
  <c r="C158" i="123" s="1"/>
  <c r="K158" i="123" s="1"/>
  <c r="M158" i="123" s="1"/>
  <c r="G157" i="123"/>
  <c r="C177" i="123"/>
  <c r="C131" i="123"/>
  <c r="G158" i="123"/>
  <c r="J161" i="123"/>
  <c r="I162" i="123"/>
  <c r="J162" i="123" s="1"/>
  <c r="K162" i="123" s="1"/>
  <c r="M162" i="123" s="1"/>
  <c r="N44" i="149" l="1"/>
  <c r="O44" i="149"/>
  <c r="O142" i="158"/>
  <c r="N142" i="158"/>
  <c r="O22" i="153"/>
  <c r="N22" i="153"/>
  <c r="N27" i="154"/>
  <c r="O27" i="154"/>
  <c r="O73" i="149"/>
  <c r="N73" i="149"/>
  <c r="O141" i="159"/>
  <c r="N141" i="159"/>
  <c r="O56" i="158"/>
  <c r="N56" i="158"/>
  <c r="M65" i="154"/>
  <c r="O124" i="153"/>
  <c r="N124" i="153"/>
  <c r="M163" i="149"/>
  <c r="K148" i="149"/>
  <c r="L148" i="149" s="1"/>
  <c r="M56" i="159"/>
  <c r="O44" i="158"/>
  <c r="N44" i="158"/>
  <c r="N180" i="148"/>
  <c r="O180" i="148"/>
  <c r="M99" i="149"/>
  <c r="O124" i="144"/>
  <c r="N124" i="144"/>
  <c r="O22" i="158"/>
  <c r="N22" i="158"/>
  <c r="M22" i="154"/>
  <c r="K12" i="154"/>
  <c r="N44" i="144"/>
  <c r="O44" i="144"/>
  <c r="O175" i="158"/>
  <c r="N175" i="158"/>
  <c r="O57" i="148"/>
  <c r="N57" i="148"/>
  <c r="O95" i="154"/>
  <c r="N95" i="154"/>
  <c r="N141" i="154"/>
  <c r="O141" i="154"/>
  <c r="O95" i="149"/>
  <c r="N95" i="149"/>
  <c r="N176" i="148"/>
  <c r="O176" i="148"/>
  <c r="O125" i="143"/>
  <c r="N125" i="143"/>
  <c r="N39" i="158"/>
  <c r="O39" i="158"/>
  <c r="O57" i="153"/>
  <c r="N57" i="153"/>
  <c r="O73" i="158"/>
  <c r="N73" i="158"/>
  <c r="O61" i="148"/>
  <c r="N61" i="148"/>
  <c r="N39" i="149"/>
  <c r="O39" i="149"/>
  <c r="I13" i="160"/>
  <c r="G10" i="160"/>
  <c r="F56" i="159"/>
  <c r="E56" i="159"/>
  <c r="K59" i="159"/>
  <c r="M59" i="159" s="1"/>
  <c r="I59" i="159"/>
  <c r="O178" i="158"/>
  <c r="N178" i="158"/>
  <c r="O42" i="159"/>
  <c r="N42" i="159"/>
  <c r="F22" i="159"/>
  <c r="E22" i="159"/>
  <c r="I25" i="159"/>
  <c r="K148" i="159"/>
  <c r="L148" i="159" s="1"/>
  <c r="M150" i="159"/>
  <c r="M31" i="159"/>
  <c r="O15" i="157"/>
  <c r="O12" i="157" s="1"/>
  <c r="M12" i="157"/>
  <c r="N15" i="157"/>
  <c r="N12" i="157" s="1"/>
  <c r="N9" i="157" s="1"/>
  <c r="O75" i="158"/>
  <c r="N75" i="158"/>
  <c r="K34" i="155"/>
  <c r="O41" i="158"/>
  <c r="N41" i="158"/>
  <c r="G131" i="154"/>
  <c r="O129" i="153"/>
  <c r="N129" i="153"/>
  <c r="J83" i="154"/>
  <c r="K83" i="154" s="1"/>
  <c r="M83" i="154" s="1"/>
  <c r="J82" i="154"/>
  <c r="K82" i="154" s="1"/>
  <c r="K14" i="155"/>
  <c r="J14" i="155"/>
  <c r="I13" i="155"/>
  <c r="I161" i="154"/>
  <c r="F158" i="154"/>
  <c r="E158" i="154"/>
  <c r="N73" i="153"/>
  <c r="O73" i="153"/>
  <c r="M65" i="153"/>
  <c r="N58" i="154"/>
  <c r="O58" i="154"/>
  <c r="K46" i="153"/>
  <c r="L46" i="153" s="1"/>
  <c r="M48" i="153"/>
  <c r="I25" i="153"/>
  <c r="F22" i="153"/>
  <c r="E22" i="153"/>
  <c r="N60" i="153"/>
  <c r="O60" i="153"/>
  <c r="N94" i="153"/>
  <c r="O94" i="153"/>
  <c r="N37" i="151"/>
  <c r="O127" i="148"/>
  <c r="N127" i="148"/>
  <c r="O58" i="149"/>
  <c r="N58" i="149"/>
  <c r="K95" i="150"/>
  <c r="K36" i="150"/>
  <c r="J36" i="150"/>
  <c r="I34" i="150"/>
  <c r="F109" i="149"/>
  <c r="E109" i="149"/>
  <c r="D109" i="149"/>
  <c r="J109" i="149"/>
  <c r="K109" i="149" s="1"/>
  <c r="M109" i="149" s="1"/>
  <c r="J14" i="148"/>
  <c r="K14" i="148" s="1"/>
  <c r="J15" i="148"/>
  <c r="K15" i="148" s="1"/>
  <c r="M15" i="148" s="1"/>
  <c r="N160" i="149"/>
  <c r="O160" i="149"/>
  <c r="K42" i="144"/>
  <c r="M42" i="144" s="1"/>
  <c r="G165" i="144"/>
  <c r="C175" i="144"/>
  <c r="M116" i="143"/>
  <c r="K114" i="143"/>
  <c r="L114" i="143" s="1"/>
  <c r="C56" i="143"/>
  <c r="G46" i="143"/>
  <c r="J31" i="144"/>
  <c r="K31" i="144" s="1"/>
  <c r="J32" i="144"/>
  <c r="K32" i="144" s="1"/>
  <c r="M32" i="144" s="1"/>
  <c r="O92" i="143"/>
  <c r="N92" i="143"/>
  <c r="N43" i="143"/>
  <c r="O43" i="143"/>
  <c r="N26" i="144"/>
  <c r="O26" i="144"/>
  <c r="N22" i="159"/>
  <c r="O22" i="159"/>
  <c r="J14" i="159"/>
  <c r="K14" i="159" s="1"/>
  <c r="J15" i="159"/>
  <c r="K15" i="159" s="1"/>
  <c r="M15" i="159" s="1"/>
  <c r="J126" i="154"/>
  <c r="K126" i="154" s="1"/>
  <c r="M126" i="154" s="1"/>
  <c r="F126" i="154"/>
  <c r="E126" i="154"/>
  <c r="D126" i="154"/>
  <c r="M36" i="157"/>
  <c r="O37" i="157"/>
  <c r="N37" i="157"/>
  <c r="N36" i="157" s="1"/>
  <c r="F175" i="154"/>
  <c r="E175" i="154"/>
  <c r="I178" i="154"/>
  <c r="C107" i="155"/>
  <c r="J95" i="155"/>
  <c r="G80" i="154"/>
  <c r="N43" i="154"/>
  <c r="O43" i="154"/>
  <c r="J99" i="153"/>
  <c r="K99" i="153" s="1"/>
  <c r="J100" i="153"/>
  <c r="K100" i="153" s="1"/>
  <c r="M100" i="153" s="1"/>
  <c r="N57" i="154"/>
  <c r="O57" i="154"/>
  <c r="F160" i="154"/>
  <c r="E160" i="154"/>
  <c r="D160" i="154"/>
  <c r="J160" i="154"/>
  <c r="K160" i="154" s="1"/>
  <c r="M160" i="154" s="1"/>
  <c r="O141" i="153"/>
  <c r="N141" i="153"/>
  <c r="O168" i="149"/>
  <c r="N168" i="149"/>
  <c r="F24" i="153"/>
  <c r="E24" i="153"/>
  <c r="D24" i="153"/>
  <c r="J24" i="153"/>
  <c r="K24" i="153" s="1"/>
  <c r="M24" i="153" s="1"/>
  <c r="O95" i="153"/>
  <c r="N95" i="153"/>
  <c r="O37" i="151"/>
  <c r="M116" i="148"/>
  <c r="K114" i="148"/>
  <c r="L114" i="148" s="1"/>
  <c r="D41" i="149"/>
  <c r="E41" i="149"/>
  <c r="J41" i="149"/>
  <c r="K41" i="149" s="1"/>
  <c r="M41" i="149" s="1"/>
  <c r="F41" i="149"/>
  <c r="O182" i="148"/>
  <c r="F158" i="148"/>
  <c r="E158" i="148"/>
  <c r="I161" i="148"/>
  <c r="K158" i="148"/>
  <c r="M158" i="148" s="1"/>
  <c r="O93" i="149"/>
  <c r="N93" i="149"/>
  <c r="E124" i="148"/>
  <c r="I127" i="148"/>
  <c r="F124" i="148"/>
  <c r="M9" i="147"/>
  <c r="O36" i="152"/>
  <c r="J95" i="145"/>
  <c r="O179" i="143"/>
  <c r="N179" i="143"/>
  <c r="M82" i="144"/>
  <c r="K80" i="144"/>
  <c r="L80" i="144" s="1"/>
  <c r="J99" i="143"/>
  <c r="K99" i="143" s="1"/>
  <c r="J100" i="143"/>
  <c r="K100" i="143" s="1"/>
  <c r="M100" i="143" s="1"/>
  <c r="F41" i="144"/>
  <c r="J41" i="144"/>
  <c r="K41" i="144" s="1"/>
  <c r="M41" i="144" s="1"/>
  <c r="E41" i="144"/>
  <c r="D41" i="144"/>
  <c r="N41" i="143"/>
  <c r="O41" i="143"/>
  <c r="N42" i="143"/>
  <c r="O42" i="143"/>
  <c r="N126" i="144"/>
  <c r="O126" i="144"/>
  <c r="O27" i="144"/>
  <c r="N27" i="144"/>
  <c r="O15" i="143"/>
  <c r="N15" i="143"/>
  <c r="N12" i="162"/>
  <c r="N12" i="161"/>
  <c r="M133" i="159"/>
  <c r="K131" i="159"/>
  <c r="L131" i="159" s="1"/>
  <c r="C124" i="159"/>
  <c r="G114" i="159"/>
  <c r="N111" i="159"/>
  <c r="O111" i="159"/>
  <c r="F73" i="158"/>
  <c r="E73" i="158"/>
  <c r="I76" i="158"/>
  <c r="K76" i="158"/>
  <c r="M76" i="158" s="1"/>
  <c r="O177" i="159"/>
  <c r="N177" i="159"/>
  <c r="O27" i="158"/>
  <c r="N27" i="158"/>
  <c r="N23" i="158"/>
  <c r="O23" i="158"/>
  <c r="J24" i="159"/>
  <c r="K24" i="159" s="1"/>
  <c r="M24" i="159" s="1"/>
  <c r="F24" i="159"/>
  <c r="E24" i="159"/>
  <c r="D24" i="159"/>
  <c r="M37" i="156"/>
  <c r="O38" i="156"/>
  <c r="N38" i="156"/>
  <c r="N37" i="156" s="1"/>
  <c r="K93" i="154"/>
  <c r="M93" i="154" s="1"/>
  <c r="O44" i="154"/>
  <c r="N44" i="154"/>
  <c r="N60" i="154"/>
  <c r="O60" i="154"/>
  <c r="O182" i="153"/>
  <c r="N61" i="153"/>
  <c r="O61" i="153"/>
  <c r="O160" i="153"/>
  <c r="N160" i="153"/>
  <c r="J177" i="149"/>
  <c r="K177" i="149" s="1"/>
  <c r="M177" i="149" s="1"/>
  <c r="F177" i="149"/>
  <c r="D177" i="149"/>
  <c r="E177" i="149"/>
  <c r="O127" i="153"/>
  <c r="N127" i="153"/>
  <c r="M167" i="149"/>
  <c r="O59" i="153"/>
  <c r="N59" i="153"/>
  <c r="N93" i="153"/>
  <c r="O93" i="153"/>
  <c r="N176" i="149"/>
  <c r="O176" i="149"/>
  <c r="K9" i="152"/>
  <c r="O161" i="149"/>
  <c r="N161" i="149"/>
  <c r="N44" i="148"/>
  <c r="O44" i="148"/>
  <c r="I84" i="150"/>
  <c r="K85" i="150"/>
  <c r="K84" i="150" s="1"/>
  <c r="J85" i="150"/>
  <c r="J84" i="150" s="1"/>
  <c r="O26" i="153"/>
  <c r="N26" i="153"/>
  <c r="O100" i="148"/>
  <c r="N100" i="148"/>
  <c r="N12" i="147"/>
  <c r="O129" i="149"/>
  <c r="N129" i="149"/>
  <c r="O159" i="144"/>
  <c r="N159" i="144"/>
  <c r="I13" i="145"/>
  <c r="K14" i="145"/>
  <c r="J14" i="145"/>
  <c r="N37" i="146"/>
  <c r="F107" i="143"/>
  <c r="E107" i="143"/>
  <c r="K107" i="143"/>
  <c r="M107" i="143" s="1"/>
  <c r="I110" i="143"/>
  <c r="J167" i="143"/>
  <c r="K167" i="143" s="1"/>
  <c r="J168" i="143"/>
  <c r="K168" i="143" s="1"/>
  <c r="M168" i="143" s="1"/>
  <c r="K25" i="144"/>
  <c r="M25" i="144" s="1"/>
  <c r="O91" i="143"/>
  <c r="N91" i="143"/>
  <c r="M14" i="143"/>
  <c r="O60" i="159"/>
  <c r="N60" i="159"/>
  <c r="J117" i="159"/>
  <c r="K117" i="159" s="1"/>
  <c r="M117" i="159" s="1"/>
  <c r="J116" i="159"/>
  <c r="K116" i="159" s="1"/>
  <c r="N112" i="159"/>
  <c r="O112" i="159"/>
  <c r="O94" i="159"/>
  <c r="N94" i="159"/>
  <c r="N61" i="158"/>
  <c r="O61" i="158"/>
  <c r="K9" i="161"/>
  <c r="M9" i="162"/>
  <c r="M9" i="161"/>
  <c r="O134" i="159"/>
  <c r="N134" i="159"/>
  <c r="E39" i="159"/>
  <c r="F39" i="159"/>
  <c r="I42" i="159"/>
  <c r="K39" i="159"/>
  <c r="M39" i="159" s="1"/>
  <c r="M31" i="158"/>
  <c r="K29" i="158"/>
  <c r="L29" i="158" s="1"/>
  <c r="J177" i="158"/>
  <c r="K177" i="158" s="1"/>
  <c r="M177" i="158" s="1"/>
  <c r="D177" i="158"/>
  <c r="F177" i="158"/>
  <c r="E177" i="158"/>
  <c r="N12" i="156"/>
  <c r="N9" i="156" s="1"/>
  <c r="J83" i="159"/>
  <c r="K83" i="159" s="1"/>
  <c r="M83" i="159" s="1"/>
  <c r="J82" i="159"/>
  <c r="K82" i="159" s="1"/>
  <c r="O37" i="156"/>
  <c r="L37" i="156" s="1"/>
  <c r="O42" i="158"/>
  <c r="N42" i="158"/>
  <c r="N49" i="154"/>
  <c r="O49" i="154"/>
  <c r="N162" i="154"/>
  <c r="O162" i="154"/>
  <c r="O42" i="154"/>
  <c r="N42" i="154"/>
  <c r="O176" i="153"/>
  <c r="N176" i="153"/>
  <c r="O59" i="154"/>
  <c r="N59" i="154"/>
  <c r="M116" i="153"/>
  <c r="K114" i="153"/>
  <c r="L114" i="153" s="1"/>
  <c r="N182" i="153"/>
  <c r="E126" i="149"/>
  <c r="J126" i="149"/>
  <c r="K126" i="149" s="1"/>
  <c r="M126" i="149" s="1"/>
  <c r="F126" i="149"/>
  <c r="D126" i="149"/>
  <c r="O146" i="149"/>
  <c r="N146" i="149"/>
  <c r="J14" i="150"/>
  <c r="K14" i="150"/>
  <c r="I13" i="150"/>
  <c r="J75" i="149"/>
  <c r="K75" i="149" s="1"/>
  <c r="M75" i="149" s="1"/>
  <c r="F75" i="149"/>
  <c r="E75" i="149"/>
  <c r="D75" i="149"/>
  <c r="K25" i="153"/>
  <c r="M25" i="153" s="1"/>
  <c r="O94" i="149"/>
  <c r="N94" i="149"/>
  <c r="M99" i="148"/>
  <c r="K97" i="148"/>
  <c r="L97" i="148" s="1"/>
  <c r="O185" i="148"/>
  <c r="N185" i="148"/>
  <c r="N182" i="148" s="1"/>
  <c r="C141" i="148"/>
  <c r="G131" i="148"/>
  <c r="N78" i="149"/>
  <c r="O78" i="149"/>
  <c r="O12" i="147"/>
  <c r="J34" i="145"/>
  <c r="O93" i="143"/>
  <c r="N93" i="143"/>
  <c r="O59" i="144"/>
  <c r="N59" i="144"/>
  <c r="O108" i="143"/>
  <c r="N108" i="143"/>
  <c r="O22" i="143"/>
  <c r="N22" i="143"/>
  <c r="C175" i="143"/>
  <c r="G165" i="143"/>
  <c r="F90" i="144"/>
  <c r="E90" i="144"/>
  <c r="I93" i="144"/>
  <c r="O124" i="143"/>
  <c r="N124" i="143"/>
  <c r="F73" i="143"/>
  <c r="E73" i="143"/>
  <c r="I76" i="143"/>
  <c r="K73" i="143"/>
  <c r="M73" i="143" s="1"/>
  <c r="J126" i="159"/>
  <c r="K126" i="159" s="1"/>
  <c r="M126" i="159" s="1"/>
  <c r="F126" i="159"/>
  <c r="E126" i="159"/>
  <c r="D126" i="159"/>
  <c r="O94" i="158"/>
  <c r="N94" i="158"/>
  <c r="O25" i="158"/>
  <c r="N25" i="158"/>
  <c r="J167" i="158"/>
  <c r="K167" i="158" s="1"/>
  <c r="J168" i="158"/>
  <c r="K168" i="158" s="1"/>
  <c r="M168" i="158" s="1"/>
  <c r="K63" i="159"/>
  <c r="L63" i="159" s="1"/>
  <c r="J92" i="159"/>
  <c r="K92" i="159" s="1"/>
  <c r="M92" i="159" s="1"/>
  <c r="D92" i="159"/>
  <c r="F92" i="159"/>
  <c r="E92" i="159"/>
  <c r="K96" i="160"/>
  <c r="K95" i="160" s="1"/>
  <c r="I95" i="160"/>
  <c r="J96" i="160"/>
  <c r="O91" i="159"/>
  <c r="N91" i="159"/>
  <c r="K29" i="154"/>
  <c r="L29" i="154" s="1"/>
  <c r="M31" i="154"/>
  <c r="O161" i="154"/>
  <c r="N161" i="154"/>
  <c r="O39" i="154"/>
  <c r="N39" i="154"/>
  <c r="F109" i="154"/>
  <c r="J109" i="154"/>
  <c r="K109" i="154" s="1"/>
  <c r="M109" i="154" s="1"/>
  <c r="D109" i="154"/>
  <c r="E109" i="154"/>
  <c r="O14" i="154"/>
  <c r="N14" i="154"/>
  <c r="M12" i="154"/>
  <c r="N39" i="153"/>
  <c r="N29" i="153" s="1"/>
  <c r="O39" i="153"/>
  <c r="N23" i="153"/>
  <c r="O23" i="153"/>
  <c r="N112" i="149"/>
  <c r="O112" i="149"/>
  <c r="O42" i="153"/>
  <c r="O29" i="153" s="1"/>
  <c r="N42" i="153"/>
  <c r="G10" i="150"/>
  <c r="K9" i="151"/>
  <c r="I70" i="150"/>
  <c r="I10" i="150" s="1"/>
  <c r="K71" i="150"/>
  <c r="K70" i="150" s="1"/>
  <c r="J71" i="150"/>
  <c r="J70" i="150" s="1"/>
  <c r="M48" i="149"/>
  <c r="O23" i="149"/>
  <c r="N23" i="149"/>
  <c r="M65" i="149"/>
  <c r="K63" i="149"/>
  <c r="L63" i="149" s="1"/>
  <c r="N144" i="149"/>
  <c r="O144" i="149"/>
  <c r="O73" i="148"/>
  <c r="N73" i="148"/>
  <c r="J133" i="148"/>
  <c r="K133" i="148" s="1"/>
  <c r="J134" i="148"/>
  <c r="K134" i="148" s="1"/>
  <c r="M134" i="148" s="1"/>
  <c r="O176" i="144"/>
  <c r="N176" i="144"/>
  <c r="O127" i="144"/>
  <c r="N127" i="144"/>
  <c r="I144" i="144"/>
  <c r="F141" i="144"/>
  <c r="E141" i="144"/>
  <c r="D24" i="143"/>
  <c r="E24" i="143"/>
  <c r="J24" i="143"/>
  <c r="K24" i="143" s="1"/>
  <c r="M24" i="143" s="1"/>
  <c r="F24" i="143"/>
  <c r="F124" i="144"/>
  <c r="E124" i="144"/>
  <c r="I127" i="144"/>
  <c r="O183" i="144"/>
  <c r="O182" i="144" s="1"/>
  <c r="N183" i="144"/>
  <c r="N182" i="144" s="1"/>
  <c r="M182" i="144"/>
  <c r="L182" i="144" s="1"/>
  <c r="D177" i="143"/>
  <c r="J177" i="143"/>
  <c r="K177" i="143" s="1"/>
  <c r="M177" i="143" s="1"/>
  <c r="F177" i="143"/>
  <c r="E177" i="143"/>
  <c r="K110" i="143"/>
  <c r="M110" i="143" s="1"/>
  <c r="O183" i="143"/>
  <c r="O182" i="143" s="1"/>
  <c r="N183" i="143"/>
  <c r="N182" i="143" s="1"/>
  <c r="M182" i="143"/>
  <c r="O75" i="159"/>
  <c r="N75" i="159"/>
  <c r="O143" i="159"/>
  <c r="N143" i="159"/>
  <c r="O179" i="159"/>
  <c r="N179" i="159"/>
  <c r="N23" i="159"/>
  <c r="O23" i="159"/>
  <c r="E56" i="158"/>
  <c r="I59" i="158"/>
  <c r="F56" i="158"/>
  <c r="J48" i="158"/>
  <c r="K48" i="158" s="1"/>
  <c r="M63" i="159"/>
  <c r="O65" i="159"/>
  <c r="N65" i="159"/>
  <c r="C90" i="159"/>
  <c r="G80" i="159"/>
  <c r="G46" i="158"/>
  <c r="N168" i="154"/>
  <c r="O168" i="154"/>
  <c r="K80" i="158"/>
  <c r="L80" i="158" s="1"/>
  <c r="M82" i="158"/>
  <c r="O124" i="158"/>
  <c r="N124" i="158"/>
  <c r="K114" i="154"/>
  <c r="L114" i="154" s="1"/>
  <c r="M116" i="154"/>
  <c r="N43" i="158"/>
  <c r="O43" i="158"/>
  <c r="M167" i="154"/>
  <c r="N61" i="154"/>
  <c r="O61" i="154"/>
  <c r="O127" i="154"/>
  <c r="N127" i="154"/>
  <c r="C107" i="154"/>
  <c r="G97" i="154"/>
  <c r="N161" i="153"/>
  <c r="O161" i="153"/>
  <c r="O110" i="153"/>
  <c r="N110" i="153"/>
  <c r="N184" i="154"/>
  <c r="N182" i="154" s="1"/>
  <c r="O184" i="154"/>
  <c r="O182" i="154" s="1"/>
  <c r="L182" i="154" s="1"/>
  <c r="J134" i="149"/>
  <c r="K134" i="149" s="1"/>
  <c r="M134" i="149" s="1"/>
  <c r="J133" i="149"/>
  <c r="K133" i="149" s="1"/>
  <c r="N90" i="149"/>
  <c r="O90" i="149"/>
  <c r="O21" i="151"/>
  <c r="N21" i="151"/>
  <c r="M29" i="153"/>
  <c r="N161" i="148"/>
  <c r="O161" i="148"/>
  <c r="O126" i="148"/>
  <c r="N126" i="148"/>
  <c r="N94" i="148"/>
  <c r="O94" i="148"/>
  <c r="K144" i="144"/>
  <c r="M144" i="144" s="1"/>
  <c r="N160" i="144"/>
  <c r="O160" i="144"/>
  <c r="N144" i="143"/>
  <c r="O144" i="143"/>
  <c r="O93" i="144"/>
  <c r="N93" i="144"/>
  <c r="O109" i="144"/>
  <c r="N109" i="144"/>
  <c r="O158" i="154"/>
  <c r="N158" i="154"/>
  <c r="O78" i="158"/>
  <c r="N78" i="158"/>
  <c r="O117" i="158"/>
  <c r="N117" i="158"/>
  <c r="O126" i="158"/>
  <c r="N126" i="158"/>
  <c r="J133" i="154"/>
  <c r="K133" i="154" s="1"/>
  <c r="J134" i="154"/>
  <c r="K134" i="154" s="1"/>
  <c r="M134" i="154" s="1"/>
  <c r="N129" i="154"/>
  <c r="O129" i="154"/>
  <c r="O90" i="154"/>
  <c r="N90" i="154"/>
  <c r="J100" i="154"/>
  <c r="K100" i="154" s="1"/>
  <c r="M100" i="154" s="1"/>
  <c r="J99" i="154"/>
  <c r="K99" i="154" s="1"/>
  <c r="O44" i="153"/>
  <c r="N44" i="153"/>
  <c r="N162" i="153"/>
  <c r="O162" i="153"/>
  <c r="N27" i="153"/>
  <c r="O27" i="153"/>
  <c r="N107" i="153"/>
  <c r="O107" i="153"/>
  <c r="O14" i="151"/>
  <c r="N14" i="151"/>
  <c r="M12" i="151"/>
  <c r="M9" i="151" s="1"/>
  <c r="N26" i="154"/>
  <c r="O26" i="154"/>
  <c r="M116" i="149"/>
  <c r="K114" i="149"/>
  <c r="L114" i="149" s="1"/>
  <c r="O43" i="153"/>
  <c r="N43" i="153"/>
  <c r="J167" i="148"/>
  <c r="K167" i="148" s="1"/>
  <c r="J168" i="148"/>
  <c r="K168" i="148" s="1"/>
  <c r="M168" i="148" s="1"/>
  <c r="N180" i="149"/>
  <c r="O180" i="149"/>
  <c r="K29" i="153"/>
  <c r="L29" i="153" s="1"/>
  <c r="J41" i="148"/>
  <c r="K41" i="148" s="1"/>
  <c r="M41" i="148" s="1"/>
  <c r="E41" i="148"/>
  <c r="D41" i="148"/>
  <c r="F41" i="148"/>
  <c r="O124" i="149"/>
  <c r="N124" i="149"/>
  <c r="O42" i="149"/>
  <c r="N42" i="149"/>
  <c r="O124" i="148"/>
  <c r="N124" i="148"/>
  <c r="O61" i="149"/>
  <c r="N61" i="149"/>
  <c r="O93" i="148"/>
  <c r="N93" i="148"/>
  <c r="N111" i="148"/>
  <c r="O111" i="148"/>
  <c r="N27" i="148"/>
  <c r="O27" i="148"/>
  <c r="M150" i="144"/>
  <c r="K148" i="144"/>
  <c r="L148" i="144" s="1"/>
  <c r="O146" i="144"/>
  <c r="N146" i="144"/>
  <c r="O38" i="147"/>
  <c r="O36" i="147" s="1"/>
  <c r="N38" i="147"/>
  <c r="N36" i="147" s="1"/>
  <c r="G10" i="145"/>
  <c r="J75" i="143"/>
  <c r="K75" i="143" s="1"/>
  <c r="M75" i="143" s="1"/>
  <c r="F75" i="143"/>
  <c r="E75" i="143"/>
  <c r="D75" i="143"/>
  <c r="O127" i="143"/>
  <c r="N127" i="143"/>
  <c r="N143" i="144"/>
  <c r="O143" i="144"/>
  <c r="K63" i="144"/>
  <c r="L63" i="144" s="1"/>
  <c r="J17" i="160"/>
  <c r="K17" i="160"/>
  <c r="K13" i="160" s="1"/>
  <c r="H13" i="160" s="1"/>
  <c r="M182" i="158"/>
  <c r="O183" i="158"/>
  <c r="O182" i="158" s="1"/>
  <c r="N183" i="158"/>
  <c r="N182" i="158" s="1"/>
  <c r="C175" i="159"/>
  <c r="G165" i="159"/>
  <c r="O25" i="159"/>
  <c r="N25" i="159"/>
  <c r="J150" i="158"/>
  <c r="K150" i="158" s="1"/>
  <c r="J151" i="158"/>
  <c r="K151" i="158" s="1"/>
  <c r="M151" i="158" s="1"/>
  <c r="N125" i="159"/>
  <c r="O125" i="159"/>
  <c r="J134" i="158"/>
  <c r="K134" i="158" s="1"/>
  <c r="M134" i="158" s="1"/>
  <c r="J133" i="158"/>
  <c r="K133" i="158" s="1"/>
  <c r="O24" i="158"/>
  <c r="N24" i="158"/>
  <c r="O146" i="154"/>
  <c r="N146" i="154"/>
  <c r="K114" i="158"/>
  <c r="L114" i="158" s="1"/>
  <c r="M116" i="158"/>
  <c r="F141" i="154"/>
  <c r="I144" i="154"/>
  <c r="E141" i="154"/>
  <c r="M48" i="154"/>
  <c r="K46" i="154"/>
  <c r="L46" i="154" s="1"/>
  <c r="I84" i="155"/>
  <c r="K85" i="155"/>
  <c r="K84" i="155" s="1"/>
  <c r="J85" i="155"/>
  <c r="J84" i="155" s="1"/>
  <c r="O112" i="154"/>
  <c r="N112" i="154"/>
  <c r="G165" i="153"/>
  <c r="C175" i="153"/>
  <c r="O146" i="153"/>
  <c r="N146" i="153"/>
  <c r="K175" i="154"/>
  <c r="M175" i="154" s="1"/>
  <c r="O25" i="154"/>
  <c r="N25" i="154"/>
  <c r="N36" i="152"/>
  <c r="J24" i="149"/>
  <c r="K24" i="149" s="1"/>
  <c r="M24" i="149" s="1"/>
  <c r="D24" i="149"/>
  <c r="E24" i="149"/>
  <c r="F24" i="149"/>
  <c r="N100" i="149"/>
  <c r="O100" i="149"/>
  <c r="O112" i="148"/>
  <c r="N112" i="148"/>
  <c r="N60" i="149"/>
  <c r="O60" i="149"/>
  <c r="O23" i="148"/>
  <c r="N23" i="148"/>
  <c r="M63" i="148"/>
  <c r="N65" i="148"/>
  <c r="O65" i="148"/>
  <c r="O63" i="148" s="1"/>
  <c r="O110" i="148"/>
  <c r="N110" i="148"/>
  <c r="N26" i="148"/>
  <c r="O26" i="148"/>
  <c r="K97" i="144"/>
  <c r="L97" i="144" s="1"/>
  <c r="M99" i="144"/>
  <c r="J70" i="145"/>
  <c r="N145" i="144"/>
  <c r="O145" i="144"/>
  <c r="C158" i="143"/>
  <c r="J150" i="143"/>
  <c r="K150" i="143" s="1"/>
  <c r="O16" i="146"/>
  <c r="O12" i="146" s="1"/>
  <c r="O9" i="146" s="1"/>
  <c r="L9" i="146" s="1"/>
  <c r="N16" i="146"/>
  <c r="N161" i="144"/>
  <c r="O161" i="144"/>
  <c r="O76" i="143"/>
  <c r="N76" i="143"/>
  <c r="J65" i="143"/>
  <c r="K65" i="143" s="1"/>
  <c r="J66" i="143"/>
  <c r="K66" i="143" s="1"/>
  <c r="M66" i="143" s="1"/>
  <c r="N94" i="144"/>
  <c r="O94" i="144"/>
  <c r="O22" i="144"/>
  <c r="N22" i="144"/>
  <c r="N109" i="143"/>
  <c r="O109" i="143"/>
  <c r="O143" i="143"/>
  <c r="N143" i="143"/>
  <c r="N67" i="144"/>
  <c r="N63" i="144" s="1"/>
  <c r="O67" i="144"/>
  <c r="J41" i="159"/>
  <c r="K41" i="159" s="1"/>
  <c r="M41" i="159" s="1"/>
  <c r="F41" i="159"/>
  <c r="E41" i="159"/>
  <c r="D41" i="159"/>
  <c r="J71" i="160"/>
  <c r="J70" i="160" s="1"/>
  <c r="K71" i="160"/>
  <c r="K70" i="160" s="1"/>
  <c r="I70" i="160"/>
  <c r="J168" i="159"/>
  <c r="K168" i="159" s="1"/>
  <c r="M168" i="159" s="1"/>
  <c r="J167" i="159"/>
  <c r="K167" i="159" s="1"/>
  <c r="F160" i="158"/>
  <c r="J160" i="158"/>
  <c r="K160" i="158" s="1"/>
  <c r="M160" i="158" s="1"/>
  <c r="E160" i="158"/>
  <c r="D160" i="158"/>
  <c r="M14" i="158"/>
  <c r="K12" i="158"/>
  <c r="O73" i="159"/>
  <c r="N73" i="159"/>
  <c r="F143" i="158"/>
  <c r="E143" i="158"/>
  <c r="J143" i="158"/>
  <c r="K143" i="158" s="1"/>
  <c r="M143" i="158" s="1"/>
  <c r="D143" i="158"/>
  <c r="N176" i="159"/>
  <c r="O176" i="159"/>
  <c r="K9" i="162"/>
  <c r="N37" i="161"/>
  <c r="O160" i="159"/>
  <c r="N160" i="159"/>
  <c r="O93" i="158"/>
  <c r="N93" i="158"/>
  <c r="J100" i="159"/>
  <c r="K100" i="159" s="1"/>
  <c r="M100" i="159" s="1"/>
  <c r="J99" i="159"/>
  <c r="K99" i="159" s="1"/>
  <c r="O161" i="158"/>
  <c r="N161" i="158"/>
  <c r="C141" i="158"/>
  <c r="G131" i="158"/>
  <c r="N77" i="158"/>
  <c r="O77" i="158"/>
  <c r="N145" i="158"/>
  <c r="O145" i="158"/>
  <c r="K144" i="154"/>
  <c r="M144" i="154" s="1"/>
  <c r="J71" i="155"/>
  <c r="J70" i="155" s="1"/>
  <c r="K71" i="155"/>
  <c r="K70" i="155" s="1"/>
  <c r="I70" i="155"/>
  <c r="I10" i="155" s="1"/>
  <c r="N177" i="154"/>
  <c r="O177" i="154"/>
  <c r="O92" i="154"/>
  <c r="N92" i="154"/>
  <c r="O143" i="154"/>
  <c r="N143" i="154"/>
  <c r="J177" i="153"/>
  <c r="K177" i="153" s="1"/>
  <c r="M177" i="153" s="1"/>
  <c r="F177" i="153"/>
  <c r="D177" i="153"/>
  <c r="E177" i="153"/>
  <c r="O145" i="153"/>
  <c r="N145" i="153"/>
  <c r="O15" i="152"/>
  <c r="O12" i="152" s="1"/>
  <c r="O9" i="152" s="1"/>
  <c r="L9" i="152" s="1"/>
  <c r="N15" i="152"/>
  <c r="N12" i="152" s="1"/>
  <c r="N9" i="152" s="1"/>
  <c r="M12" i="152"/>
  <c r="M9" i="152" s="1"/>
  <c r="M182" i="149"/>
  <c r="L182" i="149" s="1"/>
  <c r="O183" i="149"/>
  <c r="O182" i="149" s="1"/>
  <c r="N183" i="149"/>
  <c r="N182" i="149" s="1"/>
  <c r="N177" i="148"/>
  <c r="O177" i="148"/>
  <c r="N43" i="149"/>
  <c r="O43" i="149"/>
  <c r="J14" i="149"/>
  <c r="K14" i="149" s="1"/>
  <c r="J15" i="149"/>
  <c r="K15" i="149" s="1"/>
  <c r="M15" i="149" s="1"/>
  <c r="K80" i="148"/>
  <c r="L80" i="148" s="1"/>
  <c r="M82" i="148"/>
  <c r="J143" i="148"/>
  <c r="K143" i="148" s="1"/>
  <c r="M143" i="148" s="1"/>
  <c r="F143" i="148"/>
  <c r="E143" i="148"/>
  <c r="D143" i="148"/>
  <c r="N160" i="148"/>
  <c r="O160" i="148"/>
  <c r="J58" i="148"/>
  <c r="K58" i="148" s="1"/>
  <c r="M58" i="148" s="1"/>
  <c r="F58" i="148"/>
  <c r="D58" i="148"/>
  <c r="E58" i="148"/>
  <c r="O39" i="148"/>
  <c r="N39" i="148"/>
  <c r="O95" i="148"/>
  <c r="N95" i="148"/>
  <c r="K59" i="149"/>
  <c r="M59" i="149" s="1"/>
  <c r="O90" i="148"/>
  <c r="N90" i="148"/>
  <c r="K63" i="148"/>
  <c r="L63" i="148" s="1"/>
  <c r="O107" i="148"/>
  <c r="N107" i="148"/>
  <c r="O25" i="148"/>
  <c r="N25" i="148"/>
  <c r="O109" i="148"/>
  <c r="N109" i="148"/>
  <c r="K46" i="144"/>
  <c r="L46" i="144" s="1"/>
  <c r="M48" i="144"/>
  <c r="K70" i="145"/>
  <c r="K141" i="144"/>
  <c r="M141" i="144" s="1"/>
  <c r="M116" i="144"/>
  <c r="K114" i="144"/>
  <c r="L114" i="144" s="1"/>
  <c r="O60" i="143"/>
  <c r="N60" i="143"/>
  <c r="J15" i="144"/>
  <c r="K15" i="144" s="1"/>
  <c r="M15" i="144" s="1"/>
  <c r="J14" i="144"/>
  <c r="K14" i="144" s="1"/>
  <c r="O125" i="144"/>
  <c r="N125" i="144"/>
  <c r="O37" i="161"/>
  <c r="O9" i="161" s="1"/>
  <c r="L9" i="161" s="1"/>
  <c r="N36" i="162"/>
  <c r="O158" i="159"/>
  <c r="N158" i="159"/>
  <c r="O179" i="158"/>
  <c r="N179" i="158"/>
  <c r="C107" i="159"/>
  <c r="K110" i="159" s="1"/>
  <c r="M110" i="159" s="1"/>
  <c r="G97" i="159"/>
  <c r="O12" i="156"/>
  <c r="O9" i="156" s="1"/>
  <c r="O26" i="159"/>
  <c r="N26" i="159"/>
  <c r="M9" i="156"/>
  <c r="O124" i="154"/>
  <c r="N124" i="154"/>
  <c r="K59" i="158"/>
  <c r="M59" i="158" s="1"/>
  <c r="J34" i="155"/>
  <c r="C106" i="155" s="1"/>
  <c r="O78" i="154"/>
  <c r="N78" i="154"/>
  <c r="O163" i="154"/>
  <c r="N163" i="154"/>
  <c r="K110" i="154"/>
  <c r="M110" i="154" s="1"/>
  <c r="J134" i="153"/>
  <c r="K134" i="153" s="1"/>
  <c r="M134" i="153" s="1"/>
  <c r="J133" i="153"/>
  <c r="K133" i="153" s="1"/>
  <c r="N163" i="153"/>
  <c r="O163" i="153"/>
  <c r="N158" i="153"/>
  <c r="N148" i="153" s="1"/>
  <c r="O158" i="153"/>
  <c r="O148" i="153" s="1"/>
  <c r="O144" i="153"/>
  <c r="N144" i="153"/>
  <c r="N125" i="153"/>
  <c r="O125" i="153"/>
  <c r="O76" i="153"/>
  <c r="N76" i="153"/>
  <c r="N162" i="149"/>
  <c r="O162" i="149"/>
  <c r="O141" i="149"/>
  <c r="N141" i="149"/>
  <c r="O56" i="149"/>
  <c r="N56" i="149"/>
  <c r="G12" i="149"/>
  <c r="C22" i="149"/>
  <c r="K22" i="149" s="1"/>
  <c r="M22" i="149" s="1"/>
  <c r="J49" i="148"/>
  <c r="K49" i="148" s="1"/>
  <c r="M49" i="148" s="1"/>
  <c r="J48" i="148"/>
  <c r="K48" i="148" s="1"/>
  <c r="O159" i="148"/>
  <c r="N159" i="148"/>
  <c r="O32" i="148"/>
  <c r="N32" i="148"/>
  <c r="O82" i="149"/>
  <c r="O80" i="149" s="1"/>
  <c r="N82" i="149"/>
  <c r="N80" i="149" s="1"/>
  <c r="M80" i="149"/>
  <c r="N39" i="144"/>
  <c r="O39" i="144"/>
  <c r="K131" i="144"/>
  <c r="L131" i="144" s="1"/>
  <c r="M133" i="144"/>
  <c r="K34" i="145"/>
  <c r="O57" i="143"/>
  <c r="N57" i="143"/>
  <c r="G97" i="143"/>
  <c r="F24" i="144"/>
  <c r="E24" i="144"/>
  <c r="D24" i="144"/>
  <c r="J24" i="144"/>
  <c r="K24" i="144" s="1"/>
  <c r="M24" i="144" s="1"/>
  <c r="O134" i="143"/>
  <c r="N134" i="143"/>
  <c r="O146" i="159"/>
  <c r="N146" i="159"/>
  <c r="O36" i="162"/>
  <c r="O9" i="162" s="1"/>
  <c r="L9" i="162" s="1"/>
  <c r="O183" i="159"/>
  <c r="O182" i="159" s="1"/>
  <c r="L182" i="159" s="1"/>
  <c r="N183" i="159"/>
  <c r="N182" i="159" s="1"/>
  <c r="M182" i="159"/>
  <c r="K127" i="159"/>
  <c r="M127" i="159" s="1"/>
  <c r="O159" i="158"/>
  <c r="N159" i="158"/>
  <c r="E109" i="159"/>
  <c r="J109" i="159"/>
  <c r="K109" i="159" s="1"/>
  <c r="M109" i="159" s="1"/>
  <c r="D109" i="159"/>
  <c r="F109" i="159"/>
  <c r="O40" i="158"/>
  <c r="N40" i="158"/>
  <c r="M97" i="158"/>
  <c r="O99" i="158"/>
  <c r="O97" i="158" s="1"/>
  <c r="N99" i="158"/>
  <c r="N97" i="158" s="1"/>
  <c r="N179" i="154"/>
  <c r="O179" i="154"/>
  <c r="K63" i="158"/>
  <c r="L63" i="158" s="1"/>
  <c r="M65" i="158"/>
  <c r="O75" i="154"/>
  <c r="N75" i="154"/>
  <c r="J167" i="153"/>
  <c r="K167" i="153" s="1"/>
  <c r="C73" i="154"/>
  <c r="G63" i="154"/>
  <c r="J92" i="153"/>
  <c r="K92" i="153" s="1"/>
  <c r="M92" i="153" s="1"/>
  <c r="F92" i="153"/>
  <c r="D92" i="153"/>
  <c r="E92" i="153"/>
  <c r="K148" i="153"/>
  <c r="L148" i="153" s="1"/>
  <c r="F75" i="153"/>
  <c r="D75" i="153"/>
  <c r="J75" i="153"/>
  <c r="K75" i="153" s="1"/>
  <c r="M75" i="153" s="1"/>
  <c r="E75" i="153"/>
  <c r="J34" i="150"/>
  <c r="C106" i="150" s="1"/>
  <c r="N179" i="148"/>
  <c r="O179" i="148"/>
  <c r="M150" i="148"/>
  <c r="K148" i="148"/>
  <c r="L148" i="148" s="1"/>
  <c r="O60" i="148"/>
  <c r="N60" i="148"/>
  <c r="I59" i="149"/>
  <c r="F56" i="149"/>
  <c r="E56" i="149"/>
  <c r="G46" i="148"/>
  <c r="C56" i="148"/>
  <c r="K29" i="148"/>
  <c r="L29" i="148" s="1"/>
  <c r="M31" i="148"/>
  <c r="K80" i="149"/>
  <c r="L80" i="149" s="1"/>
  <c r="I25" i="148"/>
  <c r="E22" i="148"/>
  <c r="K22" i="148"/>
  <c r="M22" i="148" s="1"/>
  <c r="F22" i="148"/>
  <c r="L37" i="146"/>
  <c r="O112" i="143"/>
  <c r="N112" i="143"/>
  <c r="F58" i="143"/>
  <c r="E58" i="143"/>
  <c r="D58" i="143"/>
  <c r="J58" i="143"/>
  <c r="K58" i="143" s="1"/>
  <c r="M58" i="143" s="1"/>
  <c r="N76" i="144"/>
  <c r="O76" i="144"/>
  <c r="O63" i="144" s="1"/>
  <c r="M31" i="143"/>
  <c r="K29" i="143"/>
  <c r="L29" i="143" s="1"/>
  <c r="N43" i="144"/>
  <c r="O43" i="144"/>
  <c r="N39" i="143"/>
  <c r="O39" i="143"/>
  <c r="F22" i="144"/>
  <c r="E22" i="144"/>
  <c r="I25" i="144"/>
  <c r="K131" i="143"/>
  <c r="L131" i="143" s="1"/>
  <c r="M133" i="143"/>
  <c r="O126" i="143"/>
  <c r="N126" i="143"/>
  <c r="J13" i="160"/>
  <c r="C105" i="160" s="1"/>
  <c r="O129" i="159"/>
  <c r="N129" i="159"/>
  <c r="I34" i="160"/>
  <c r="I10" i="160" s="1"/>
  <c r="K35" i="160"/>
  <c r="K34" i="160" s="1"/>
  <c r="K10" i="160" s="1"/>
  <c r="J35" i="160"/>
  <c r="J34" i="160" s="1"/>
  <c r="I84" i="160"/>
  <c r="K85" i="160"/>
  <c r="K84" i="160" s="1"/>
  <c r="J85" i="160"/>
  <c r="J84" i="160" s="1"/>
  <c r="N76" i="159"/>
  <c r="O76" i="159"/>
  <c r="N27" i="159"/>
  <c r="O27" i="159"/>
  <c r="O57" i="158"/>
  <c r="N57" i="158"/>
  <c r="O151" i="159"/>
  <c r="N151" i="159"/>
  <c r="O58" i="158"/>
  <c r="N58" i="158"/>
  <c r="O176" i="154"/>
  <c r="N176" i="154"/>
  <c r="O178" i="154"/>
  <c r="N178" i="154"/>
  <c r="O66" i="158"/>
  <c r="N66" i="158"/>
  <c r="O56" i="154"/>
  <c r="N56" i="154"/>
  <c r="N41" i="154"/>
  <c r="O41" i="154"/>
  <c r="N159" i="153"/>
  <c r="O159" i="153"/>
  <c r="F90" i="154"/>
  <c r="I93" i="154"/>
  <c r="E90" i="154"/>
  <c r="G10" i="155"/>
  <c r="J143" i="153"/>
  <c r="K143" i="153" s="1"/>
  <c r="M143" i="153" s="1"/>
  <c r="F143" i="153"/>
  <c r="E143" i="153"/>
  <c r="D143" i="153"/>
  <c r="L37" i="151"/>
  <c r="J150" i="154"/>
  <c r="K150" i="154" s="1"/>
  <c r="J151" i="154"/>
  <c r="K151" i="154" s="1"/>
  <c r="M151" i="154" s="1"/>
  <c r="J15" i="153"/>
  <c r="K15" i="153" s="1"/>
  <c r="M15" i="153" s="1"/>
  <c r="J14" i="153"/>
  <c r="K14" i="153" s="1"/>
  <c r="K80" i="153"/>
  <c r="L80" i="153" s="1"/>
  <c r="M82" i="153"/>
  <c r="K34" i="150"/>
  <c r="O151" i="148"/>
  <c r="N151" i="148"/>
  <c r="O92" i="148"/>
  <c r="N92" i="148"/>
  <c r="O125" i="149"/>
  <c r="N125" i="149"/>
  <c r="M31" i="149"/>
  <c r="K29" i="149"/>
  <c r="L29" i="149" s="1"/>
  <c r="N26" i="149"/>
  <c r="O26" i="149"/>
  <c r="J95" i="150"/>
  <c r="C107" i="150"/>
  <c r="C107" i="149"/>
  <c r="G97" i="149"/>
  <c r="N12" i="146"/>
  <c r="N9" i="146" s="1"/>
  <c r="F24" i="148"/>
  <c r="E24" i="148"/>
  <c r="J24" i="148"/>
  <c r="K24" i="148" s="1"/>
  <c r="M24" i="148" s="1"/>
  <c r="D24" i="148"/>
  <c r="N90" i="144"/>
  <c r="O90" i="144"/>
  <c r="J167" i="144"/>
  <c r="K167" i="144" s="1"/>
  <c r="J168" i="144"/>
  <c r="K168" i="144" s="1"/>
  <c r="M168" i="144" s="1"/>
  <c r="K85" i="145"/>
  <c r="K84" i="145" s="1"/>
  <c r="J85" i="145"/>
  <c r="J84" i="145" s="1"/>
  <c r="I84" i="145"/>
  <c r="I10" i="145" s="1"/>
  <c r="J48" i="143"/>
  <c r="K48" i="143" s="1"/>
  <c r="J49" i="143"/>
  <c r="K49" i="143" s="1"/>
  <c r="M49" i="143" s="1"/>
  <c r="O25" i="143"/>
  <c r="N25" i="143"/>
  <c r="I42" i="144"/>
  <c r="F39" i="144"/>
  <c r="E39" i="144"/>
  <c r="M63" i="144"/>
  <c r="N95" i="144"/>
  <c r="O95" i="144"/>
  <c r="O142" i="144"/>
  <c r="N142" i="144"/>
  <c r="O58" i="144"/>
  <c r="N58" i="144"/>
  <c r="M82" i="143"/>
  <c r="K80" i="143"/>
  <c r="L80" i="143" s="1"/>
  <c r="O39" i="138"/>
  <c r="N39" i="138"/>
  <c r="O124" i="133"/>
  <c r="N124" i="133"/>
  <c r="N57" i="132"/>
  <c r="O57" i="132"/>
  <c r="O78" i="132"/>
  <c r="N78" i="132"/>
  <c r="O73" i="138"/>
  <c r="N73" i="138"/>
  <c r="N158" i="133"/>
  <c r="O158" i="133"/>
  <c r="O142" i="132"/>
  <c r="N142" i="132"/>
  <c r="O74" i="132"/>
  <c r="N74" i="132"/>
  <c r="M141" i="132"/>
  <c r="K131" i="132"/>
  <c r="L131" i="132" s="1"/>
  <c r="O73" i="137"/>
  <c r="N73" i="137"/>
  <c r="N129" i="132"/>
  <c r="O129" i="132"/>
  <c r="O40" i="137"/>
  <c r="N40" i="137"/>
  <c r="N57" i="137"/>
  <c r="O57" i="137"/>
  <c r="M158" i="132"/>
  <c r="K148" i="132"/>
  <c r="L148" i="132" s="1"/>
  <c r="O56" i="137"/>
  <c r="N56" i="137"/>
  <c r="O95" i="133"/>
  <c r="N95" i="133"/>
  <c r="N161" i="137"/>
  <c r="O161" i="137"/>
  <c r="O158" i="138"/>
  <c r="N158" i="138"/>
  <c r="N73" i="132"/>
  <c r="O73" i="132"/>
  <c r="F175" i="138"/>
  <c r="I178" i="138"/>
  <c r="E175" i="138"/>
  <c r="J48" i="138"/>
  <c r="K48" i="138" s="1"/>
  <c r="J49" i="138"/>
  <c r="K49" i="138" s="1"/>
  <c r="M49" i="138" s="1"/>
  <c r="O145" i="137"/>
  <c r="N145" i="137"/>
  <c r="K148" i="138"/>
  <c r="L148" i="138" s="1"/>
  <c r="M150" i="138"/>
  <c r="E24" i="138"/>
  <c r="D24" i="138"/>
  <c r="F24" i="138"/>
  <c r="J24" i="138"/>
  <c r="K24" i="138" s="1"/>
  <c r="M24" i="138" s="1"/>
  <c r="O141" i="137"/>
  <c r="N141" i="137"/>
  <c r="O75" i="137"/>
  <c r="N75" i="137"/>
  <c r="J160" i="137"/>
  <c r="K160" i="137" s="1"/>
  <c r="M160" i="137" s="1"/>
  <c r="F160" i="137"/>
  <c r="D160" i="137"/>
  <c r="E160" i="137"/>
  <c r="G10" i="134"/>
  <c r="G114" i="132"/>
  <c r="C124" i="132"/>
  <c r="I127" i="133"/>
  <c r="F124" i="133"/>
  <c r="K127" i="133"/>
  <c r="M127" i="133" s="1"/>
  <c r="E124" i="133"/>
  <c r="M31" i="133"/>
  <c r="O150" i="132"/>
  <c r="N150" i="132"/>
  <c r="M148" i="132"/>
  <c r="O15" i="132"/>
  <c r="N15" i="132"/>
  <c r="O100" i="132"/>
  <c r="N100" i="132"/>
  <c r="J134" i="138"/>
  <c r="K134" i="138" s="1"/>
  <c r="M134" i="138" s="1"/>
  <c r="J133" i="138"/>
  <c r="K133" i="138" s="1"/>
  <c r="K178" i="138"/>
  <c r="M178" i="138" s="1"/>
  <c r="D58" i="138"/>
  <c r="E58" i="138"/>
  <c r="J58" i="138"/>
  <c r="K58" i="138" s="1"/>
  <c r="M58" i="138" s="1"/>
  <c r="F58" i="138"/>
  <c r="K35" i="139"/>
  <c r="K34" i="139" s="1"/>
  <c r="J35" i="139"/>
  <c r="J34" i="139" s="1"/>
  <c r="I34" i="139"/>
  <c r="O144" i="137"/>
  <c r="N144" i="137"/>
  <c r="J150" i="137"/>
  <c r="K150" i="137" s="1"/>
  <c r="J151" i="137"/>
  <c r="K151" i="137" s="1"/>
  <c r="M151" i="137" s="1"/>
  <c r="O37" i="135"/>
  <c r="L37" i="135" s="1"/>
  <c r="N108" i="133"/>
  <c r="O108" i="133"/>
  <c r="F107" i="132"/>
  <c r="I110" i="132"/>
  <c r="E107" i="132"/>
  <c r="N184" i="133"/>
  <c r="O184" i="133"/>
  <c r="O111" i="133"/>
  <c r="N111" i="133"/>
  <c r="K110" i="132"/>
  <c r="M110" i="132" s="1"/>
  <c r="O75" i="132"/>
  <c r="N75" i="132"/>
  <c r="M14" i="132"/>
  <c r="O161" i="138"/>
  <c r="N161" i="138"/>
  <c r="N91" i="138"/>
  <c r="O91" i="138"/>
  <c r="O107" i="138"/>
  <c r="N107" i="138"/>
  <c r="N60" i="138"/>
  <c r="O60" i="138"/>
  <c r="N124" i="137"/>
  <c r="O124" i="137"/>
  <c r="M82" i="133"/>
  <c r="K80" i="133"/>
  <c r="L80" i="133" s="1"/>
  <c r="J95" i="134"/>
  <c r="C107" i="134"/>
  <c r="M9" i="135"/>
  <c r="O75" i="133"/>
  <c r="N75" i="133"/>
  <c r="J109" i="132"/>
  <c r="K109" i="132" s="1"/>
  <c r="M109" i="132" s="1"/>
  <c r="D109" i="132"/>
  <c r="F109" i="132"/>
  <c r="E109" i="132"/>
  <c r="O183" i="132"/>
  <c r="O182" i="132" s="1"/>
  <c r="N183" i="132"/>
  <c r="N182" i="132" s="1"/>
  <c r="M182" i="132"/>
  <c r="O92" i="132"/>
  <c r="N92" i="132"/>
  <c r="M36" i="141"/>
  <c r="O37" i="141"/>
  <c r="N37" i="141"/>
  <c r="N36" i="141" s="1"/>
  <c r="N9" i="141" s="1"/>
  <c r="K9" i="141"/>
  <c r="O38" i="140"/>
  <c r="N38" i="140"/>
  <c r="N37" i="140" s="1"/>
  <c r="M37" i="140"/>
  <c r="L37" i="140" s="1"/>
  <c r="K96" i="139"/>
  <c r="K95" i="139" s="1"/>
  <c r="J96" i="139"/>
  <c r="I95" i="139"/>
  <c r="J83" i="138"/>
  <c r="K83" i="138" s="1"/>
  <c r="M83" i="138" s="1"/>
  <c r="J82" i="138"/>
  <c r="K82" i="138" s="1"/>
  <c r="O109" i="138"/>
  <c r="N109" i="138"/>
  <c r="O129" i="138"/>
  <c r="N129" i="138"/>
  <c r="D75" i="138"/>
  <c r="F75" i="138"/>
  <c r="E75" i="138"/>
  <c r="J75" i="138"/>
  <c r="K75" i="138" s="1"/>
  <c r="M75" i="138" s="1"/>
  <c r="J167" i="137"/>
  <c r="K167" i="137" s="1"/>
  <c r="J168" i="137"/>
  <c r="K168" i="137" s="1"/>
  <c r="M168" i="137" s="1"/>
  <c r="F58" i="137"/>
  <c r="E58" i="137"/>
  <c r="D58" i="137"/>
  <c r="J58" i="137"/>
  <c r="K58" i="137" s="1"/>
  <c r="M58" i="137" s="1"/>
  <c r="K114" i="137"/>
  <c r="L114" i="137" s="1"/>
  <c r="M116" i="137"/>
  <c r="O93" i="137"/>
  <c r="N93" i="137"/>
  <c r="N25" i="137"/>
  <c r="O25" i="137"/>
  <c r="N177" i="137"/>
  <c r="O177" i="137"/>
  <c r="J41" i="137"/>
  <c r="K41" i="137" s="1"/>
  <c r="M41" i="137" s="1"/>
  <c r="F41" i="137"/>
  <c r="E41" i="137"/>
  <c r="D41" i="137"/>
  <c r="N12" i="135"/>
  <c r="N93" i="132"/>
  <c r="O93" i="132"/>
  <c r="K131" i="133"/>
  <c r="L131" i="133" s="1"/>
  <c r="M133" i="133"/>
  <c r="J58" i="132"/>
  <c r="K58" i="132" s="1"/>
  <c r="M58" i="132" s="1"/>
  <c r="F58" i="132"/>
  <c r="E58" i="132"/>
  <c r="D58" i="132"/>
  <c r="J99" i="133"/>
  <c r="K99" i="133" s="1"/>
  <c r="J100" i="133"/>
  <c r="K100" i="133" s="1"/>
  <c r="M100" i="133" s="1"/>
  <c r="C22" i="132"/>
  <c r="G12" i="132"/>
  <c r="K107" i="132"/>
  <c r="M107" i="132" s="1"/>
  <c r="N133" i="132"/>
  <c r="M131" i="132"/>
  <c r="O133" i="132"/>
  <c r="N146" i="138"/>
  <c r="O146" i="138"/>
  <c r="O180" i="138"/>
  <c r="N180" i="138"/>
  <c r="O61" i="138"/>
  <c r="N61" i="138"/>
  <c r="I84" i="139"/>
  <c r="K85" i="139"/>
  <c r="K84" i="139" s="1"/>
  <c r="J85" i="139"/>
  <c r="J84" i="139" s="1"/>
  <c r="J65" i="138"/>
  <c r="K65" i="138" s="1"/>
  <c r="J66" i="138"/>
  <c r="K66" i="138" s="1"/>
  <c r="M66" i="138" s="1"/>
  <c r="C175" i="137"/>
  <c r="G165" i="137"/>
  <c r="O76" i="138"/>
  <c r="N76" i="138"/>
  <c r="N94" i="137"/>
  <c r="O94" i="137"/>
  <c r="O111" i="137"/>
  <c r="N111" i="137"/>
  <c r="O107" i="137"/>
  <c r="N107" i="137"/>
  <c r="M182" i="137"/>
  <c r="O183" i="137"/>
  <c r="O182" i="137" s="1"/>
  <c r="N183" i="137"/>
  <c r="N182" i="137" s="1"/>
  <c r="I84" i="134"/>
  <c r="J85" i="134"/>
  <c r="J84" i="134" s="1"/>
  <c r="K85" i="134"/>
  <c r="K84" i="134" s="1"/>
  <c r="J31" i="137"/>
  <c r="K31" i="137" s="1"/>
  <c r="J32" i="137"/>
  <c r="K32" i="137" s="1"/>
  <c r="M32" i="137" s="1"/>
  <c r="J70" i="134"/>
  <c r="J34" i="134"/>
  <c r="N94" i="133"/>
  <c r="O94" i="133"/>
  <c r="O146" i="133"/>
  <c r="N146" i="133"/>
  <c r="I144" i="133"/>
  <c r="F141" i="133"/>
  <c r="K144" i="133"/>
  <c r="M144" i="133" s="1"/>
  <c r="K141" i="133"/>
  <c r="M141" i="133" s="1"/>
  <c r="E141" i="133"/>
  <c r="O125" i="132"/>
  <c r="N125" i="132"/>
  <c r="J24" i="133"/>
  <c r="K24" i="133" s="1"/>
  <c r="M24" i="133" s="1"/>
  <c r="D24" i="133"/>
  <c r="F24" i="133"/>
  <c r="E24" i="133"/>
  <c r="J72" i="134"/>
  <c r="I70" i="134"/>
  <c r="K72" i="134"/>
  <c r="K70" i="134" s="1"/>
  <c r="G97" i="133"/>
  <c r="C107" i="133"/>
  <c r="O90" i="132"/>
  <c r="N90" i="132"/>
  <c r="N12" i="140"/>
  <c r="N9" i="140" s="1"/>
  <c r="O163" i="138"/>
  <c r="N163" i="138"/>
  <c r="J117" i="138"/>
  <c r="K117" i="138" s="1"/>
  <c r="M117" i="138" s="1"/>
  <c r="J116" i="138"/>
  <c r="K116" i="138" s="1"/>
  <c r="O126" i="138"/>
  <c r="N126" i="138"/>
  <c r="N27" i="138"/>
  <c r="O27" i="138"/>
  <c r="O162" i="137"/>
  <c r="N162" i="137"/>
  <c r="N126" i="137"/>
  <c r="O126" i="137"/>
  <c r="O76" i="137"/>
  <c r="N76" i="137"/>
  <c r="J99" i="137"/>
  <c r="K99" i="137" s="1"/>
  <c r="J100" i="137"/>
  <c r="K100" i="137" s="1"/>
  <c r="M100" i="137" s="1"/>
  <c r="N127" i="137"/>
  <c r="O127" i="137"/>
  <c r="O15" i="137"/>
  <c r="N15" i="137"/>
  <c r="O91" i="137"/>
  <c r="N91" i="137"/>
  <c r="N180" i="133"/>
  <c r="O180" i="133"/>
  <c r="C39" i="137"/>
  <c r="G29" i="137"/>
  <c r="O91" i="133"/>
  <c r="N91" i="133"/>
  <c r="J66" i="133"/>
  <c r="K66" i="133" s="1"/>
  <c r="M66" i="133" s="1"/>
  <c r="J65" i="133"/>
  <c r="K65" i="133" s="1"/>
  <c r="M182" i="133"/>
  <c r="M116" i="132"/>
  <c r="O43" i="133"/>
  <c r="N43" i="133"/>
  <c r="J66" i="132"/>
  <c r="K66" i="132" s="1"/>
  <c r="M66" i="132" s="1"/>
  <c r="J65" i="132"/>
  <c r="K65" i="132" s="1"/>
  <c r="J15" i="133"/>
  <c r="K15" i="133" s="1"/>
  <c r="M15" i="133" s="1"/>
  <c r="J14" i="133"/>
  <c r="K14" i="133" s="1"/>
  <c r="J109" i="133"/>
  <c r="K109" i="133" s="1"/>
  <c r="M109" i="133" s="1"/>
  <c r="D109" i="133"/>
  <c r="F109" i="133"/>
  <c r="E109" i="133"/>
  <c r="O12" i="140"/>
  <c r="N128" i="138"/>
  <c r="O128" i="138"/>
  <c r="O142" i="138"/>
  <c r="N142" i="138"/>
  <c r="O95" i="138"/>
  <c r="N95" i="138"/>
  <c r="O43" i="138"/>
  <c r="N43" i="138"/>
  <c r="N42" i="138"/>
  <c r="O42" i="138"/>
  <c r="O143" i="137"/>
  <c r="N143" i="137"/>
  <c r="G10" i="139"/>
  <c r="K25" i="138"/>
  <c r="M25" i="138" s="1"/>
  <c r="N61" i="137"/>
  <c r="O61" i="137"/>
  <c r="E107" i="137"/>
  <c r="F107" i="137"/>
  <c r="I110" i="137"/>
  <c r="M14" i="137"/>
  <c r="N162" i="132"/>
  <c r="O162" i="132"/>
  <c r="M116" i="133"/>
  <c r="K114" i="133"/>
  <c r="L114" i="133" s="1"/>
  <c r="C73" i="133"/>
  <c r="G63" i="133"/>
  <c r="N182" i="133"/>
  <c r="J168" i="133"/>
  <c r="K168" i="133" s="1"/>
  <c r="M168" i="133" s="1"/>
  <c r="J167" i="133"/>
  <c r="K167" i="133" s="1"/>
  <c r="O146" i="132"/>
  <c r="N146" i="132"/>
  <c r="G29" i="133"/>
  <c r="C39" i="133"/>
  <c r="J49" i="132"/>
  <c r="K49" i="132" s="1"/>
  <c r="M49" i="132" s="1"/>
  <c r="J48" i="132"/>
  <c r="K48" i="132" s="1"/>
  <c r="J24" i="132"/>
  <c r="K24" i="132" s="1"/>
  <c r="M24" i="132" s="1"/>
  <c r="F24" i="132"/>
  <c r="E24" i="132"/>
  <c r="D24" i="132"/>
  <c r="O59" i="132"/>
  <c r="N59" i="132"/>
  <c r="O78" i="138"/>
  <c r="N78" i="138"/>
  <c r="O112" i="138"/>
  <c r="N112" i="138"/>
  <c r="O77" i="138"/>
  <c r="N77" i="138"/>
  <c r="K175" i="137"/>
  <c r="M175" i="137" s="1"/>
  <c r="N183" i="138"/>
  <c r="N182" i="138" s="1"/>
  <c r="M182" i="138"/>
  <c r="O183" i="138"/>
  <c r="O182" i="138" s="1"/>
  <c r="K15" i="139"/>
  <c r="K13" i="139" s="1"/>
  <c r="H13" i="139" s="1"/>
  <c r="J15" i="139"/>
  <c r="J13" i="139" s="1"/>
  <c r="C105" i="139" s="1"/>
  <c r="N26" i="138"/>
  <c r="O26" i="138"/>
  <c r="D109" i="137"/>
  <c r="J109" i="137"/>
  <c r="K109" i="137" s="1"/>
  <c r="M109" i="137" s="1"/>
  <c r="F109" i="137"/>
  <c r="E109" i="137"/>
  <c r="F158" i="137"/>
  <c r="E158" i="137"/>
  <c r="I161" i="137"/>
  <c r="E158" i="133"/>
  <c r="I161" i="133"/>
  <c r="F158" i="133"/>
  <c r="N23" i="133"/>
  <c r="O23" i="133"/>
  <c r="O182" i="133"/>
  <c r="L182" i="133" s="1"/>
  <c r="C175" i="133"/>
  <c r="G165" i="133"/>
  <c r="F41" i="133"/>
  <c r="E41" i="133"/>
  <c r="J41" i="133"/>
  <c r="K41" i="133" s="1"/>
  <c r="M41" i="133" s="1"/>
  <c r="D41" i="133"/>
  <c r="N179" i="132"/>
  <c r="O179" i="132"/>
  <c r="K9" i="140"/>
  <c r="K70" i="139"/>
  <c r="L182" i="138"/>
  <c r="N141" i="138"/>
  <c r="O141" i="138"/>
  <c r="M65" i="137"/>
  <c r="K63" i="137"/>
  <c r="L63" i="137" s="1"/>
  <c r="N95" i="137"/>
  <c r="O95" i="137"/>
  <c r="O14" i="136"/>
  <c r="O12" i="136" s="1"/>
  <c r="N14" i="136"/>
  <c r="N12" i="136" s="1"/>
  <c r="M12" i="136"/>
  <c r="M9" i="136" s="1"/>
  <c r="O90" i="137"/>
  <c r="N90" i="137"/>
  <c r="N43" i="137"/>
  <c r="O43" i="137"/>
  <c r="M36" i="136"/>
  <c r="O37" i="136"/>
  <c r="N37" i="136"/>
  <c r="N36" i="136" s="1"/>
  <c r="K14" i="134"/>
  <c r="I10" i="134"/>
  <c r="J14" i="134"/>
  <c r="I13" i="134"/>
  <c r="K178" i="133"/>
  <c r="M178" i="133" s="1"/>
  <c r="K161" i="133"/>
  <c r="M161" i="133" s="1"/>
  <c r="O161" i="132"/>
  <c r="N161" i="132"/>
  <c r="F177" i="133"/>
  <c r="E177" i="133"/>
  <c r="D177" i="133"/>
  <c r="J177" i="133"/>
  <c r="K177" i="133" s="1"/>
  <c r="M177" i="133" s="1"/>
  <c r="O26" i="133"/>
  <c r="N26" i="133"/>
  <c r="O25" i="133"/>
  <c r="N25" i="133"/>
  <c r="O178" i="132"/>
  <c r="N178" i="132"/>
  <c r="E58" i="133"/>
  <c r="D58" i="133"/>
  <c r="J58" i="133"/>
  <c r="K58" i="133" s="1"/>
  <c r="M58" i="133" s="1"/>
  <c r="F58" i="133"/>
  <c r="O32" i="132"/>
  <c r="N32" i="132"/>
  <c r="O12" i="141"/>
  <c r="O9" i="141" s="1"/>
  <c r="L9" i="141" s="1"/>
  <c r="N167" i="138"/>
  <c r="O167" i="138"/>
  <c r="K175" i="138"/>
  <c r="O59" i="137"/>
  <c r="N59" i="137"/>
  <c r="K80" i="137"/>
  <c r="L80" i="137" s="1"/>
  <c r="M82" i="137"/>
  <c r="O74" i="137"/>
  <c r="N74" i="137"/>
  <c r="K42" i="137"/>
  <c r="M42" i="137" s="1"/>
  <c r="K73" i="133"/>
  <c r="M73" i="133" s="1"/>
  <c r="J151" i="133"/>
  <c r="K151" i="133" s="1"/>
  <c r="M151" i="133" s="1"/>
  <c r="J150" i="133"/>
  <c r="K150" i="133" s="1"/>
  <c r="O159" i="133"/>
  <c r="N159" i="133"/>
  <c r="N37" i="135"/>
  <c r="M167" i="132"/>
  <c r="K165" i="132"/>
  <c r="N160" i="132"/>
  <c r="O160" i="132"/>
  <c r="G46" i="133"/>
  <c r="C56" i="133"/>
  <c r="M31" i="132"/>
  <c r="O36" i="141"/>
  <c r="M9" i="140"/>
  <c r="M9" i="141"/>
  <c r="N179" i="138"/>
  <c r="O179" i="138"/>
  <c r="I13" i="139"/>
  <c r="K97" i="138"/>
  <c r="L97" i="138" s="1"/>
  <c r="O112" i="137"/>
  <c r="N112" i="137"/>
  <c r="C22" i="138"/>
  <c r="K22" i="138" s="1"/>
  <c r="M22" i="138" s="1"/>
  <c r="G12" i="138"/>
  <c r="J24" i="137"/>
  <c r="K24" i="137" s="1"/>
  <c r="M24" i="137" s="1"/>
  <c r="F24" i="137"/>
  <c r="D24" i="137"/>
  <c r="E24" i="137"/>
  <c r="J41" i="138"/>
  <c r="K41" i="138" s="1"/>
  <c r="M41" i="138" s="1"/>
  <c r="F41" i="138"/>
  <c r="E41" i="138"/>
  <c r="D41" i="138"/>
  <c r="O44" i="137"/>
  <c r="N44" i="137"/>
  <c r="M131" i="137"/>
  <c r="O133" i="137"/>
  <c r="O131" i="137" s="1"/>
  <c r="N133" i="137"/>
  <c r="N131" i="137" s="1"/>
  <c r="K175" i="133"/>
  <c r="M175" i="133" s="1"/>
  <c r="O91" i="132"/>
  <c r="N91" i="132"/>
  <c r="K80" i="132"/>
  <c r="L80" i="132" s="1"/>
  <c r="J70" i="139"/>
  <c r="F177" i="138"/>
  <c r="E177" i="138"/>
  <c r="D177" i="138"/>
  <c r="J177" i="138"/>
  <c r="K177" i="138" s="1"/>
  <c r="M177" i="138" s="1"/>
  <c r="N110" i="138"/>
  <c r="O110" i="138"/>
  <c r="O92" i="138"/>
  <c r="N92" i="138"/>
  <c r="C56" i="138"/>
  <c r="G46" i="138"/>
  <c r="O151" i="138"/>
  <c r="N151" i="138"/>
  <c r="M97" i="138"/>
  <c r="O99" i="138"/>
  <c r="O97" i="138" s="1"/>
  <c r="N99" i="138"/>
  <c r="M48" i="137"/>
  <c r="J14" i="138"/>
  <c r="K14" i="138" s="1"/>
  <c r="J15" i="138"/>
  <c r="K15" i="138" s="1"/>
  <c r="M15" i="138" s="1"/>
  <c r="J31" i="138"/>
  <c r="K31" i="138" s="1"/>
  <c r="J32" i="138"/>
  <c r="K32" i="138" s="1"/>
  <c r="M32" i="138" s="1"/>
  <c r="E39" i="138"/>
  <c r="I42" i="138"/>
  <c r="F39" i="138"/>
  <c r="K110" i="137"/>
  <c r="M110" i="137" s="1"/>
  <c r="K158" i="137"/>
  <c r="M158" i="137" s="1"/>
  <c r="K131" i="137"/>
  <c r="L131" i="137" s="1"/>
  <c r="G148" i="133"/>
  <c r="N160" i="133"/>
  <c r="O160" i="133"/>
  <c r="N176" i="133"/>
  <c r="O176" i="133"/>
  <c r="J48" i="133"/>
  <c r="K48" i="133" s="1"/>
  <c r="J49" i="133"/>
  <c r="K49" i="133" s="1"/>
  <c r="M49" i="133" s="1"/>
  <c r="O180" i="132"/>
  <c r="N180" i="132"/>
  <c r="N32" i="133"/>
  <c r="O32" i="133"/>
  <c r="J41" i="132"/>
  <c r="K41" i="132" s="1"/>
  <c r="M41" i="132" s="1"/>
  <c r="F41" i="132"/>
  <c r="E41" i="132"/>
  <c r="D41" i="132"/>
  <c r="O134" i="132"/>
  <c r="N134" i="132"/>
  <c r="M80" i="132"/>
  <c r="O82" i="132"/>
  <c r="N82" i="132"/>
  <c r="N80" i="132" s="1"/>
  <c r="I76" i="132"/>
  <c r="F73" i="132"/>
  <c r="E73" i="132"/>
  <c r="K76" i="132"/>
  <c r="M76" i="132" s="1"/>
  <c r="M99" i="132"/>
  <c r="K97" i="132"/>
  <c r="L97" i="132" s="1"/>
  <c r="O56" i="132"/>
  <c r="N56" i="132"/>
  <c r="O73" i="128"/>
  <c r="N73" i="128"/>
  <c r="O56" i="127"/>
  <c r="N56" i="127"/>
  <c r="N40" i="127"/>
  <c r="O40" i="127"/>
  <c r="O57" i="127"/>
  <c r="N57" i="127"/>
  <c r="K9" i="130"/>
  <c r="J168" i="128"/>
  <c r="K168" i="128" s="1"/>
  <c r="M168" i="128" s="1"/>
  <c r="J167" i="128"/>
  <c r="K167" i="128" s="1"/>
  <c r="O38" i="130"/>
  <c r="N38" i="130"/>
  <c r="N37" i="130" s="1"/>
  <c r="M37" i="130"/>
  <c r="J66" i="128"/>
  <c r="K66" i="128" s="1"/>
  <c r="M66" i="128" s="1"/>
  <c r="J65" i="128"/>
  <c r="K65" i="128" s="1"/>
  <c r="O111" i="128"/>
  <c r="N111" i="128"/>
  <c r="J167" i="127"/>
  <c r="K167" i="127" s="1"/>
  <c r="J168" i="127"/>
  <c r="K168" i="127" s="1"/>
  <c r="M168" i="127" s="1"/>
  <c r="J160" i="127"/>
  <c r="K160" i="127" s="1"/>
  <c r="M160" i="127" s="1"/>
  <c r="F160" i="127"/>
  <c r="E160" i="127"/>
  <c r="D160" i="127"/>
  <c r="O127" i="127"/>
  <c r="N127" i="127"/>
  <c r="L37" i="130"/>
  <c r="K96" i="129"/>
  <c r="K95" i="129" s="1"/>
  <c r="J96" i="129"/>
  <c r="I95" i="129"/>
  <c r="N178" i="128"/>
  <c r="O178" i="128"/>
  <c r="J13" i="129"/>
  <c r="C105" i="129" s="1"/>
  <c r="F175" i="127"/>
  <c r="E175" i="127"/>
  <c r="K175" i="127"/>
  <c r="M175" i="127" s="1"/>
  <c r="I178" i="127"/>
  <c r="O61" i="128"/>
  <c r="N61" i="128"/>
  <c r="N133" i="128"/>
  <c r="M131" i="128"/>
  <c r="O133" i="128"/>
  <c r="M133" i="127"/>
  <c r="K114" i="127"/>
  <c r="L114" i="127" s="1"/>
  <c r="M116" i="127"/>
  <c r="O26" i="128"/>
  <c r="N26" i="128"/>
  <c r="O134" i="127"/>
  <c r="N134" i="127"/>
  <c r="O125" i="127"/>
  <c r="N125" i="127"/>
  <c r="M48" i="127"/>
  <c r="K46" i="127"/>
  <c r="L46" i="127" s="1"/>
  <c r="O23" i="128"/>
  <c r="N23" i="128"/>
  <c r="K63" i="127"/>
  <c r="L63" i="127" s="1"/>
  <c r="M65" i="127"/>
  <c r="O76" i="127"/>
  <c r="N76" i="127"/>
  <c r="O22" i="128"/>
  <c r="N22" i="128"/>
  <c r="O41" i="128"/>
  <c r="N41" i="128"/>
  <c r="O108" i="127"/>
  <c r="N108" i="127"/>
  <c r="J150" i="127"/>
  <c r="K150" i="127" s="1"/>
  <c r="J151" i="127"/>
  <c r="K151" i="127" s="1"/>
  <c r="M151" i="127" s="1"/>
  <c r="O78" i="128"/>
  <c r="N78" i="128"/>
  <c r="O90" i="127"/>
  <c r="N90" i="127"/>
  <c r="O73" i="127"/>
  <c r="N73" i="127"/>
  <c r="O76" i="128"/>
  <c r="N76" i="128"/>
  <c r="O126" i="127"/>
  <c r="N126" i="127"/>
  <c r="C158" i="127"/>
  <c r="G148" i="127"/>
  <c r="J24" i="127"/>
  <c r="K24" i="127" s="1"/>
  <c r="M24" i="127" s="1"/>
  <c r="F24" i="127"/>
  <c r="E24" i="127"/>
  <c r="D24" i="127"/>
  <c r="O32" i="127"/>
  <c r="N32" i="127"/>
  <c r="O58" i="128"/>
  <c r="N58" i="128"/>
  <c r="M36" i="131"/>
  <c r="M9" i="131" s="1"/>
  <c r="O37" i="131"/>
  <c r="O9" i="131" s="1"/>
  <c r="L9" i="131" s="1"/>
  <c r="N37" i="131"/>
  <c r="N36" i="131" s="1"/>
  <c r="N9" i="131" s="1"/>
  <c r="N161" i="128"/>
  <c r="O161" i="128"/>
  <c r="G10" i="129"/>
  <c r="O142" i="128"/>
  <c r="N142" i="128"/>
  <c r="O163" i="128"/>
  <c r="N163" i="128"/>
  <c r="I84" i="129"/>
  <c r="K85" i="129"/>
  <c r="K84" i="129" s="1"/>
  <c r="J85" i="129"/>
  <c r="J84" i="129" s="1"/>
  <c r="F109" i="128"/>
  <c r="E109" i="128"/>
  <c r="D109" i="128"/>
  <c r="J109" i="128"/>
  <c r="K109" i="128" s="1"/>
  <c r="M109" i="128" s="1"/>
  <c r="O92" i="128"/>
  <c r="N92" i="128"/>
  <c r="F175" i="128"/>
  <c r="E175" i="128"/>
  <c r="I178" i="128"/>
  <c r="F92" i="127"/>
  <c r="D92" i="127"/>
  <c r="J92" i="127"/>
  <c r="K92" i="127" s="1"/>
  <c r="M92" i="127" s="1"/>
  <c r="E92" i="127"/>
  <c r="O22" i="127"/>
  <c r="N22" i="127"/>
  <c r="M31" i="127"/>
  <c r="K29" i="127"/>
  <c r="L29" i="127" s="1"/>
  <c r="O14" i="130"/>
  <c r="O12" i="130" s="1"/>
  <c r="N14" i="130"/>
  <c r="N12" i="130" s="1"/>
  <c r="N9" i="130" s="1"/>
  <c r="M12" i="130"/>
  <c r="M9" i="130" s="1"/>
  <c r="N141" i="128"/>
  <c r="O141" i="128"/>
  <c r="D126" i="128"/>
  <c r="F126" i="128"/>
  <c r="E126" i="128"/>
  <c r="J126" i="128"/>
  <c r="K126" i="128" s="1"/>
  <c r="M126" i="128" s="1"/>
  <c r="K80" i="128"/>
  <c r="L80" i="128" s="1"/>
  <c r="M82" i="128"/>
  <c r="N77" i="128"/>
  <c r="O77" i="128"/>
  <c r="N112" i="128"/>
  <c r="O112" i="128"/>
  <c r="G97" i="128"/>
  <c r="C107" i="128"/>
  <c r="K97" i="127"/>
  <c r="L97" i="127" s="1"/>
  <c r="M99" i="127"/>
  <c r="N59" i="128"/>
  <c r="O59" i="128"/>
  <c r="F56" i="128"/>
  <c r="E56" i="128"/>
  <c r="I59" i="128"/>
  <c r="J150" i="128"/>
  <c r="K150" i="128" s="1"/>
  <c r="J151" i="128"/>
  <c r="K151" i="128" s="1"/>
  <c r="M151" i="128" s="1"/>
  <c r="K178" i="127"/>
  <c r="M178" i="127" s="1"/>
  <c r="O57" i="128"/>
  <c r="N57" i="128"/>
  <c r="O25" i="127"/>
  <c r="N25" i="127"/>
  <c r="N177" i="127"/>
  <c r="O177" i="127"/>
  <c r="K93" i="127"/>
  <c r="M93" i="127" s="1"/>
  <c r="I93" i="127"/>
  <c r="F90" i="127"/>
  <c r="E90" i="127"/>
  <c r="I70" i="129"/>
  <c r="K71" i="129"/>
  <c r="K70" i="129" s="1"/>
  <c r="K10" i="129" s="1"/>
  <c r="J71" i="129"/>
  <c r="J70" i="129" s="1"/>
  <c r="N83" i="128"/>
  <c r="O83" i="128"/>
  <c r="N182" i="128"/>
  <c r="O90" i="128"/>
  <c r="N90" i="128"/>
  <c r="O60" i="128"/>
  <c r="N60" i="128"/>
  <c r="J49" i="128"/>
  <c r="K49" i="128" s="1"/>
  <c r="M49" i="128" s="1"/>
  <c r="J48" i="128"/>
  <c r="K48" i="128" s="1"/>
  <c r="I161" i="128"/>
  <c r="K158" i="128"/>
  <c r="M158" i="128" s="1"/>
  <c r="F158" i="128"/>
  <c r="E158" i="128"/>
  <c r="J99" i="128"/>
  <c r="K99" i="128" s="1"/>
  <c r="N159" i="127"/>
  <c r="O159" i="127"/>
  <c r="K175" i="128"/>
  <c r="M175" i="128" s="1"/>
  <c r="K56" i="128"/>
  <c r="M56" i="128" s="1"/>
  <c r="N177" i="128"/>
  <c r="O177" i="128"/>
  <c r="O182" i="128"/>
  <c r="L182" i="128" s="1"/>
  <c r="K12" i="128"/>
  <c r="M14" i="128"/>
  <c r="K29" i="128"/>
  <c r="L29" i="128" s="1"/>
  <c r="M31" i="128"/>
  <c r="J143" i="127"/>
  <c r="K143" i="127" s="1"/>
  <c r="M143" i="127" s="1"/>
  <c r="F143" i="127"/>
  <c r="E143" i="127"/>
  <c r="D143" i="127"/>
  <c r="E160" i="128"/>
  <c r="F160" i="128"/>
  <c r="D160" i="128"/>
  <c r="J160" i="128"/>
  <c r="K160" i="128" s="1"/>
  <c r="M160" i="128" s="1"/>
  <c r="O100" i="128"/>
  <c r="N100" i="128"/>
  <c r="N144" i="127"/>
  <c r="O144" i="127"/>
  <c r="O44" i="128"/>
  <c r="N44" i="128"/>
  <c r="O61" i="127"/>
  <c r="N61" i="127"/>
  <c r="O39" i="127"/>
  <c r="N39" i="127"/>
  <c r="O117" i="128"/>
  <c r="N117" i="128"/>
  <c r="O176" i="127"/>
  <c r="N176" i="127"/>
  <c r="F22" i="128"/>
  <c r="E22" i="128"/>
  <c r="K25" i="128"/>
  <c r="M25" i="128" s="1"/>
  <c r="I25" i="128"/>
  <c r="O32" i="128"/>
  <c r="N32" i="128"/>
  <c r="O128" i="127"/>
  <c r="N128" i="127"/>
  <c r="O15" i="127"/>
  <c r="N15" i="127"/>
  <c r="N144" i="128"/>
  <c r="O144" i="128"/>
  <c r="O93" i="128"/>
  <c r="N93" i="128"/>
  <c r="M116" i="128"/>
  <c r="K114" i="128"/>
  <c r="L114" i="128" s="1"/>
  <c r="K13" i="129"/>
  <c r="H13" i="129" s="1"/>
  <c r="O143" i="128"/>
  <c r="N143" i="128"/>
  <c r="O182" i="127"/>
  <c r="N127" i="128"/>
  <c r="O127" i="128"/>
  <c r="O110" i="127"/>
  <c r="N110" i="127"/>
  <c r="O82" i="127"/>
  <c r="N82" i="127"/>
  <c r="M80" i="127"/>
  <c r="M14" i="127"/>
  <c r="K12" i="127"/>
  <c r="F39" i="127"/>
  <c r="E39" i="127"/>
  <c r="I42" i="127"/>
  <c r="J35" i="129"/>
  <c r="J34" i="129" s="1"/>
  <c r="C106" i="129" s="1"/>
  <c r="I34" i="129"/>
  <c r="K35" i="129"/>
  <c r="K34" i="129" s="1"/>
  <c r="J75" i="128"/>
  <c r="K75" i="128" s="1"/>
  <c r="M75" i="128" s="1"/>
  <c r="F75" i="128"/>
  <c r="E75" i="128"/>
  <c r="D75" i="128"/>
  <c r="O124" i="128"/>
  <c r="N124" i="128"/>
  <c r="G165" i="127"/>
  <c r="F124" i="127"/>
  <c r="E124" i="127"/>
  <c r="I127" i="127"/>
  <c r="K124" i="127"/>
  <c r="M124" i="127" s="1"/>
  <c r="O42" i="127"/>
  <c r="N42" i="127"/>
  <c r="K175" i="126"/>
  <c r="N145" i="126"/>
  <c r="J116" i="126"/>
  <c r="K116" i="126" s="1"/>
  <c r="J126" i="126"/>
  <c r="K126" i="126" s="1"/>
  <c r="M126" i="126" s="1"/>
  <c r="F126" i="126"/>
  <c r="E126" i="126"/>
  <c r="J109" i="126"/>
  <c r="K109" i="126" s="1"/>
  <c r="M109" i="126" s="1"/>
  <c r="N94" i="126"/>
  <c r="J82" i="126"/>
  <c r="K82" i="126" s="1"/>
  <c r="G148" i="126"/>
  <c r="N163" i="126"/>
  <c r="J151" i="126"/>
  <c r="K151" i="126" s="1"/>
  <c r="M151" i="126" s="1"/>
  <c r="J150" i="126"/>
  <c r="K150" i="126" s="1"/>
  <c r="M150" i="126" s="1"/>
  <c r="K161" i="126"/>
  <c r="M161" i="126" s="1"/>
  <c r="E143" i="126"/>
  <c r="J143" i="126"/>
  <c r="K143" i="126" s="1"/>
  <c r="M143" i="126" s="1"/>
  <c r="F143" i="126"/>
  <c r="O117" i="126"/>
  <c r="N117" i="126"/>
  <c r="J100" i="126"/>
  <c r="K100" i="126" s="1"/>
  <c r="M100" i="126" s="1"/>
  <c r="J99" i="126"/>
  <c r="K99" i="126" s="1"/>
  <c r="M99" i="126" s="1"/>
  <c r="O78" i="126"/>
  <c r="N78" i="126"/>
  <c r="N77" i="126"/>
  <c r="K76" i="126"/>
  <c r="M76" i="126" s="1"/>
  <c r="O76" i="126" s="1"/>
  <c r="G63" i="126"/>
  <c r="K73" i="126"/>
  <c r="M73" i="126" s="1"/>
  <c r="J65" i="126"/>
  <c r="K65" i="126" s="1"/>
  <c r="M65" i="126" s="1"/>
  <c r="E73" i="126"/>
  <c r="O44" i="126"/>
  <c r="N44" i="126"/>
  <c r="O42" i="126"/>
  <c r="M29" i="126"/>
  <c r="N40" i="126"/>
  <c r="O40" i="126"/>
  <c r="G12" i="126"/>
  <c r="N108" i="126"/>
  <c r="O108" i="126"/>
  <c r="N142" i="126"/>
  <c r="O142" i="126"/>
  <c r="M175" i="126"/>
  <c r="M165" i="126" s="1"/>
  <c r="N125" i="126"/>
  <c r="O125" i="126"/>
  <c r="M158" i="126"/>
  <c r="K148" i="126"/>
  <c r="L148" i="126" s="1"/>
  <c r="O180" i="126"/>
  <c r="N180" i="126"/>
  <c r="N128" i="126"/>
  <c r="O128" i="126"/>
  <c r="M116" i="126"/>
  <c r="K114" i="126"/>
  <c r="L114" i="126" s="1"/>
  <c r="O39" i="126"/>
  <c r="O29" i="126" s="1"/>
  <c r="N39" i="126"/>
  <c r="N29" i="126" s="1"/>
  <c r="N107" i="126"/>
  <c r="O107" i="126"/>
  <c r="M133" i="126"/>
  <c r="K131" i="126"/>
  <c r="L131" i="126" s="1"/>
  <c r="E24" i="126"/>
  <c r="D24" i="126"/>
  <c r="J24" i="126"/>
  <c r="K24" i="126" s="1"/>
  <c r="M24" i="126" s="1"/>
  <c r="F24" i="126"/>
  <c r="O109" i="126"/>
  <c r="N109" i="126"/>
  <c r="N182" i="126"/>
  <c r="N126" i="126"/>
  <c r="O126" i="126"/>
  <c r="K29" i="126"/>
  <c r="L29" i="126" s="1"/>
  <c r="N56" i="126"/>
  <c r="O56" i="126"/>
  <c r="O150" i="126"/>
  <c r="N150" i="126"/>
  <c r="O182" i="126"/>
  <c r="K25" i="126"/>
  <c r="M25" i="126" s="1"/>
  <c r="O61" i="126"/>
  <c r="N61" i="126"/>
  <c r="O22" i="126"/>
  <c r="N22" i="126"/>
  <c r="O26" i="126"/>
  <c r="N26" i="126"/>
  <c r="N60" i="126"/>
  <c r="O60" i="126"/>
  <c r="O167" i="126"/>
  <c r="N167" i="126"/>
  <c r="O127" i="126"/>
  <c r="N127" i="126"/>
  <c r="M82" i="126"/>
  <c r="N59" i="126"/>
  <c r="O59" i="126"/>
  <c r="O141" i="126"/>
  <c r="N141" i="126"/>
  <c r="O23" i="126"/>
  <c r="N23" i="126"/>
  <c r="J49" i="126"/>
  <c r="K49" i="126" s="1"/>
  <c r="M49" i="126" s="1"/>
  <c r="J48" i="126"/>
  <c r="K48" i="126" s="1"/>
  <c r="O129" i="126"/>
  <c r="N129" i="126"/>
  <c r="I25" i="126"/>
  <c r="F22" i="126"/>
  <c r="E22" i="126"/>
  <c r="N179" i="126"/>
  <c r="O179" i="126"/>
  <c r="K97" i="126"/>
  <c r="L97" i="126" s="1"/>
  <c r="O162" i="126"/>
  <c r="N162" i="126"/>
  <c r="J14" i="126"/>
  <c r="K14" i="126" s="1"/>
  <c r="N93" i="126"/>
  <c r="O93" i="126"/>
  <c r="O159" i="126"/>
  <c r="N159" i="126"/>
  <c r="N146" i="126"/>
  <c r="O146" i="126"/>
  <c r="M97" i="126"/>
  <c r="N124" i="126"/>
  <c r="O124" i="126"/>
  <c r="O90" i="126"/>
  <c r="N90" i="126"/>
  <c r="F75" i="126"/>
  <c r="E75" i="126"/>
  <c r="D75" i="126"/>
  <c r="J75" i="126"/>
  <c r="K75" i="126" s="1"/>
  <c r="M75" i="126" s="1"/>
  <c r="J92" i="126"/>
  <c r="K92" i="126" s="1"/>
  <c r="M92" i="126" s="1"/>
  <c r="D92" i="126"/>
  <c r="F92" i="126"/>
  <c r="E92" i="126"/>
  <c r="O144" i="126"/>
  <c r="N144" i="126"/>
  <c r="F175" i="126"/>
  <c r="E175" i="126"/>
  <c r="I178" i="126"/>
  <c r="F58" i="126"/>
  <c r="E58" i="126"/>
  <c r="D58" i="126"/>
  <c r="J58" i="126"/>
  <c r="K58" i="126" s="1"/>
  <c r="M58" i="126" s="1"/>
  <c r="K178" i="126"/>
  <c r="M178" i="126" s="1"/>
  <c r="O145" i="123"/>
  <c r="E141" i="123"/>
  <c r="O179" i="123"/>
  <c r="K175" i="123"/>
  <c r="M175" i="123" s="1"/>
  <c r="N175" i="123" s="1"/>
  <c r="K9" i="125"/>
  <c r="O180" i="123"/>
  <c r="N180" i="123"/>
  <c r="F175" i="123"/>
  <c r="E175" i="123"/>
  <c r="G165" i="123"/>
  <c r="K178" i="123"/>
  <c r="M178" i="123" s="1"/>
  <c r="N178" i="123" s="1"/>
  <c r="J167" i="123"/>
  <c r="K167" i="123" s="1"/>
  <c r="K161" i="123"/>
  <c r="M161" i="123" s="1"/>
  <c r="N161" i="123" s="1"/>
  <c r="F141" i="123"/>
  <c r="M26" i="125"/>
  <c r="O27" i="125"/>
  <c r="N27" i="125"/>
  <c r="N26" i="125" s="1"/>
  <c r="O14" i="125"/>
  <c r="O12" i="125" s="1"/>
  <c r="N14" i="125"/>
  <c r="N12" i="125" s="1"/>
  <c r="M12" i="125"/>
  <c r="O26" i="125"/>
  <c r="G131" i="123"/>
  <c r="O141" i="123"/>
  <c r="N141" i="123"/>
  <c r="N158" i="123"/>
  <c r="O158" i="123"/>
  <c r="O159" i="123"/>
  <c r="N159" i="123"/>
  <c r="J150" i="123"/>
  <c r="K150" i="123" s="1"/>
  <c r="J151" i="123"/>
  <c r="K151" i="123" s="1"/>
  <c r="M151" i="123" s="1"/>
  <c r="G148" i="123"/>
  <c r="O163" i="123"/>
  <c r="N163" i="123"/>
  <c r="I161" i="123"/>
  <c r="F158" i="123"/>
  <c r="E158" i="123"/>
  <c r="O160" i="123"/>
  <c r="N160" i="123"/>
  <c r="J134" i="123"/>
  <c r="K134" i="123" s="1"/>
  <c r="M134" i="123" s="1"/>
  <c r="J133" i="123"/>
  <c r="K133" i="123" s="1"/>
  <c r="O168" i="123"/>
  <c r="N168" i="123"/>
  <c r="J177" i="123"/>
  <c r="K177" i="123" s="1"/>
  <c r="M177" i="123" s="1"/>
  <c r="F177" i="123"/>
  <c r="E177" i="123"/>
  <c r="D177" i="123"/>
  <c r="O144" i="123"/>
  <c r="N144" i="123"/>
  <c r="O162" i="123"/>
  <c r="N162" i="123"/>
  <c r="O143" i="123"/>
  <c r="N143" i="123"/>
  <c r="H10" i="160" l="1"/>
  <c r="O110" i="159"/>
  <c r="N110" i="159"/>
  <c r="N22" i="149"/>
  <c r="O22" i="149"/>
  <c r="M131" i="143"/>
  <c r="O133" i="143"/>
  <c r="O131" i="143" s="1"/>
  <c r="N133" i="143"/>
  <c r="N131" i="143" s="1"/>
  <c r="O150" i="148"/>
  <c r="N150" i="148"/>
  <c r="M148" i="148"/>
  <c r="N92" i="153"/>
  <c r="O92" i="153"/>
  <c r="K131" i="153"/>
  <c r="L131" i="153" s="1"/>
  <c r="M133" i="153"/>
  <c r="O143" i="148"/>
  <c r="N143" i="148"/>
  <c r="N160" i="158"/>
  <c r="O160" i="158"/>
  <c r="O175" i="154"/>
  <c r="N175" i="154"/>
  <c r="M133" i="148"/>
  <c r="F141" i="148"/>
  <c r="E141" i="148"/>
  <c r="I144" i="148"/>
  <c r="K141" i="148"/>
  <c r="M141" i="148" s="1"/>
  <c r="K144" i="148"/>
  <c r="M144" i="148" s="1"/>
  <c r="O31" i="158"/>
  <c r="O29" i="158" s="1"/>
  <c r="N31" i="158"/>
  <c r="N29" i="158" s="1"/>
  <c r="M29" i="158"/>
  <c r="O25" i="144"/>
  <c r="N25" i="144"/>
  <c r="O167" i="149"/>
  <c r="N167" i="149"/>
  <c r="M165" i="149"/>
  <c r="N24" i="159"/>
  <c r="O24" i="159"/>
  <c r="O100" i="143"/>
  <c r="N100" i="143"/>
  <c r="O116" i="148"/>
  <c r="O114" i="148" s="1"/>
  <c r="N116" i="148"/>
  <c r="N114" i="148" s="1"/>
  <c r="M114" i="148"/>
  <c r="O160" i="154"/>
  <c r="N160" i="154"/>
  <c r="K12" i="159"/>
  <c r="M14" i="159"/>
  <c r="E56" i="143"/>
  <c r="I59" i="143"/>
  <c r="F56" i="143"/>
  <c r="K59" i="143"/>
  <c r="M59" i="143" s="1"/>
  <c r="K56" i="143"/>
  <c r="M56" i="143" s="1"/>
  <c r="M63" i="153"/>
  <c r="O65" i="153"/>
  <c r="N65" i="153"/>
  <c r="N63" i="153" s="1"/>
  <c r="O83" i="154"/>
  <c r="N83" i="154"/>
  <c r="K29" i="159"/>
  <c r="L29" i="159" s="1"/>
  <c r="N22" i="154"/>
  <c r="O22" i="154"/>
  <c r="M14" i="153"/>
  <c r="K12" i="153"/>
  <c r="O134" i="153"/>
  <c r="N134" i="153"/>
  <c r="M80" i="148"/>
  <c r="O82" i="148"/>
  <c r="O80" i="148" s="1"/>
  <c r="N82" i="148"/>
  <c r="N80" i="148" s="1"/>
  <c r="I144" i="158"/>
  <c r="F141" i="158"/>
  <c r="E141" i="158"/>
  <c r="K141" i="158"/>
  <c r="M141" i="158" s="1"/>
  <c r="N151" i="158"/>
  <c r="O151" i="158"/>
  <c r="O168" i="148"/>
  <c r="N168" i="148"/>
  <c r="O110" i="143"/>
  <c r="N110" i="143"/>
  <c r="O24" i="143"/>
  <c r="N24" i="143"/>
  <c r="M29" i="154"/>
  <c r="N31" i="154"/>
  <c r="N29" i="154" s="1"/>
  <c r="O31" i="154"/>
  <c r="O29" i="154" s="1"/>
  <c r="O168" i="158"/>
  <c r="N168" i="158"/>
  <c r="O116" i="153"/>
  <c r="O114" i="153" s="1"/>
  <c r="M114" i="153"/>
  <c r="N116" i="153"/>
  <c r="N114" i="153" s="1"/>
  <c r="O39" i="159"/>
  <c r="N39" i="159"/>
  <c r="O168" i="143"/>
  <c r="N168" i="143"/>
  <c r="K97" i="143"/>
  <c r="L97" i="143" s="1"/>
  <c r="M99" i="143"/>
  <c r="K63" i="153"/>
  <c r="L63" i="153" s="1"/>
  <c r="M29" i="159"/>
  <c r="O31" i="159"/>
  <c r="N31" i="159"/>
  <c r="O59" i="159"/>
  <c r="N59" i="159"/>
  <c r="K46" i="159"/>
  <c r="L46" i="159" s="1"/>
  <c r="N24" i="148"/>
  <c r="O24" i="148"/>
  <c r="M29" i="149"/>
  <c r="N31" i="149"/>
  <c r="O31" i="149"/>
  <c r="N15" i="153"/>
  <c r="O15" i="153"/>
  <c r="N58" i="143"/>
  <c r="O58" i="143"/>
  <c r="M29" i="148"/>
  <c r="O31" i="148"/>
  <c r="O29" i="148" s="1"/>
  <c r="N31" i="148"/>
  <c r="O110" i="154"/>
  <c r="N110" i="154"/>
  <c r="M167" i="159"/>
  <c r="K148" i="158"/>
  <c r="L148" i="158" s="1"/>
  <c r="M150" i="158"/>
  <c r="M167" i="148"/>
  <c r="K165" i="148"/>
  <c r="K165" i="154"/>
  <c r="L165" i="154" s="1"/>
  <c r="N12" i="154"/>
  <c r="M167" i="158"/>
  <c r="K165" i="158"/>
  <c r="K10" i="150"/>
  <c r="H10" i="150" s="1"/>
  <c r="K13" i="150"/>
  <c r="H13" i="150" s="1"/>
  <c r="M167" i="143"/>
  <c r="F124" i="159"/>
  <c r="E124" i="159"/>
  <c r="I127" i="159"/>
  <c r="K124" i="159"/>
  <c r="M124" i="159" s="1"/>
  <c r="N158" i="148"/>
  <c r="O158" i="148"/>
  <c r="O116" i="143"/>
  <c r="O114" i="143" s="1"/>
  <c r="N116" i="143"/>
  <c r="N114" i="143" s="1"/>
  <c r="M114" i="143"/>
  <c r="N150" i="159"/>
  <c r="N148" i="159" s="1"/>
  <c r="M148" i="159"/>
  <c r="O150" i="159"/>
  <c r="O148" i="159" s="1"/>
  <c r="O56" i="159"/>
  <c r="N56" i="159"/>
  <c r="M46" i="159"/>
  <c r="M80" i="143"/>
  <c r="O82" i="143"/>
  <c r="O80" i="143" s="1"/>
  <c r="N82" i="143"/>
  <c r="N80" i="143" s="1"/>
  <c r="N151" i="154"/>
  <c r="O151" i="154"/>
  <c r="C106" i="160"/>
  <c r="I76" i="154"/>
  <c r="F73" i="154"/>
  <c r="E73" i="154"/>
  <c r="K73" i="154"/>
  <c r="M48" i="148"/>
  <c r="L9" i="156"/>
  <c r="K12" i="144"/>
  <c r="M14" i="144"/>
  <c r="O15" i="149"/>
  <c r="N15" i="149"/>
  <c r="O143" i="158"/>
  <c r="N143" i="158"/>
  <c r="O168" i="159"/>
  <c r="N168" i="159"/>
  <c r="I178" i="153"/>
  <c r="F175" i="153"/>
  <c r="E175" i="153"/>
  <c r="K175" i="153"/>
  <c r="M175" i="153" s="1"/>
  <c r="K178" i="153"/>
  <c r="M178" i="153" s="1"/>
  <c r="M114" i="158"/>
  <c r="N116" i="158"/>
  <c r="N114" i="158" s="1"/>
  <c r="O116" i="158"/>
  <c r="O114" i="158" s="1"/>
  <c r="M148" i="144"/>
  <c r="O150" i="144"/>
  <c r="O148" i="144" s="1"/>
  <c r="N150" i="144"/>
  <c r="N148" i="144" s="1"/>
  <c r="O167" i="154"/>
  <c r="O165" i="154" s="1"/>
  <c r="M165" i="154"/>
  <c r="N167" i="154"/>
  <c r="N165" i="154" s="1"/>
  <c r="O12" i="154"/>
  <c r="N82" i="144"/>
  <c r="N80" i="144" s="1"/>
  <c r="M80" i="144"/>
  <c r="O82" i="144"/>
  <c r="O80" i="144" s="1"/>
  <c r="K175" i="144"/>
  <c r="M175" i="144" s="1"/>
  <c r="E175" i="144"/>
  <c r="F175" i="144"/>
  <c r="I178" i="144"/>
  <c r="K178" i="144"/>
  <c r="M178" i="144" s="1"/>
  <c r="O49" i="143"/>
  <c r="N49" i="143"/>
  <c r="K148" i="154"/>
  <c r="L148" i="154" s="1"/>
  <c r="M150" i="154"/>
  <c r="F56" i="148"/>
  <c r="E56" i="148"/>
  <c r="I59" i="148"/>
  <c r="K56" i="148"/>
  <c r="M56" i="148" s="1"/>
  <c r="K59" i="148"/>
  <c r="M59" i="148" s="1"/>
  <c r="M167" i="153"/>
  <c r="K165" i="153"/>
  <c r="O133" i="144"/>
  <c r="M131" i="144"/>
  <c r="N133" i="144"/>
  <c r="O49" i="148"/>
  <c r="N49" i="148"/>
  <c r="N15" i="144"/>
  <c r="O15" i="144"/>
  <c r="K12" i="149"/>
  <c r="M14" i="149"/>
  <c r="M99" i="159"/>
  <c r="O134" i="154"/>
  <c r="N134" i="154"/>
  <c r="E90" i="159"/>
  <c r="F90" i="159"/>
  <c r="I93" i="159"/>
  <c r="K90" i="159"/>
  <c r="M90" i="159" s="1"/>
  <c r="K93" i="159"/>
  <c r="M93" i="159" s="1"/>
  <c r="O177" i="143"/>
  <c r="N177" i="143"/>
  <c r="M97" i="148"/>
  <c r="O99" i="148"/>
  <c r="O97" i="148" s="1"/>
  <c r="N99" i="148"/>
  <c r="N97" i="148" s="1"/>
  <c r="J10" i="150"/>
  <c r="J13" i="150"/>
  <c r="C105" i="150" s="1"/>
  <c r="C108" i="150" s="1"/>
  <c r="C109" i="150" s="1"/>
  <c r="K80" i="159"/>
  <c r="L80" i="159" s="1"/>
  <c r="M82" i="159"/>
  <c r="M116" i="159"/>
  <c r="K114" i="159"/>
  <c r="L114" i="159" s="1"/>
  <c r="N107" i="143"/>
  <c r="O107" i="143"/>
  <c r="N9" i="147"/>
  <c r="K76" i="154"/>
  <c r="M76" i="154" s="1"/>
  <c r="O24" i="153"/>
  <c r="N24" i="153"/>
  <c r="O163" i="149"/>
  <c r="O148" i="149" s="1"/>
  <c r="N163" i="149"/>
  <c r="N148" i="149" s="1"/>
  <c r="K46" i="143"/>
  <c r="L46" i="143" s="1"/>
  <c r="M48" i="143"/>
  <c r="N75" i="153"/>
  <c r="O75" i="153"/>
  <c r="E22" i="149"/>
  <c r="F22" i="149"/>
  <c r="I25" i="149"/>
  <c r="K25" i="149"/>
  <c r="M25" i="149" s="1"/>
  <c r="I110" i="159"/>
  <c r="E107" i="159"/>
  <c r="F107" i="159"/>
  <c r="K107" i="159"/>
  <c r="M107" i="159" s="1"/>
  <c r="O100" i="159"/>
  <c r="N100" i="159"/>
  <c r="M133" i="154"/>
  <c r="K131" i="154"/>
  <c r="L131" i="154" s="1"/>
  <c r="N63" i="159"/>
  <c r="C107" i="160"/>
  <c r="J95" i="160"/>
  <c r="J10" i="160" s="1"/>
  <c r="O83" i="159"/>
  <c r="N83" i="159"/>
  <c r="O117" i="159"/>
  <c r="N117" i="159"/>
  <c r="O93" i="154"/>
  <c r="N93" i="154"/>
  <c r="O42" i="144"/>
  <c r="N42" i="144"/>
  <c r="O109" i="159"/>
  <c r="N109" i="159"/>
  <c r="N58" i="148"/>
  <c r="O58" i="148"/>
  <c r="M150" i="143"/>
  <c r="N63" i="148"/>
  <c r="F175" i="159"/>
  <c r="E175" i="159"/>
  <c r="I178" i="159"/>
  <c r="K175" i="159"/>
  <c r="M175" i="159" s="1"/>
  <c r="K178" i="159"/>
  <c r="M178" i="159" s="1"/>
  <c r="O116" i="149"/>
  <c r="O114" i="149" s="1"/>
  <c r="N116" i="149"/>
  <c r="M114" i="149"/>
  <c r="M114" i="154"/>
  <c r="N116" i="154"/>
  <c r="O116" i="154"/>
  <c r="O63" i="159"/>
  <c r="M63" i="149"/>
  <c r="O65" i="149"/>
  <c r="N65" i="149"/>
  <c r="O109" i="154"/>
  <c r="N109" i="154"/>
  <c r="O177" i="149"/>
  <c r="N177" i="149"/>
  <c r="N133" i="159"/>
  <c r="N131" i="159" s="1"/>
  <c r="M131" i="159"/>
  <c r="O133" i="159"/>
  <c r="O131" i="159" s="1"/>
  <c r="O100" i="153"/>
  <c r="N100" i="153"/>
  <c r="N99" i="149"/>
  <c r="O99" i="149"/>
  <c r="M63" i="158"/>
  <c r="O65" i="158"/>
  <c r="N65" i="158"/>
  <c r="O24" i="144"/>
  <c r="N24" i="144"/>
  <c r="O144" i="154"/>
  <c r="N144" i="154"/>
  <c r="F158" i="143"/>
  <c r="I161" i="143"/>
  <c r="E158" i="143"/>
  <c r="K158" i="143"/>
  <c r="M158" i="143" s="1"/>
  <c r="K161" i="143"/>
  <c r="M161" i="143" s="1"/>
  <c r="O24" i="149"/>
  <c r="N24" i="149"/>
  <c r="C106" i="145"/>
  <c r="O25" i="153"/>
  <c r="N25" i="153"/>
  <c r="O76" i="158"/>
  <c r="N76" i="158"/>
  <c r="N9" i="161"/>
  <c r="M99" i="153"/>
  <c r="K97" i="153"/>
  <c r="L97" i="153" s="1"/>
  <c r="N65" i="154"/>
  <c r="O65" i="154"/>
  <c r="I110" i="149"/>
  <c r="K110" i="149"/>
  <c r="M110" i="149" s="1"/>
  <c r="F107" i="149"/>
  <c r="E107" i="149"/>
  <c r="K107" i="149"/>
  <c r="O59" i="158"/>
  <c r="N59" i="158"/>
  <c r="M114" i="144"/>
  <c r="O116" i="144"/>
  <c r="O114" i="144" s="1"/>
  <c r="N116" i="144"/>
  <c r="N114" i="144" s="1"/>
  <c r="L12" i="158"/>
  <c r="N75" i="143"/>
  <c r="O75" i="143"/>
  <c r="F107" i="154"/>
  <c r="E107" i="154"/>
  <c r="I110" i="154"/>
  <c r="K107" i="154"/>
  <c r="M107" i="154" s="1"/>
  <c r="O9" i="147"/>
  <c r="L9" i="147" s="1"/>
  <c r="M12" i="143"/>
  <c r="O14" i="143"/>
  <c r="O12" i="143" s="1"/>
  <c r="N14" i="143"/>
  <c r="N12" i="143" s="1"/>
  <c r="J13" i="145"/>
  <c r="C105" i="145" s="1"/>
  <c r="C108" i="145" s="1"/>
  <c r="C109" i="145" s="1"/>
  <c r="J10" i="145"/>
  <c r="N9" i="162"/>
  <c r="O41" i="149"/>
  <c r="N41" i="149"/>
  <c r="N48" i="153"/>
  <c r="N46" i="153" s="1"/>
  <c r="O48" i="153"/>
  <c r="O46" i="153" s="1"/>
  <c r="M46" i="153"/>
  <c r="J13" i="155"/>
  <c r="C105" i="155" s="1"/>
  <c r="C108" i="155" s="1"/>
  <c r="C109" i="155" s="1"/>
  <c r="J10" i="155"/>
  <c r="M148" i="149"/>
  <c r="O168" i="144"/>
  <c r="N168" i="144"/>
  <c r="N143" i="153"/>
  <c r="O143" i="153"/>
  <c r="C108" i="160"/>
  <c r="C109" i="160" s="1"/>
  <c r="O141" i="144"/>
  <c r="N141" i="144"/>
  <c r="N177" i="153"/>
  <c r="O177" i="153"/>
  <c r="O14" i="158"/>
  <c r="O12" i="158" s="1"/>
  <c r="N14" i="158"/>
  <c r="N12" i="158" s="1"/>
  <c r="M12" i="158"/>
  <c r="O66" i="143"/>
  <c r="N66" i="143"/>
  <c r="M133" i="158"/>
  <c r="O41" i="148"/>
  <c r="N41" i="148"/>
  <c r="K46" i="158"/>
  <c r="L46" i="158" s="1"/>
  <c r="M48" i="158"/>
  <c r="K175" i="143"/>
  <c r="M175" i="143" s="1"/>
  <c r="I178" i="143"/>
  <c r="F175" i="143"/>
  <c r="E175" i="143"/>
  <c r="K178" i="143"/>
  <c r="M178" i="143" s="1"/>
  <c r="N126" i="149"/>
  <c r="O126" i="149"/>
  <c r="K12" i="143"/>
  <c r="K10" i="145"/>
  <c r="H10" i="145" s="1"/>
  <c r="K13" i="145"/>
  <c r="H13" i="145" s="1"/>
  <c r="L37" i="161"/>
  <c r="O32" i="144"/>
  <c r="N32" i="144"/>
  <c r="N15" i="148"/>
  <c r="O15" i="148"/>
  <c r="K10" i="155"/>
  <c r="H10" i="155" s="1"/>
  <c r="K13" i="155"/>
  <c r="H13" i="155" s="1"/>
  <c r="M167" i="144"/>
  <c r="O22" i="148"/>
  <c r="N22" i="148"/>
  <c r="N127" i="159"/>
  <c r="O127" i="159"/>
  <c r="N59" i="149"/>
  <c r="O59" i="149"/>
  <c r="O41" i="159"/>
  <c r="N41" i="159"/>
  <c r="M65" i="143"/>
  <c r="K63" i="143"/>
  <c r="L63" i="143" s="1"/>
  <c r="N134" i="158"/>
  <c r="O134" i="158"/>
  <c r="N12" i="151"/>
  <c r="N9" i="151" s="1"/>
  <c r="M99" i="154"/>
  <c r="O144" i="144"/>
  <c r="N144" i="144"/>
  <c r="M133" i="149"/>
  <c r="K131" i="149"/>
  <c r="L131" i="149" s="1"/>
  <c r="M80" i="158"/>
  <c r="O82" i="158"/>
  <c r="O80" i="158" s="1"/>
  <c r="N82" i="158"/>
  <c r="N80" i="158" s="1"/>
  <c r="M46" i="149"/>
  <c r="N48" i="149"/>
  <c r="O48" i="149"/>
  <c r="O126" i="159"/>
  <c r="N126" i="159"/>
  <c r="O177" i="158"/>
  <c r="N177" i="158"/>
  <c r="N41" i="144"/>
  <c r="O41" i="144"/>
  <c r="O126" i="154"/>
  <c r="N126" i="154"/>
  <c r="K29" i="144"/>
  <c r="L29" i="144" s="1"/>
  <c r="M31" i="144"/>
  <c r="K12" i="148"/>
  <c r="M14" i="148"/>
  <c r="M9" i="157"/>
  <c r="O82" i="153"/>
  <c r="O80" i="153" s="1"/>
  <c r="N82" i="153"/>
  <c r="N80" i="153" s="1"/>
  <c r="M80" i="153"/>
  <c r="M29" i="143"/>
  <c r="O31" i="143"/>
  <c r="O29" i="143" s="1"/>
  <c r="N31" i="143"/>
  <c r="N29" i="143" s="1"/>
  <c r="K144" i="158"/>
  <c r="M144" i="158" s="1"/>
  <c r="M46" i="144"/>
  <c r="O48" i="144"/>
  <c r="O46" i="144" s="1"/>
  <c r="N48" i="144"/>
  <c r="N46" i="144" s="1"/>
  <c r="M97" i="144"/>
  <c r="O99" i="144"/>
  <c r="O97" i="144" s="1"/>
  <c r="N99" i="144"/>
  <c r="N97" i="144" s="1"/>
  <c r="O48" i="154"/>
  <c r="O46" i="154" s="1"/>
  <c r="N48" i="154"/>
  <c r="N46" i="154" s="1"/>
  <c r="M46" i="154"/>
  <c r="O12" i="151"/>
  <c r="O9" i="151" s="1"/>
  <c r="L9" i="151" s="1"/>
  <c r="N100" i="154"/>
  <c r="O100" i="154"/>
  <c r="O134" i="149"/>
  <c r="N134" i="149"/>
  <c r="N134" i="148"/>
  <c r="O134" i="148"/>
  <c r="K46" i="149"/>
  <c r="L46" i="149" s="1"/>
  <c r="O92" i="159"/>
  <c r="N92" i="159"/>
  <c r="O73" i="143"/>
  <c r="N73" i="143"/>
  <c r="N75" i="149"/>
  <c r="O75" i="149"/>
  <c r="K165" i="149"/>
  <c r="L165" i="149" s="1"/>
  <c r="O15" i="159"/>
  <c r="N15" i="159"/>
  <c r="N109" i="149"/>
  <c r="O109" i="149"/>
  <c r="K80" i="154"/>
  <c r="L80" i="154" s="1"/>
  <c r="M82" i="154"/>
  <c r="O9" i="157"/>
  <c r="L9" i="157" s="1"/>
  <c r="L12" i="154"/>
  <c r="N22" i="138"/>
  <c r="O22" i="138"/>
  <c r="O80" i="132"/>
  <c r="O49" i="133"/>
  <c r="N49" i="133"/>
  <c r="M175" i="138"/>
  <c r="K165" i="138"/>
  <c r="L165" i="138" s="1"/>
  <c r="F39" i="133"/>
  <c r="I42" i="133"/>
  <c r="E39" i="133"/>
  <c r="K39" i="133"/>
  <c r="K42" i="133"/>
  <c r="M42" i="133" s="1"/>
  <c r="M65" i="133"/>
  <c r="F175" i="137"/>
  <c r="E175" i="137"/>
  <c r="I178" i="137"/>
  <c r="K178" i="137"/>
  <c r="M178" i="137" s="1"/>
  <c r="O58" i="132"/>
  <c r="N58" i="132"/>
  <c r="O75" i="138"/>
  <c r="N75" i="138"/>
  <c r="O31" i="133"/>
  <c r="N31" i="133"/>
  <c r="O160" i="137"/>
  <c r="N160" i="137"/>
  <c r="M48" i="133"/>
  <c r="O32" i="138"/>
  <c r="N32" i="138"/>
  <c r="I59" i="138"/>
  <c r="F56" i="138"/>
  <c r="E56" i="138"/>
  <c r="K56" i="138"/>
  <c r="M56" i="138" s="1"/>
  <c r="O161" i="133"/>
  <c r="N161" i="133"/>
  <c r="K12" i="137"/>
  <c r="O66" i="133"/>
  <c r="N66" i="133"/>
  <c r="O66" i="138"/>
  <c r="N66" i="138"/>
  <c r="M131" i="133"/>
  <c r="O133" i="133"/>
  <c r="N133" i="133"/>
  <c r="O151" i="137"/>
  <c r="N151" i="137"/>
  <c r="N178" i="138"/>
  <c r="O178" i="138"/>
  <c r="M31" i="138"/>
  <c r="K29" i="138"/>
  <c r="L29" i="138" s="1"/>
  <c r="N175" i="133"/>
  <c r="O175" i="133"/>
  <c r="M150" i="133"/>
  <c r="K148" i="133"/>
  <c r="L148" i="133" s="1"/>
  <c r="N178" i="133"/>
  <c r="O178" i="133"/>
  <c r="M12" i="137"/>
  <c r="O14" i="137"/>
  <c r="N14" i="137"/>
  <c r="N109" i="133"/>
  <c r="O109" i="133"/>
  <c r="O100" i="137"/>
  <c r="N100" i="137"/>
  <c r="K114" i="138"/>
  <c r="L114" i="138" s="1"/>
  <c r="M116" i="138"/>
  <c r="K63" i="138"/>
  <c r="L63" i="138" s="1"/>
  <c r="M65" i="138"/>
  <c r="O110" i="132"/>
  <c r="N110" i="132"/>
  <c r="M150" i="137"/>
  <c r="K148" i="137"/>
  <c r="L148" i="137" s="1"/>
  <c r="M133" i="138"/>
  <c r="K131" i="138"/>
  <c r="L131" i="138" s="1"/>
  <c r="O127" i="133"/>
  <c r="N127" i="133"/>
  <c r="O49" i="138"/>
  <c r="N49" i="138"/>
  <c r="O15" i="138"/>
  <c r="N15" i="138"/>
  <c r="O24" i="137"/>
  <c r="N24" i="137"/>
  <c r="K29" i="132"/>
  <c r="L29" i="132" s="1"/>
  <c r="O151" i="133"/>
  <c r="N151" i="133"/>
  <c r="M14" i="133"/>
  <c r="K12" i="133"/>
  <c r="K97" i="137"/>
  <c r="L97" i="137" s="1"/>
  <c r="M99" i="137"/>
  <c r="O117" i="138"/>
  <c r="N117" i="138"/>
  <c r="N134" i="138"/>
  <c r="O134" i="138"/>
  <c r="M48" i="138"/>
  <c r="M14" i="138"/>
  <c r="K12" i="138"/>
  <c r="N31" i="132"/>
  <c r="M29" i="132"/>
  <c r="O31" i="132"/>
  <c r="O73" i="133"/>
  <c r="N73" i="133"/>
  <c r="N9" i="136"/>
  <c r="M167" i="133"/>
  <c r="K165" i="133"/>
  <c r="L165" i="133" s="1"/>
  <c r="O15" i="133"/>
  <c r="N15" i="133"/>
  <c r="O107" i="132"/>
  <c r="N107" i="132"/>
  <c r="M114" i="137"/>
  <c r="O116" i="137"/>
  <c r="O114" i="137" s="1"/>
  <c r="N116" i="137"/>
  <c r="N114" i="137" s="1"/>
  <c r="O109" i="132"/>
  <c r="N109" i="132"/>
  <c r="K46" i="137"/>
  <c r="L46" i="137" s="1"/>
  <c r="I25" i="138"/>
  <c r="F22" i="138"/>
  <c r="E22" i="138"/>
  <c r="I59" i="133"/>
  <c r="E56" i="133"/>
  <c r="F56" i="133"/>
  <c r="K56" i="133"/>
  <c r="M56" i="133" s="1"/>
  <c r="K59" i="133"/>
  <c r="M59" i="133" s="1"/>
  <c r="O42" i="137"/>
  <c r="N42" i="137"/>
  <c r="J13" i="134"/>
  <c r="C105" i="134" s="1"/>
  <c r="C108" i="134" s="1"/>
  <c r="C109" i="134" s="1"/>
  <c r="J10" i="134"/>
  <c r="O9" i="136"/>
  <c r="L9" i="136" s="1"/>
  <c r="N168" i="133"/>
  <c r="O168" i="133"/>
  <c r="M65" i="132"/>
  <c r="K63" i="132"/>
  <c r="L63" i="132" s="1"/>
  <c r="F39" i="137"/>
  <c r="I42" i="137"/>
  <c r="E39" i="137"/>
  <c r="K39" i="137"/>
  <c r="M39" i="137" s="1"/>
  <c r="O24" i="133"/>
  <c r="N24" i="133"/>
  <c r="C106" i="134"/>
  <c r="N9" i="135"/>
  <c r="I10" i="139"/>
  <c r="F124" i="132"/>
  <c r="E124" i="132"/>
  <c r="I127" i="132"/>
  <c r="K127" i="132"/>
  <c r="M127" i="132" s="1"/>
  <c r="K124" i="132"/>
  <c r="K59" i="138"/>
  <c r="M59" i="138" s="1"/>
  <c r="O141" i="132"/>
  <c r="O131" i="132" s="1"/>
  <c r="N141" i="132"/>
  <c r="N131" i="132" s="1"/>
  <c r="O99" i="132"/>
  <c r="N99" i="132"/>
  <c r="M97" i="132"/>
  <c r="O48" i="137"/>
  <c r="O46" i="137" s="1"/>
  <c r="N48" i="137"/>
  <c r="N46" i="137" s="1"/>
  <c r="M46" i="137"/>
  <c r="N177" i="138"/>
  <c r="O177" i="138"/>
  <c r="O41" i="133"/>
  <c r="N41" i="133"/>
  <c r="O66" i="132"/>
  <c r="N66" i="132"/>
  <c r="F22" i="132"/>
  <c r="E22" i="132"/>
  <c r="I25" i="132"/>
  <c r="K22" i="132"/>
  <c r="K25" i="132"/>
  <c r="M25" i="132" s="1"/>
  <c r="O58" i="137"/>
  <c r="N58" i="137"/>
  <c r="C106" i="139"/>
  <c r="C108" i="139" s="1"/>
  <c r="C109" i="139" s="1"/>
  <c r="O24" i="138"/>
  <c r="N24" i="138"/>
  <c r="O158" i="132"/>
  <c r="N158" i="132"/>
  <c r="O76" i="132"/>
  <c r="N76" i="132"/>
  <c r="N41" i="132"/>
  <c r="O41" i="132"/>
  <c r="N97" i="138"/>
  <c r="O177" i="133"/>
  <c r="N177" i="133"/>
  <c r="K13" i="134"/>
  <c r="H13" i="134" s="1"/>
  <c r="K10" i="134"/>
  <c r="H10" i="134" s="1"/>
  <c r="O175" i="137"/>
  <c r="N175" i="137"/>
  <c r="O32" i="137"/>
  <c r="N32" i="137"/>
  <c r="O100" i="133"/>
  <c r="N100" i="133"/>
  <c r="O158" i="137"/>
  <c r="N158" i="137"/>
  <c r="O82" i="137"/>
  <c r="O80" i="137" s="1"/>
  <c r="N82" i="137"/>
  <c r="N80" i="137" s="1"/>
  <c r="M80" i="137"/>
  <c r="K10" i="139"/>
  <c r="H10" i="139" s="1"/>
  <c r="K76" i="133"/>
  <c r="M76" i="133" s="1"/>
  <c r="F73" i="133"/>
  <c r="I76" i="133"/>
  <c r="E73" i="133"/>
  <c r="O25" i="138"/>
  <c r="N25" i="138"/>
  <c r="M31" i="137"/>
  <c r="K29" i="137"/>
  <c r="L29" i="137" s="1"/>
  <c r="M99" i="133"/>
  <c r="M82" i="138"/>
  <c r="K80" i="138"/>
  <c r="L80" i="138" s="1"/>
  <c r="O110" i="137"/>
  <c r="N110" i="137"/>
  <c r="O65" i="137"/>
  <c r="O63" i="137" s="1"/>
  <c r="N65" i="137"/>
  <c r="N63" i="137" s="1"/>
  <c r="M63" i="137"/>
  <c r="O24" i="132"/>
  <c r="N24" i="132"/>
  <c r="E107" i="133"/>
  <c r="F107" i="133"/>
  <c r="I110" i="133"/>
  <c r="K107" i="133"/>
  <c r="M107" i="133" s="1"/>
  <c r="K110" i="133"/>
  <c r="M110" i="133" s="1"/>
  <c r="O141" i="133"/>
  <c r="N141" i="133"/>
  <c r="N41" i="137"/>
  <c r="O41" i="137"/>
  <c r="O83" i="138"/>
  <c r="N83" i="138"/>
  <c r="O58" i="138"/>
  <c r="N58" i="138"/>
  <c r="N148" i="132"/>
  <c r="M165" i="132"/>
  <c r="N167" i="132"/>
  <c r="N165" i="132" s="1"/>
  <c r="O167" i="132"/>
  <c r="O165" i="132" s="1"/>
  <c r="N58" i="133"/>
  <c r="O58" i="133"/>
  <c r="I178" i="133"/>
  <c r="F175" i="133"/>
  <c r="E175" i="133"/>
  <c r="N109" i="137"/>
  <c r="O109" i="137"/>
  <c r="M48" i="132"/>
  <c r="K46" i="132"/>
  <c r="L46" i="132" s="1"/>
  <c r="N116" i="133"/>
  <c r="N114" i="133" s="1"/>
  <c r="O116" i="133"/>
  <c r="O114" i="133" s="1"/>
  <c r="M114" i="133"/>
  <c r="O9" i="140"/>
  <c r="L9" i="140" s="1"/>
  <c r="O116" i="132"/>
  <c r="N116" i="132"/>
  <c r="O144" i="133"/>
  <c r="N144" i="133"/>
  <c r="O168" i="137"/>
  <c r="N168" i="137"/>
  <c r="O148" i="132"/>
  <c r="O150" i="138"/>
  <c r="O148" i="138" s="1"/>
  <c r="N150" i="138"/>
  <c r="N148" i="138" s="1"/>
  <c r="M148" i="138"/>
  <c r="N41" i="138"/>
  <c r="O41" i="138"/>
  <c r="O49" i="132"/>
  <c r="N49" i="132"/>
  <c r="M167" i="137"/>
  <c r="K165" i="137"/>
  <c r="J95" i="139"/>
  <c r="J10" i="139" s="1"/>
  <c r="C107" i="139"/>
  <c r="M80" i="133"/>
  <c r="O82" i="133"/>
  <c r="O80" i="133" s="1"/>
  <c r="N82" i="133"/>
  <c r="N80" i="133" s="1"/>
  <c r="O14" i="132"/>
  <c r="N14" i="132"/>
  <c r="O9" i="135"/>
  <c r="L9" i="135" s="1"/>
  <c r="O175" i="128"/>
  <c r="N175" i="128"/>
  <c r="O126" i="128"/>
  <c r="N126" i="128"/>
  <c r="O151" i="127"/>
  <c r="N151" i="127"/>
  <c r="M114" i="127"/>
  <c r="O116" i="127"/>
  <c r="O114" i="127" s="1"/>
  <c r="N116" i="127"/>
  <c r="N114" i="127" s="1"/>
  <c r="N80" i="127"/>
  <c r="N116" i="128"/>
  <c r="N114" i="128" s="1"/>
  <c r="O116" i="128"/>
  <c r="M114" i="128"/>
  <c r="F158" i="127"/>
  <c r="E158" i="127"/>
  <c r="I161" i="127"/>
  <c r="K158" i="127"/>
  <c r="M158" i="127" s="1"/>
  <c r="K161" i="127"/>
  <c r="M161" i="127" s="1"/>
  <c r="M150" i="127"/>
  <c r="K148" i="127"/>
  <c r="L148" i="127" s="1"/>
  <c r="J10" i="129"/>
  <c r="M167" i="128"/>
  <c r="K165" i="128"/>
  <c r="L165" i="128" s="1"/>
  <c r="O25" i="128"/>
  <c r="N25" i="128"/>
  <c r="O99" i="127"/>
  <c r="O97" i="127" s="1"/>
  <c r="N99" i="127"/>
  <c r="N97" i="127" s="1"/>
  <c r="M97" i="127"/>
  <c r="O92" i="127"/>
  <c r="O80" i="127" s="1"/>
  <c r="N92" i="127"/>
  <c r="K131" i="127"/>
  <c r="L131" i="127" s="1"/>
  <c r="C108" i="129"/>
  <c r="C109" i="129" s="1"/>
  <c r="O168" i="128"/>
  <c r="N168" i="128"/>
  <c r="O75" i="128"/>
  <c r="N75" i="128"/>
  <c r="O143" i="127"/>
  <c r="N143" i="127"/>
  <c r="M99" i="128"/>
  <c r="O48" i="127"/>
  <c r="O46" i="127" s="1"/>
  <c r="N48" i="127"/>
  <c r="N46" i="127" s="1"/>
  <c r="M46" i="127"/>
  <c r="M131" i="127"/>
  <c r="O133" i="127"/>
  <c r="O131" i="127" s="1"/>
  <c r="N133" i="127"/>
  <c r="N131" i="127" s="1"/>
  <c r="O160" i="127"/>
  <c r="N160" i="127"/>
  <c r="M29" i="128"/>
  <c r="O31" i="128"/>
  <c r="O29" i="128" s="1"/>
  <c r="N31" i="128"/>
  <c r="N29" i="128" s="1"/>
  <c r="I110" i="128"/>
  <c r="E107" i="128"/>
  <c r="K107" i="128"/>
  <c r="M107" i="128" s="1"/>
  <c r="F107" i="128"/>
  <c r="O131" i="128"/>
  <c r="O168" i="127"/>
  <c r="N168" i="127"/>
  <c r="N124" i="127"/>
  <c r="O124" i="127"/>
  <c r="I10" i="129"/>
  <c r="H10" i="129" s="1"/>
  <c r="M167" i="127"/>
  <c r="K165" i="127"/>
  <c r="M12" i="128"/>
  <c r="O14" i="128"/>
  <c r="O12" i="128" s="1"/>
  <c r="N14" i="128"/>
  <c r="N12" i="128" s="1"/>
  <c r="O158" i="128"/>
  <c r="N158" i="128"/>
  <c r="N178" i="127"/>
  <c r="O178" i="127"/>
  <c r="N131" i="128"/>
  <c r="L12" i="128"/>
  <c r="O151" i="128"/>
  <c r="N151" i="128"/>
  <c r="J95" i="129"/>
  <c r="C107" i="129"/>
  <c r="K80" i="127"/>
  <c r="L80" i="127" s="1"/>
  <c r="O160" i="128"/>
  <c r="N160" i="128"/>
  <c r="M48" i="128"/>
  <c r="K46" i="128"/>
  <c r="L46" i="128" s="1"/>
  <c r="K148" i="128"/>
  <c r="L148" i="128" s="1"/>
  <c r="M150" i="128"/>
  <c r="O9" i="130"/>
  <c r="L9" i="130" s="1"/>
  <c r="M65" i="128"/>
  <c r="K63" i="128"/>
  <c r="L63" i="128" s="1"/>
  <c r="N49" i="128"/>
  <c r="O49" i="128"/>
  <c r="K110" i="128"/>
  <c r="M110" i="128" s="1"/>
  <c r="N66" i="128"/>
  <c r="O66" i="128"/>
  <c r="L12" i="127"/>
  <c r="K9" i="127"/>
  <c r="O82" i="128"/>
  <c r="O80" i="128" s="1"/>
  <c r="N82" i="128"/>
  <c r="N80" i="128" s="1"/>
  <c r="M80" i="128"/>
  <c r="O31" i="127"/>
  <c r="O29" i="127" s="1"/>
  <c r="N31" i="127"/>
  <c r="N29" i="127" s="1"/>
  <c r="M29" i="127"/>
  <c r="O109" i="128"/>
  <c r="N109" i="128"/>
  <c r="M63" i="127"/>
  <c r="O65" i="127"/>
  <c r="O63" i="127" s="1"/>
  <c r="N65" i="127"/>
  <c r="N63" i="127" s="1"/>
  <c r="O175" i="127"/>
  <c r="N175" i="127"/>
  <c r="N14" i="127"/>
  <c r="M12" i="127"/>
  <c r="O14" i="127"/>
  <c r="O12" i="127" s="1"/>
  <c r="N56" i="128"/>
  <c r="O56" i="128"/>
  <c r="N93" i="127"/>
  <c r="O93" i="127"/>
  <c r="O24" i="127"/>
  <c r="N24" i="127"/>
  <c r="N76" i="126"/>
  <c r="K165" i="126"/>
  <c r="N161" i="126"/>
  <c r="O161" i="126"/>
  <c r="N151" i="126"/>
  <c r="O151" i="126"/>
  <c r="O143" i="126"/>
  <c r="N143" i="126"/>
  <c r="N99" i="126"/>
  <c r="O99" i="126"/>
  <c r="O100" i="126"/>
  <c r="N100" i="126"/>
  <c r="K80" i="126"/>
  <c r="L80" i="126" s="1"/>
  <c r="N73" i="126"/>
  <c r="O73" i="126"/>
  <c r="O65" i="126"/>
  <c r="N65" i="126"/>
  <c r="M63" i="126"/>
  <c r="O158" i="126"/>
  <c r="O148" i="126" s="1"/>
  <c r="N158" i="126"/>
  <c r="N75" i="126"/>
  <c r="O75" i="126"/>
  <c r="M48" i="126"/>
  <c r="K46" i="126"/>
  <c r="L46" i="126" s="1"/>
  <c r="N175" i="126"/>
  <c r="O175" i="126"/>
  <c r="O165" i="126" s="1"/>
  <c r="N165" i="126"/>
  <c r="M148" i="126"/>
  <c r="O24" i="126"/>
  <c r="N24" i="126"/>
  <c r="K12" i="126"/>
  <c r="M14" i="126"/>
  <c r="O25" i="126"/>
  <c r="N25" i="126"/>
  <c r="N178" i="126"/>
  <c r="O178" i="126"/>
  <c r="N148" i="126"/>
  <c r="O133" i="126"/>
  <c r="O131" i="126" s="1"/>
  <c r="N133" i="126"/>
  <c r="N131" i="126" s="1"/>
  <c r="M131" i="126"/>
  <c r="M80" i="126"/>
  <c r="N82" i="126"/>
  <c r="O82" i="126"/>
  <c r="K63" i="126"/>
  <c r="L63" i="126" s="1"/>
  <c r="O49" i="126"/>
  <c r="N49" i="126"/>
  <c r="O116" i="126"/>
  <c r="O114" i="126" s="1"/>
  <c r="N116" i="126"/>
  <c r="N114" i="126" s="1"/>
  <c r="M114" i="126"/>
  <c r="O58" i="126"/>
  <c r="N58" i="126"/>
  <c r="O92" i="126"/>
  <c r="N92" i="126"/>
  <c r="O175" i="123"/>
  <c r="N9" i="125"/>
  <c r="M167" i="123"/>
  <c r="M165" i="123" s="1"/>
  <c r="O161" i="123"/>
  <c r="O178" i="123"/>
  <c r="M9" i="125"/>
  <c r="L12" i="125"/>
  <c r="O9" i="125"/>
  <c r="O134" i="123"/>
  <c r="N134" i="123"/>
  <c r="M150" i="123"/>
  <c r="K148" i="123"/>
  <c r="L148" i="123" s="1"/>
  <c r="K131" i="123"/>
  <c r="L131" i="123" s="1"/>
  <c r="M133" i="123"/>
  <c r="K165" i="123"/>
  <c r="L165" i="123" s="1"/>
  <c r="N177" i="123"/>
  <c r="O177" i="123"/>
  <c r="O151" i="123"/>
  <c r="N151" i="123"/>
  <c r="N167" i="144" l="1"/>
  <c r="M165" i="144"/>
  <c r="O167" i="144"/>
  <c r="O161" i="143"/>
  <c r="N161" i="143"/>
  <c r="N63" i="149"/>
  <c r="K165" i="143"/>
  <c r="K165" i="159"/>
  <c r="L165" i="159" s="1"/>
  <c r="N29" i="149"/>
  <c r="O148" i="148"/>
  <c r="O31" i="144"/>
  <c r="O29" i="144" s="1"/>
  <c r="N31" i="144"/>
  <c r="N29" i="144" s="1"/>
  <c r="M29" i="144"/>
  <c r="O178" i="143"/>
  <c r="N178" i="143"/>
  <c r="O158" i="143"/>
  <c r="N158" i="143"/>
  <c r="O63" i="149"/>
  <c r="O107" i="159"/>
  <c r="N107" i="159"/>
  <c r="O131" i="144"/>
  <c r="O178" i="144"/>
  <c r="N178" i="144"/>
  <c r="M165" i="143"/>
  <c r="O167" i="143"/>
  <c r="O165" i="143" s="1"/>
  <c r="N167" i="143"/>
  <c r="N165" i="143" s="1"/>
  <c r="O167" i="159"/>
  <c r="N167" i="159"/>
  <c r="M165" i="159"/>
  <c r="O144" i="158"/>
  <c r="N144" i="158"/>
  <c r="O65" i="143"/>
  <c r="O63" i="143" s="1"/>
  <c r="M63" i="143"/>
  <c r="N65" i="143"/>
  <c r="N63" i="143" s="1"/>
  <c r="N99" i="153"/>
  <c r="N97" i="153" s="1"/>
  <c r="M97" i="153"/>
  <c r="O99" i="153"/>
  <c r="O97" i="153" s="1"/>
  <c r="N99" i="159"/>
  <c r="N97" i="159" s="1"/>
  <c r="M97" i="159"/>
  <c r="O99" i="159"/>
  <c r="N167" i="153"/>
  <c r="O167" i="153"/>
  <c r="M165" i="153"/>
  <c r="O63" i="153"/>
  <c r="O114" i="154"/>
  <c r="K148" i="143"/>
  <c r="L148" i="143" s="1"/>
  <c r="K97" i="159"/>
  <c r="L97" i="159" s="1"/>
  <c r="O59" i="148"/>
  <c r="N59" i="148"/>
  <c r="N29" i="148"/>
  <c r="O133" i="149"/>
  <c r="O131" i="149" s="1"/>
  <c r="N133" i="149"/>
  <c r="N131" i="149" s="1"/>
  <c r="M131" i="149"/>
  <c r="O175" i="143"/>
  <c r="N175" i="143"/>
  <c r="O107" i="154"/>
  <c r="N107" i="154"/>
  <c r="N114" i="154"/>
  <c r="M148" i="143"/>
  <c r="O150" i="143"/>
  <c r="O148" i="143" s="1"/>
  <c r="N150" i="143"/>
  <c r="N148" i="143" s="1"/>
  <c r="O25" i="149"/>
  <c r="N25" i="149"/>
  <c r="O76" i="154"/>
  <c r="N76" i="154"/>
  <c r="M12" i="149"/>
  <c r="O14" i="149"/>
  <c r="N14" i="149"/>
  <c r="N12" i="149" s="1"/>
  <c r="N56" i="148"/>
  <c r="O56" i="148"/>
  <c r="O175" i="144"/>
  <c r="N175" i="144"/>
  <c r="M165" i="158"/>
  <c r="O167" i="158"/>
  <c r="O165" i="158" s="1"/>
  <c r="N167" i="158"/>
  <c r="N165" i="158" s="1"/>
  <c r="O56" i="143"/>
  <c r="N56" i="143"/>
  <c r="O144" i="148"/>
  <c r="N144" i="148"/>
  <c r="M107" i="149"/>
  <c r="K97" i="149"/>
  <c r="L97" i="149" s="1"/>
  <c r="L12" i="149"/>
  <c r="O14" i="144"/>
  <c r="O12" i="144" s="1"/>
  <c r="N14" i="144"/>
  <c r="N12" i="144" s="1"/>
  <c r="M12" i="144"/>
  <c r="M9" i="144" s="1"/>
  <c r="O59" i="143"/>
  <c r="N59" i="143"/>
  <c r="O141" i="148"/>
  <c r="N141" i="148"/>
  <c r="O133" i="153"/>
  <c r="O131" i="153" s="1"/>
  <c r="M131" i="153"/>
  <c r="N133" i="153"/>
  <c r="N131" i="153" s="1"/>
  <c r="O178" i="153"/>
  <c r="N178" i="153"/>
  <c r="L12" i="144"/>
  <c r="K9" i="144"/>
  <c r="N29" i="159"/>
  <c r="L12" i="153"/>
  <c r="K9" i="153"/>
  <c r="O82" i="154"/>
  <c r="O80" i="154" s="1"/>
  <c r="M80" i="154"/>
  <c r="N82" i="154"/>
  <c r="N80" i="154" s="1"/>
  <c r="M97" i="154"/>
  <c r="O99" i="154"/>
  <c r="O97" i="154" s="1"/>
  <c r="N99" i="154"/>
  <c r="N114" i="149"/>
  <c r="N93" i="159"/>
  <c r="O93" i="159"/>
  <c r="O175" i="153"/>
  <c r="N175" i="153"/>
  <c r="O124" i="159"/>
  <c r="N124" i="159"/>
  <c r="O29" i="159"/>
  <c r="N14" i="153"/>
  <c r="N12" i="153" s="1"/>
  <c r="O14" i="153"/>
  <c r="O12" i="153" s="1"/>
  <c r="M12" i="153"/>
  <c r="M9" i="153" s="1"/>
  <c r="K97" i="154"/>
  <c r="L97" i="154" s="1"/>
  <c r="N110" i="149"/>
  <c r="O110" i="149"/>
  <c r="N63" i="158"/>
  <c r="O90" i="159"/>
  <c r="N90" i="159"/>
  <c r="O150" i="154"/>
  <c r="O148" i="154" s="1"/>
  <c r="N150" i="154"/>
  <c r="N148" i="154" s="1"/>
  <c r="M148" i="154"/>
  <c r="O48" i="148"/>
  <c r="M46" i="148"/>
  <c r="N48" i="148"/>
  <c r="N46" i="148" s="1"/>
  <c r="N167" i="148"/>
  <c r="N165" i="148" s="1"/>
  <c r="M165" i="148"/>
  <c r="O167" i="148"/>
  <c r="O165" i="148" s="1"/>
  <c r="O14" i="148"/>
  <c r="O12" i="148" s="1"/>
  <c r="N14" i="148"/>
  <c r="N12" i="148" s="1"/>
  <c r="M12" i="148"/>
  <c r="O46" i="149"/>
  <c r="L12" i="143"/>
  <c r="O133" i="158"/>
  <c r="O131" i="158" s="1"/>
  <c r="N133" i="158"/>
  <c r="M131" i="158"/>
  <c r="O63" i="158"/>
  <c r="N178" i="159"/>
  <c r="O178" i="159"/>
  <c r="O133" i="154"/>
  <c r="O131" i="154" s="1"/>
  <c r="N133" i="154"/>
  <c r="N131" i="154" s="1"/>
  <c r="M131" i="154"/>
  <c r="M114" i="159"/>
  <c r="N116" i="159"/>
  <c r="N114" i="159" s="1"/>
  <c r="O116" i="159"/>
  <c r="O114" i="159" s="1"/>
  <c r="K46" i="148"/>
  <c r="L46" i="148" s="1"/>
  <c r="N46" i="159"/>
  <c r="O150" i="158"/>
  <c r="O148" i="158" s="1"/>
  <c r="M148" i="158"/>
  <c r="N150" i="158"/>
  <c r="N148" i="158" s="1"/>
  <c r="N141" i="158"/>
  <c r="O141" i="158"/>
  <c r="O14" i="159"/>
  <c r="O12" i="159" s="1"/>
  <c r="N14" i="159"/>
  <c r="N12" i="159" s="1"/>
  <c r="M12" i="159"/>
  <c r="N165" i="149"/>
  <c r="O133" i="148"/>
  <c r="O131" i="148" s="1"/>
  <c r="N133" i="148"/>
  <c r="N131" i="148" s="1"/>
  <c r="M131" i="148"/>
  <c r="O48" i="158"/>
  <c r="O46" i="158" s="1"/>
  <c r="O9" i="158" s="1"/>
  <c r="L9" i="158" s="1"/>
  <c r="N48" i="158"/>
  <c r="N46" i="158" s="1"/>
  <c r="M46" i="158"/>
  <c r="M9" i="158" s="1"/>
  <c r="L12" i="148"/>
  <c r="N46" i="149"/>
  <c r="K165" i="144"/>
  <c r="L165" i="144" s="1"/>
  <c r="K131" i="158"/>
  <c r="L131" i="158" s="1"/>
  <c r="O175" i="159"/>
  <c r="N175" i="159"/>
  <c r="N48" i="143"/>
  <c r="N46" i="143" s="1"/>
  <c r="N9" i="143" s="1"/>
  <c r="M46" i="143"/>
  <c r="M9" i="143" s="1"/>
  <c r="O48" i="143"/>
  <c r="O46" i="143" s="1"/>
  <c r="O9" i="143" s="1"/>
  <c r="L9" i="143" s="1"/>
  <c r="M80" i="159"/>
  <c r="N82" i="159"/>
  <c r="O82" i="159"/>
  <c r="N131" i="144"/>
  <c r="M73" i="154"/>
  <c r="K63" i="154"/>
  <c r="O46" i="159"/>
  <c r="O29" i="149"/>
  <c r="O99" i="143"/>
  <c r="O97" i="143" s="1"/>
  <c r="N99" i="143"/>
  <c r="N97" i="143" s="1"/>
  <c r="M97" i="143"/>
  <c r="L12" i="159"/>
  <c r="K9" i="159"/>
  <c r="O165" i="149"/>
  <c r="K131" i="148"/>
  <c r="L131" i="148" s="1"/>
  <c r="N148" i="148"/>
  <c r="O97" i="132"/>
  <c r="M63" i="138"/>
  <c r="O65" i="138"/>
  <c r="O63" i="138" s="1"/>
  <c r="N65" i="138"/>
  <c r="N63" i="138" s="1"/>
  <c r="N131" i="133"/>
  <c r="N56" i="138"/>
  <c r="O56" i="138"/>
  <c r="M39" i="133"/>
  <c r="K29" i="133"/>
  <c r="L29" i="133" s="1"/>
  <c r="O131" i="133"/>
  <c r="N39" i="137"/>
  <c r="O39" i="137"/>
  <c r="O116" i="138"/>
  <c r="O114" i="138" s="1"/>
  <c r="N116" i="138"/>
  <c r="N114" i="138" s="1"/>
  <c r="M114" i="138"/>
  <c r="O76" i="133"/>
  <c r="N76" i="133"/>
  <c r="O59" i="138"/>
  <c r="N59" i="138"/>
  <c r="N59" i="133"/>
  <c r="O59" i="133"/>
  <c r="O29" i="132"/>
  <c r="M97" i="137"/>
  <c r="O99" i="137"/>
  <c r="O97" i="137" s="1"/>
  <c r="N99" i="137"/>
  <c r="N97" i="137" s="1"/>
  <c r="M148" i="133"/>
  <c r="O150" i="133"/>
  <c r="O148" i="133" s="1"/>
  <c r="N150" i="133"/>
  <c r="N148" i="133" s="1"/>
  <c r="O110" i="133"/>
  <c r="N110" i="133"/>
  <c r="M124" i="132"/>
  <c r="K114" i="132"/>
  <c r="L114" i="132" s="1"/>
  <c r="O56" i="133"/>
  <c r="N56" i="133"/>
  <c r="N107" i="133"/>
  <c r="O107" i="133"/>
  <c r="O82" i="138"/>
  <c r="O80" i="138" s="1"/>
  <c r="N82" i="138"/>
  <c r="N80" i="138" s="1"/>
  <c r="M80" i="138"/>
  <c r="N127" i="132"/>
  <c r="O127" i="132"/>
  <c r="N29" i="132"/>
  <c r="K9" i="133"/>
  <c r="L12" i="133"/>
  <c r="O178" i="137"/>
  <c r="N178" i="137"/>
  <c r="O175" i="138"/>
  <c r="O165" i="138" s="1"/>
  <c r="N175" i="138"/>
  <c r="N165" i="138" s="1"/>
  <c r="M165" i="138"/>
  <c r="M97" i="133"/>
  <c r="O99" i="133"/>
  <c r="N99" i="133"/>
  <c r="L12" i="138"/>
  <c r="K9" i="138"/>
  <c r="O14" i="133"/>
  <c r="O12" i="133" s="1"/>
  <c r="M12" i="133"/>
  <c r="N14" i="133"/>
  <c r="N12" i="133" s="1"/>
  <c r="M46" i="133"/>
  <c r="N48" i="133"/>
  <c r="O48" i="133"/>
  <c r="K97" i="133"/>
  <c r="L97" i="133" s="1"/>
  <c r="O65" i="132"/>
  <c r="O63" i="132" s="1"/>
  <c r="N65" i="132"/>
  <c r="N63" i="132" s="1"/>
  <c r="M63" i="132"/>
  <c r="M12" i="138"/>
  <c r="N14" i="138"/>
  <c r="N12" i="138" s="1"/>
  <c r="O14" i="138"/>
  <c r="O12" i="138" s="1"/>
  <c r="O9" i="138" s="1"/>
  <c r="O133" i="138"/>
  <c r="O131" i="138" s="1"/>
  <c r="N133" i="138"/>
  <c r="N131" i="138" s="1"/>
  <c r="M131" i="138"/>
  <c r="M29" i="138"/>
  <c r="N31" i="138"/>
  <c r="N29" i="138" s="1"/>
  <c r="O31" i="138"/>
  <c r="O29" i="138" s="1"/>
  <c r="K46" i="133"/>
  <c r="L46" i="133" s="1"/>
  <c r="O48" i="132"/>
  <c r="O46" i="132" s="1"/>
  <c r="N48" i="132"/>
  <c r="N46" i="132" s="1"/>
  <c r="M46" i="132"/>
  <c r="N25" i="132"/>
  <c r="O25" i="132"/>
  <c r="K46" i="138"/>
  <c r="L46" i="138" s="1"/>
  <c r="N12" i="137"/>
  <c r="L12" i="137"/>
  <c r="K9" i="137"/>
  <c r="N48" i="138"/>
  <c r="M46" i="138"/>
  <c r="O48" i="138"/>
  <c r="O46" i="138" s="1"/>
  <c r="M148" i="137"/>
  <c r="M9" i="137" s="1"/>
  <c r="O150" i="137"/>
  <c r="O148" i="137" s="1"/>
  <c r="N150" i="137"/>
  <c r="N148" i="137" s="1"/>
  <c r="O12" i="137"/>
  <c r="K63" i="133"/>
  <c r="L63" i="133" s="1"/>
  <c r="N167" i="133"/>
  <c r="N165" i="133" s="1"/>
  <c r="M165" i="133"/>
  <c r="O167" i="133"/>
  <c r="O165" i="133" s="1"/>
  <c r="N65" i="133"/>
  <c r="N63" i="133" s="1"/>
  <c r="M63" i="133"/>
  <c r="O65" i="133"/>
  <c r="O63" i="133" s="1"/>
  <c r="N31" i="137"/>
  <c r="N29" i="137" s="1"/>
  <c r="M29" i="137"/>
  <c r="O31" i="137"/>
  <c r="O29" i="137" s="1"/>
  <c r="M22" i="132"/>
  <c r="K12" i="132"/>
  <c r="N167" i="137"/>
  <c r="M165" i="137"/>
  <c r="O167" i="137"/>
  <c r="O165" i="137" s="1"/>
  <c r="N97" i="132"/>
  <c r="N42" i="133"/>
  <c r="O42" i="133"/>
  <c r="O48" i="128"/>
  <c r="O46" i="128" s="1"/>
  <c r="N48" i="128"/>
  <c r="N46" i="128" s="1"/>
  <c r="M46" i="128"/>
  <c r="M165" i="128"/>
  <c r="O167" i="128"/>
  <c r="O165" i="128" s="1"/>
  <c r="N167" i="128"/>
  <c r="N165" i="128" s="1"/>
  <c r="O110" i="128"/>
  <c r="N110" i="128"/>
  <c r="O107" i="128"/>
  <c r="N107" i="128"/>
  <c r="N150" i="127"/>
  <c r="N148" i="127" s="1"/>
  <c r="O150" i="127"/>
  <c r="M148" i="127"/>
  <c r="O161" i="127"/>
  <c r="N161" i="127"/>
  <c r="K97" i="128"/>
  <c r="L97" i="128" s="1"/>
  <c r="O158" i="127"/>
  <c r="N158" i="127"/>
  <c r="O99" i="128"/>
  <c r="N99" i="128"/>
  <c r="N97" i="128" s="1"/>
  <c r="N9" i="128" s="1"/>
  <c r="M97" i="128"/>
  <c r="M9" i="128" s="1"/>
  <c r="O167" i="127"/>
  <c r="O165" i="127" s="1"/>
  <c r="N167" i="127"/>
  <c r="N165" i="127" s="1"/>
  <c r="M165" i="127"/>
  <c r="N65" i="128"/>
  <c r="N63" i="128" s="1"/>
  <c r="O65" i="128"/>
  <c r="O63" i="128" s="1"/>
  <c r="M63" i="128"/>
  <c r="M9" i="127"/>
  <c r="K9" i="128"/>
  <c r="N12" i="127"/>
  <c r="N9" i="127" s="1"/>
  <c r="M148" i="128"/>
  <c r="O150" i="128"/>
  <c r="O148" i="128" s="1"/>
  <c r="N150" i="128"/>
  <c r="N148" i="128" s="1"/>
  <c r="O114" i="128"/>
  <c r="O97" i="126"/>
  <c r="N97" i="126"/>
  <c r="O80" i="126"/>
  <c r="N80" i="126"/>
  <c r="M46" i="126"/>
  <c r="O48" i="126"/>
  <c r="O46" i="126" s="1"/>
  <c r="N48" i="126"/>
  <c r="N46" i="126" s="1"/>
  <c r="N14" i="126"/>
  <c r="N12" i="126" s="1"/>
  <c r="M12" i="126"/>
  <c r="M9" i="126" s="1"/>
  <c r="O14" i="126"/>
  <c r="O12" i="126" s="1"/>
  <c r="N63" i="126"/>
  <c r="L12" i="126"/>
  <c r="K9" i="126"/>
  <c r="O63" i="126"/>
  <c r="L9" i="125"/>
  <c r="O167" i="123"/>
  <c r="O165" i="123" s="1"/>
  <c r="N167" i="123"/>
  <c r="N165" i="123" s="1"/>
  <c r="M131" i="123"/>
  <c r="O133" i="123"/>
  <c r="O131" i="123" s="1"/>
  <c r="N133" i="123"/>
  <c r="N131" i="123" s="1"/>
  <c r="N150" i="123"/>
  <c r="N148" i="123" s="1"/>
  <c r="M148" i="123"/>
  <c r="O150" i="123"/>
  <c r="O148" i="123" s="1"/>
  <c r="N97" i="154" l="1"/>
  <c r="K9" i="149"/>
  <c r="N165" i="159"/>
  <c r="O165" i="159"/>
  <c r="O46" i="148"/>
  <c r="O9" i="148" s="1"/>
  <c r="L9" i="148" s="1"/>
  <c r="N131" i="158"/>
  <c r="N9" i="158" s="1"/>
  <c r="O107" i="149"/>
  <c r="O97" i="149" s="1"/>
  <c r="N107" i="149"/>
  <c r="N97" i="149" s="1"/>
  <c r="N9" i="149" s="1"/>
  <c r="M97" i="149"/>
  <c r="L63" i="154"/>
  <c r="K9" i="154"/>
  <c r="K9" i="158"/>
  <c r="O12" i="149"/>
  <c r="K9" i="143"/>
  <c r="N73" i="154"/>
  <c r="N63" i="154" s="1"/>
  <c r="N9" i="154" s="1"/>
  <c r="O73" i="154"/>
  <c r="O63" i="154" s="1"/>
  <c r="O9" i="154" s="1"/>
  <c r="L9" i="154" s="1"/>
  <c r="M63" i="154"/>
  <c r="M9" i="154" s="1"/>
  <c r="M9" i="159"/>
  <c r="M9" i="149"/>
  <c r="O165" i="144"/>
  <c r="O9" i="144" s="1"/>
  <c r="L9" i="144" s="1"/>
  <c r="O165" i="153"/>
  <c r="O9" i="153" s="1"/>
  <c r="L9" i="153" s="1"/>
  <c r="M9" i="148"/>
  <c r="O80" i="159"/>
  <c r="O9" i="159"/>
  <c r="N9" i="148"/>
  <c r="N165" i="153"/>
  <c r="N9" i="153" s="1"/>
  <c r="N165" i="144"/>
  <c r="N9" i="144" s="1"/>
  <c r="N80" i="159"/>
  <c r="N9" i="159" s="1"/>
  <c r="K9" i="148"/>
  <c r="O97" i="159"/>
  <c r="O124" i="132"/>
  <c r="O114" i="132" s="1"/>
  <c r="N124" i="132"/>
  <c r="N114" i="132" s="1"/>
  <c r="M114" i="132"/>
  <c r="O22" i="132"/>
  <c r="O12" i="132" s="1"/>
  <c r="O9" i="132" s="1"/>
  <c r="L9" i="132" s="1"/>
  <c r="N22" i="132"/>
  <c r="N12" i="132" s="1"/>
  <c r="N9" i="132" s="1"/>
  <c r="M12" i="132"/>
  <c r="M9" i="132" s="1"/>
  <c r="O9" i="137"/>
  <c r="L9" i="137" s="1"/>
  <c r="N9" i="138"/>
  <c r="M9" i="138"/>
  <c r="L9" i="138" s="1"/>
  <c r="N97" i="133"/>
  <c r="N39" i="133"/>
  <c r="N29" i="133" s="1"/>
  <c r="N9" i="133" s="1"/>
  <c r="O39" i="133"/>
  <c r="O29" i="133" s="1"/>
  <c r="O9" i="133" s="1"/>
  <c r="L9" i="133" s="1"/>
  <c r="M29" i="133"/>
  <c r="O97" i="133"/>
  <c r="L12" i="132"/>
  <c r="K9" i="132"/>
  <c r="N46" i="138"/>
  <c r="O46" i="133"/>
  <c r="N46" i="133"/>
  <c r="N9" i="137"/>
  <c r="N165" i="137"/>
  <c r="M9" i="133"/>
  <c r="O9" i="128"/>
  <c r="L9" i="128" s="1"/>
  <c r="O97" i="128"/>
  <c r="O148" i="127"/>
  <c r="O9" i="127" s="1"/>
  <c r="L9" i="127" s="1"/>
  <c r="N9" i="126"/>
  <c r="O9" i="126"/>
  <c r="L9" i="126" s="1"/>
  <c r="L9" i="159" l="1"/>
  <c r="O9" i="149"/>
  <c r="L9" i="149" s="1"/>
  <c r="J119" i="123" l="1"/>
  <c r="J102" i="123"/>
  <c r="J85" i="123"/>
  <c r="J68" i="123"/>
  <c r="J51" i="123"/>
  <c r="J34" i="123"/>
  <c r="J17" i="123"/>
  <c r="K119" i="123" l="1"/>
  <c r="M119" i="123" s="1"/>
  <c r="K102" i="123"/>
  <c r="M102" i="123" s="1"/>
  <c r="K85" i="123"/>
  <c r="M85" i="123" s="1"/>
  <c r="K68" i="123"/>
  <c r="M68" i="123" s="1"/>
  <c r="K51" i="123"/>
  <c r="M51" i="123" s="1"/>
  <c r="K34" i="123"/>
  <c r="M34" i="123" s="1"/>
  <c r="N119" i="123" l="1"/>
  <c r="O119" i="123"/>
  <c r="N102" i="123"/>
  <c r="O102" i="123"/>
  <c r="O85" i="123"/>
  <c r="N85" i="123"/>
  <c r="O68" i="123"/>
  <c r="N68" i="123"/>
  <c r="N51" i="123"/>
  <c r="O51" i="123"/>
  <c r="O34" i="123"/>
  <c r="N34" i="123"/>
  <c r="K17" i="123" l="1"/>
  <c r="M17" i="123" s="1"/>
  <c r="O17" i="123" s="1"/>
  <c r="G7" i="123"/>
  <c r="I7" i="123"/>
  <c r="C3" i="123"/>
  <c r="C3" i="71"/>
  <c r="C5" i="71"/>
  <c r="C7" i="71"/>
  <c r="F3" i="71"/>
  <c r="F5" i="71"/>
  <c r="F7" i="71"/>
  <c r="G3" i="123"/>
  <c r="I3" i="123"/>
  <c r="G5" i="123"/>
  <c r="I5" i="123"/>
  <c r="C5" i="123"/>
  <c r="C7" i="123"/>
  <c r="K197" i="123"/>
  <c r="M197" i="123" s="1"/>
  <c r="K196" i="123"/>
  <c r="M196" i="123" s="1"/>
  <c r="K195" i="123"/>
  <c r="M195" i="123" s="1"/>
  <c r="K194" i="123"/>
  <c r="M194" i="123" s="1"/>
  <c r="K193" i="123"/>
  <c r="M193" i="123" s="1"/>
  <c r="K192" i="123"/>
  <c r="M192" i="123" s="1"/>
  <c r="K191" i="123"/>
  <c r="M191" i="123" s="1"/>
  <c r="K190" i="123"/>
  <c r="M190" i="123" s="1"/>
  <c r="K189" i="123"/>
  <c r="M189" i="123" s="1"/>
  <c r="K188" i="123"/>
  <c r="M188" i="123" s="1"/>
  <c r="K187" i="123"/>
  <c r="M187" i="123" s="1"/>
  <c r="J186" i="123"/>
  <c r="K186" i="123" s="1"/>
  <c r="M186" i="123" s="1"/>
  <c r="O186" i="123" s="1"/>
  <c r="J185" i="123"/>
  <c r="K185" i="123" s="1"/>
  <c r="M185" i="123" s="1"/>
  <c r="J184" i="123"/>
  <c r="K184" i="123" s="1"/>
  <c r="M184" i="123" s="1"/>
  <c r="N184" i="123" s="1"/>
  <c r="J183" i="123"/>
  <c r="K183" i="123" s="1"/>
  <c r="M183" i="123" s="1"/>
  <c r="F129" i="123"/>
  <c r="E129" i="123"/>
  <c r="B129" i="123"/>
  <c r="F128" i="123"/>
  <c r="E128" i="123"/>
  <c r="B128" i="123"/>
  <c r="F127" i="123"/>
  <c r="E127" i="123"/>
  <c r="D127" i="123"/>
  <c r="B127" i="123"/>
  <c r="I126" i="123"/>
  <c r="B126" i="123"/>
  <c r="H125" i="123"/>
  <c r="F125" i="123"/>
  <c r="E125" i="123"/>
  <c r="D125" i="123"/>
  <c r="H124" i="123"/>
  <c r="D124" i="123"/>
  <c r="G124" i="123" s="1"/>
  <c r="J123" i="123"/>
  <c r="K123" i="123" s="1"/>
  <c r="M123" i="123" s="1"/>
  <c r="H123" i="123"/>
  <c r="J122" i="123"/>
  <c r="K122" i="123" s="1"/>
  <c r="M122" i="123" s="1"/>
  <c r="D121" i="123"/>
  <c r="J121" i="123" s="1"/>
  <c r="K121" i="123" s="1"/>
  <c r="M121" i="123" s="1"/>
  <c r="N121" i="123" s="1"/>
  <c r="J120" i="123"/>
  <c r="K120" i="123" s="1"/>
  <c r="M120" i="123" s="1"/>
  <c r="E120" i="123"/>
  <c r="J118" i="123"/>
  <c r="K118" i="123" s="1"/>
  <c r="M118" i="123" s="1"/>
  <c r="I114" i="123"/>
  <c r="H114" i="123"/>
  <c r="C114" i="123" s="1"/>
  <c r="J117" i="123" s="1"/>
  <c r="K117" i="123" s="1"/>
  <c r="M117" i="123" s="1"/>
  <c r="E114" i="123"/>
  <c r="D114" i="123"/>
  <c r="I113" i="123"/>
  <c r="F112" i="123"/>
  <c r="E112" i="123"/>
  <c r="B112" i="123"/>
  <c r="F111" i="123"/>
  <c r="E111" i="123"/>
  <c r="B111" i="123"/>
  <c r="F110" i="123"/>
  <c r="E110" i="123"/>
  <c r="D110" i="123"/>
  <c r="B110" i="123"/>
  <c r="I109" i="123"/>
  <c r="I112" i="123" s="1"/>
  <c r="B109" i="123"/>
  <c r="H108" i="123"/>
  <c r="F108" i="123"/>
  <c r="E108" i="123"/>
  <c r="D108" i="123"/>
  <c r="G108" i="123" s="1"/>
  <c r="H107" i="123"/>
  <c r="D107" i="123"/>
  <c r="G106" i="123" s="1"/>
  <c r="J106" i="123"/>
  <c r="K106" i="123" s="1"/>
  <c r="M106" i="123" s="1"/>
  <c r="H106" i="123"/>
  <c r="J105" i="123"/>
  <c r="K105" i="123" s="1"/>
  <c r="M105" i="123" s="1"/>
  <c r="N105" i="123" s="1"/>
  <c r="D104" i="123"/>
  <c r="J104" i="123" s="1"/>
  <c r="K104" i="123" s="1"/>
  <c r="M104" i="123" s="1"/>
  <c r="J103" i="123"/>
  <c r="K103" i="123" s="1"/>
  <c r="M103" i="123" s="1"/>
  <c r="E103" i="123"/>
  <c r="J101" i="123"/>
  <c r="K101" i="123" s="1"/>
  <c r="M101" i="123" s="1"/>
  <c r="N101" i="123" s="1"/>
  <c r="I97" i="123"/>
  <c r="H97" i="123"/>
  <c r="C109" i="123" s="1"/>
  <c r="E109" i="123" s="1"/>
  <c r="E97" i="123"/>
  <c r="D97" i="123"/>
  <c r="I96" i="123"/>
  <c r="F95" i="123"/>
  <c r="E95" i="123"/>
  <c r="B95" i="123"/>
  <c r="F94" i="123"/>
  <c r="E94" i="123"/>
  <c r="B94" i="123"/>
  <c r="F93" i="123"/>
  <c r="E93" i="123"/>
  <c r="D93" i="123"/>
  <c r="B93" i="123"/>
  <c r="I92" i="123"/>
  <c r="I94" i="123" s="1"/>
  <c r="J94" i="123" s="1"/>
  <c r="B92" i="123"/>
  <c r="H91" i="123"/>
  <c r="F91" i="123"/>
  <c r="E91" i="123"/>
  <c r="D91" i="123"/>
  <c r="G91" i="123" s="1"/>
  <c r="H90" i="123"/>
  <c r="D90" i="123"/>
  <c r="G90" i="123" s="1"/>
  <c r="J89" i="123"/>
  <c r="K89" i="123" s="1"/>
  <c r="M89" i="123" s="1"/>
  <c r="N89" i="123" s="1"/>
  <c r="H89" i="123"/>
  <c r="J88" i="123"/>
  <c r="K88" i="123" s="1"/>
  <c r="M88" i="123" s="1"/>
  <c r="O88" i="123" s="1"/>
  <c r="D87" i="123"/>
  <c r="J87" i="123" s="1"/>
  <c r="K87" i="123" s="1"/>
  <c r="M87" i="123" s="1"/>
  <c r="J86" i="123"/>
  <c r="K86" i="123" s="1"/>
  <c r="M86" i="123" s="1"/>
  <c r="E86" i="123"/>
  <c r="J84" i="123"/>
  <c r="K84" i="123" s="1"/>
  <c r="M84" i="123" s="1"/>
  <c r="N84" i="123" s="1"/>
  <c r="I80" i="123"/>
  <c r="H80" i="123"/>
  <c r="C92" i="123" s="1"/>
  <c r="D92" i="123" s="1"/>
  <c r="E80" i="123"/>
  <c r="D80" i="123"/>
  <c r="I79" i="123"/>
  <c r="F78" i="123"/>
  <c r="E78" i="123"/>
  <c r="B78" i="123"/>
  <c r="F77" i="123"/>
  <c r="E77" i="123"/>
  <c r="B77" i="123"/>
  <c r="F76" i="123"/>
  <c r="E76" i="123"/>
  <c r="D76" i="123"/>
  <c r="B76" i="123"/>
  <c r="I75" i="123"/>
  <c r="I78" i="123" s="1"/>
  <c r="B75" i="123"/>
  <c r="H74" i="123"/>
  <c r="F74" i="123"/>
  <c r="E74" i="123"/>
  <c r="D74" i="123"/>
  <c r="G74" i="123" s="1"/>
  <c r="H73" i="123"/>
  <c r="D73" i="123"/>
  <c r="J73" i="123" s="1"/>
  <c r="J72" i="123"/>
  <c r="K72" i="123" s="1"/>
  <c r="M72" i="123" s="1"/>
  <c r="H72" i="123"/>
  <c r="J71" i="123"/>
  <c r="K71" i="123" s="1"/>
  <c r="M71" i="123" s="1"/>
  <c r="D70" i="123"/>
  <c r="J70" i="123" s="1"/>
  <c r="K70" i="123" s="1"/>
  <c r="M70" i="123" s="1"/>
  <c r="J69" i="123"/>
  <c r="K69" i="123" s="1"/>
  <c r="M69" i="123" s="1"/>
  <c r="N69" i="123" s="1"/>
  <c r="E69" i="123"/>
  <c r="J67" i="123"/>
  <c r="K67" i="123" s="1"/>
  <c r="M67" i="123" s="1"/>
  <c r="I63" i="123"/>
  <c r="H63" i="123"/>
  <c r="C63" i="123" s="1"/>
  <c r="E63" i="123"/>
  <c r="D63" i="123"/>
  <c r="I62" i="123"/>
  <c r="F61" i="123"/>
  <c r="E61" i="123"/>
  <c r="B61" i="123"/>
  <c r="F60" i="123"/>
  <c r="E60" i="123"/>
  <c r="B60" i="123"/>
  <c r="F59" i="123"/>
  <c r="E59" i="123"/>
  <c r="D59" i="123"/>
  <c r="B59" i="123"/>
  <c r="I58" i="123"/>
  <c r="I61" i="123" s="1"/>
  <c r="B58" i="123"/>
  <c r="H57" i="123"/>
  <c r="F57" i="123"/>
  <c r="E57" i="123"/>
  <c r="D57" i="123"/>
  <c r="H56" i="123"/>
  <c r="D56" i="123"/>
  <c r="G56" i="123" s="1"/>
  <c r="J55" i="123"/>
  <c r="K55" i="123" s="1"/>
  <c r="M55" i="123" s="1"/>
  <c r="H55" i="123"/>
  <c r="J54" i="123"/>
  <c r="K54" i="123" s="1"/>
  <c r="M54" i="123" s="1"/>
  <c r="D53" i="123"/>
  <c r="J53" i="123" s="1"/>
  <c r="K53" i="123" s="1"/>
  <c r="M53" i="123" s="1"/>
  <c r="O53" i="123" s="1"/>
  <c r="J52" i="123"/>
  <c r="K52" i="123" s="1"/>
  <c r="M52" i="123" s="1"/>
  <c r="E52" i="123"/>
  <c r="J50" i="123"/>
  <c r="K50" i="123" s="1"/>
  <c r="M50" i="123" s="1"/>
  <c r="I46" i="123"/>
  <c r="H46" i="123"/>
  <c r="C46" i="123" s="1"/>
  <c r="J49" i="123" s="1"/>
  <c r="K49" i="123" s="1"/>
  <c r="M49" i="123" s="1"/>
  <c r="O49" i="123" s="1"/>
  <c r="E46" i="123"/>
  <c r="D46" i="123"/>
  <c r="I45" i="123"/>
  <c r="F44" i="123"/>
  <c r="E44" i="123"/>
  <c r="B44" i="123"/>
  <c r="F43" i="123"/>
  <c r="E43" i="123"/>
  <c r="B43" i="123"/>
  <c r="F42" i="123"/>
  <c r="E42" i="123"/>
  <c r="D42" i="123"/>
  <c r="B42" i="123"/>
  <c r="I41" i="123"/>
  <c r="I44" i="123" s="1"/>
  <c r="B41" i="123"/>
  <c r="H40" i="123"/>
  <c r="F40" i="123"/>
  <c r="E40" i="123"/>
  <c r="D40" i="123"/>
  <c r="G40" i="123" s="1"/>
  <c r="H39" i="123"/>
  <c r="D39" i="123"/>
  <c r="G38" i="123" s="1"/>
  <c r="J38" i="123"/>
  <c r="K38" i="123" s="1"/>
  <c r="M38" i="123" s="1"/>
  <c r="H38" i="123"/>
  <c r="J37" i="123"/>
  <c r="K37" i="123" s="1"/>
  <c r="M37" i="123" s="1"/>
  <c r="N37" i="123" s="1"/>
  <c r="D36" i="123"/>
  <c r="J36" i="123" s="1"/>
  <c r="K36" i="123" s="1"/>
  <c r="M36" i="123" s="1"/>
  <c r="J35" i="123"/>
  <c r="K35" i="123" s="1"/>
  <c r="M35" i="123" s="1"/>
  <c r="J33" i="123"/>
  <c r="K33" i="123" s="1"/>
  <c r="M33" i="123" s="1"/>
  <c r="I29" i="123"/>
  <c r="H29" i="123"/>
  <c r="C41" i="123" s="1"/>
  <c r="D41" i="123" s="1"/>
  <c r="E29" i="123"/>
  <c r="D29" i="123"/>
  <c r="I28" i="123"/>
  <c r="F27" i="123"/>
  <c r="E27" i="123"/>
  <c r="B27" i="123"/>
  <c r="F26" i="123"/>
  <c r="E26" i="123"/>
  <c r="B26" i="123"/>
  <c r="F25" i="123"/>
  <c r="E25" i="123"/>
  <c r="D25" i="123"/>
  <c r="B25" i="123"/>
  <c r="I24" i="123"/>
  <c r="I27" i="123" s="1"/>
  <c r="B24" i="123"/>
  <c r="H23" i="123"/>
  <c r="F23" i="123"/>
  <c r="E23" i="123"/>
  <c r="D23" i="123"/>
  <c r="G23" i="123" s="1"/>
  <c r="H22" i="123"/>
  <c r="D22" i="123"/>
  <c r="G21" i="123" s="1"/>
  <c r="J21" i="123"/>
  <c r="K21" i="123" s="1"/>
  <c r="M21" i="123" s="1"/>
  <c r="O21" i="123" s="1"/>
  <c r="H21" i="123"/>
  <c r="J20" i="123"/>
  <c r="K20" i="123" s="1"/>
  <c r="M20" i="123" s="1"/>
  <c r="D19" i="123"/>
  <c r="J19" i="123" s="1"/>
  <c r="K19" i="123" s="1"/>
  <c r="M19" i="123" s="1"/>
  <c r="J18" i="123"/>
  <c r="K18" i="123" s="1"/>
  <c r="M18" i="123" s="1"/>
  <c r="N18" i="123" s="1"/>
  <c r="E18" i="123"/>
  <c r="J16" i="123"/>
  <c r="K16" i="123" s="1"/>
  <c r="M16" i="123" s="1"/>
  <c r="I12" i="123"/>
  <c r="H12" i="123"/>
  <c r="F12" i="123" s="1"/>
  <c r="C22" i="123" s="1"/>
  <c r="E12" i="123"/>
  <c r="D12" i="123"/>
  <c r="I11" i="123"/>
  <c r="D9" i="123"/>
  <c r="J23" i="117"/>
  <c r="K21" i="122"/>
  <c r="M21" i="122" s="1"/>
  <c r="G20" i="95"/>
  <c r="I20" i="95" s="1"/>
  <c r="J20" i="95" s="1"/>
  <c r="K29" i="121"/>
  <c r="M29" i="121" s="1"/>
  <c r="N29" i="121" s="1"/>
  <c r="H25" i="101"/>
  <c r="J25" i="101" s="1"/>
  <c r="K25" i="101" s="1"/>
  <c r="L25" i="101" s="1"/>
  <c r="H24" i="117"/>
  <c r="J24" i="117" s="1"/>
  <c r="K24" i="117" s="1"/>
  <c r="L24" i="117" s="1"/>
  <c r="G22" i="117"/>
  <c r="H22" i="117" s="1"/>
  <c r="J22" i="117" s="1"/>
  <c r="K22" i="117" s="1"/>
  <c r="L22" i="117" s="1"/>
  <c r="G25" i="96"/>
  <c r="I25" i="96" s="1"/>
  <c r="J78" i="123" l="1"/>
  <c r="K78" i="123" s="1"/>
  <c r="M78" i="123" s="1"/>
  <c r="N78" i="123" s="1"/>
  <c r="J93" i="123"/>
  <c r="G12" i="123"/>
  <c r="F114" i="123"/>
  <c r="C124" i="123" s="1"/>
  <c r="I127" i="123" s="1"/>
  <c r="C12" i="123"/>
  <c r="J15" i="123" s="1"/>
  <c r="K15" i="123" s="1"/>
  <c r="M15" i="123" s="1"/>
  <c r="I26" i="123"/>
  <c r="J26" i="123" s="1"/>
  <c r="K26" i="123" s="1"/>
  <c r="M26" i="123" s="1"/>
  <c r="J27" i="123"/>
  <c r="K27" i="123" s="1"/>
  <c r="M27" i="123" s="1"/>
  <c r="O27" i="123" s="1"/>
  <c r="J25" i="123"/>
  <c r="K25" i="123" s="1"/>
  <c r="M25" i="123" s="1"/>
  <c r="O25" i="123" s="1"/>
  <c r="F97" i="123"/>
  <c r="C107" i="123" s="1"/>
  <c r="I110" i="123" s="1"/>
  <c r="K91" i="123"/>
  <c r="M91" i="123" s="1"/>
  <c r="O91" i="123" s="1"/>
  <c r="K94" i="123"/>
  <c r="M94" i="123" s="1"/>
  <c r="O94" i="123" s="1"/>
  <c r="J61" i="123"/>
  <c r="K61" i="123" s="1"/>
  <c r="M61" i="123" s="1"/>
  <c r="O61" i="123" s="1"/>
  <c r="F29" i="123"/>
  <c r="C39" i="123" s="1"/>
  <c r="E39" i="123" s="1"/>
  <c r="C29" i="123"/>
  <c r="J32" i="123" s="1"/>
  <c r="K32" i="123" s="1"/>
  <c r="M32" i="123" s="1"/>
  <c r="N32" i="123" s="1"/>
  <c r="J44" i="123"/>
  <c r="K44" i="123" s="1"/>
  <c r="M44" i="123" s="1"/>
  <c r="N44" i="123" s="1"/>
  <c r="G55" i="123"/>
  <c r="N53" i="123"/>
  <c r="G73" i="123"/>
  <c r="J22" i="123"/>
  <c r="K22" i="123" s="1"/>
  <c r="M22" i="123" s="1"/>
  <c r="G123" i="123"/>
  <c r="O184" i="123"/>
  <c r="G22" i="123"/>
  <c r="F109" i="123"/>
  <c r="F46" i="123"/>
  <c r="C56" i="123" s="1"/>
  <c r="E56" i="123" s="1"/>
  <c r="J59" i="123"/>
  <c r="I77" i="123"/>
  <c r="J77" i="123" s="1"/>
  <c r="K77" i="123" s="1"/>
  <c r="M77" i="123" s="1"/>
  <c r="G72" i="123"/>
  <c r="J76" i="123"/>
  <c r="C80" i="123"/>
  <c r="I95" i="123"/>
  <c r="J95" i="123" s="1"/>
  <c r="K95" i="123" s="1"/>
  <c r="M95" i="123" s="1"/>
  <c r="N95" i="123" s="1"/>
  <c r="F80" i="123"/>
  <c r="C90" i="123" s="1"/>
  <c r="F90" i="123" s="1"/>
  <c r="C97" i="123"/>
  <c r="K108" i="123"/>
  <c r="M108" i="123" s="1"/>
  <c r="N108" i="123" s="1"/>
  <c r="O121" i="123"/>
  <c r="N21" i="123"/>
  <c r="O18" i="123"/>
  <c r="O89" i="123"/>
  <c r="O101" i="123"/>
  <c r="O71" i="123"/>
  <c r="N71" i="123"/>
  <c r="N36" i="123"/>
  <c r="O36" i="123"/>
  <c r="O33" i="123"/>
  <c r="N33" i="123"/>
  <c r="O104" i="123"/>
  <c r="N104" i="123"/>
  <c r="O117" i="123"/>
  <c r="N117" i="123"/>
  <c r="O120" i="123"/>
  <c r="N120" i="123"/>
  <c r="M182" i="123"/>
  <c r="O183" i="123"/>
  <c r="N183" i="123"/>
  <c r="O87" i="123"/>
  <c r="N87" i="123"/>
  <c r="N20" i="123"/>
  <c r="O20" i="123"/>
  <c r="O35" i="123"/>
  <c r="N35" i="123"/>
  <c r="N52" i="123"/>
  <c r="O52" i="123"/>
  <c r="O55" i="123"/>
  <c r="N55" i="123"/>
  <c r="J66" i="123"/>
  <c r="K66" i="123" s="1"/>
  <c r="M66" i="123" s="1"/>
  <c r="N72" i="123"/>
  <c r="O72" i="123"/>
  <c r="O190" i="123"/>
  <c r="N190" i="123"/>
  <c r="E41" i="123"/>
  <c r="N49" i="123"/>
  <c r="O69" i="123"/>
  <c r="N88" i="123"/>
  <c r="J90" i="123"/>
  <c r="O122" i="123"/>
  <c r="N122" i="123"/>
  <c r="N186" i="123"/>
  <c r="O191" i="123"/>
  <c r="N191" i="123"/>
  <c r="K57" i="123"/>
  <c r="M57" i="123" s="1"/>
  <c r="G57" i="123"/>
  <c r="O192" i="123"/>
  <c r="N192" i="123"/>
  <c r="O70" i="123"/>
  <c r="N70" i="123"/>
  <c r="O86" i="123"/>
  <c r="N86" i="123"/>
  <c r="K125" i="123"/>
  <c r="M125" i="123" s="1"/>
  <c r="G125" i="123"/>
  <c r="O193" i="123"/>
  <c r="N193" i="123"/>
  <c r="N17" i="123"/>
  <c r="O38" i="123"/>
  <c r="N38" i="123"/>
  <c r="F41" i="123"/>
  <c r="G89" i="123"/>
  <c r="I129" i="123"/>
  <c r="J129" i="123" s="1"/>
  <c r="K129" i="123" s="1"/>
  <c r="M129" i="123" s="1"/>
  <c r="I128" i="123"/>
  <c r="J128" i="123" s="1"/>
  <c r="K128" i="123" s="1"/>
  <c r="M128" i="123" s="1"/>
  <c r="J127" i="123"/>
  <c r="K182" i="123"/>
  <c r="O19" i="123"/>
  <c r="N19" i="123"/>
  <c r="C24" i="123"/>
  <c r="J39" i="123"/>
  <c r="G39" i="123"/>
  <c r="J41" i="123"/>
  <c r="K41" i="123" s="1"/>
  <c r="M41" i="123" s="1"/>
  <c r="I60" i="123"/>
  <c r="J60" i="123" s="1"/>
  <c r="K60" i="123" s="1"/>
  <c r="M60" i="123" s="1"/>
  <c r="J107" i="123"/>
  <c r="G107" i="123"/>
  <c r="O123" i="123"/>
  <c r="N123" i="123"/>
  <c r="O194" i="123"/>
  <c r="N194" i="123"/>
  <c r="O50" i="123"/>
  <c r="N50" i="123"/>
  <c r="F92" i="123"/>
  <c r="J92" i="123"/>
  <c r="K92" i="123" s="1"/>
  <c r="M92" i="123" s="1"/>
  <c r="E92" i="123"/>
  <c r="O103" i="123"/>
  <c r="N103" i="123"/>
  <c r="O106" i="123"/>
  <c r="N106" i="123"/>
  <c r="O187" i="123"/>
  <c r="N187" i="123"/>
  <c r="O16" i="123"/>
  <c r="N16" i="123"/>
  <c r="K23" i="123"/>
  <c r="M23" i="123" s="1"/>
  <c r="K40" i="123"/>
  <c r="M40" i="123" s="1"/>
  <c r="O84" i="123"/>
  <c r="D109" i="123"/>
  <c r="J109" i="123"/>
  <c r="K109" i="123" s="1"/>
  <c r="M109" i="123" s="1"/>
  <c r="J112" i="123"/>
  <c r="K112" i="123" s="1"/>
  <c r="M112" i="123" s="1"/>
  <c r="O118" i="123"/>
  <c r="N118" i="123"/>
  <c r="O188" i="123"/>
  <c r="N188" i="123"/>
  <c r="O195" i="123"/>
  <c r="N195" i="123"/>
  <c r="O185" i="123"/>
  <c r="N185" i="123"/>
  <c r="O189" i="123"/>
  <c r="N189" i="123"/>
  <c r="O196" i="123"/>
  <c r="N196" i="123"/>
  <c r="I25" i="123"/>
  <c r="F22" i="123"/>
  <c r="E22" i="123"/>
  <c r="O37" i="123"/>
  <c r="O54" i="123"/>
  <c r="N54" i="123"/>
  <c r="F63" i="123"/>
  <c r="C73" i="123" s="1"/>
  <c r="C75" i="123"/>
  <c r="O67" i="123"/>
  <c r="N67" i="123"/>
  <c r="O105" i="123"/>
  <c r="O197" i="123"/>
  <c r="N197" i="123"/>
  <c r="J56" i="123"/>
  <c r="C58" i="123"/>
  <c r="K74" i="123"/>
  <c r="M74" i="123" s="1"/>
  <c r="J124" i="123"/>
  <c r="C126" i="123"/>
  <c r="J42" i="123"/>
  <c r="I43" i="123"/>
  <c r="J43" i="123" s="1"/>
  <c r="K43" i="123" s="1"/>
  <c r="M43" i="123" s="1"/>
  <c r="J110" i="123"/>
  <c r="I111" i="123"/>
  <c r="J111" i="123" s="1"/>
  <c r="K111" i="123" s="1"/>
  <c r="M111" i="123" s="1"/>
  <c r="K23" i="117"/>
  <c r="L23" i="117" s="1"/>
  <c r="N21" i="122"/>
  <c r="O21" i="122"/>
  <c r="K20" i="95"/>
  <c r="O29" i="121"/>
  <c r="K25" i="96"/>
  <c r="J25" i="96"/>
  <c r="O78" i="123" l="1"/>
  <c r="K42" i="123"/>
  <c r="M42" i="123" s="1"/>
  <c r="N42" i="123" s="1"/>
  <c r="K110" i="123"/>
  <c r="M110" i="123" s="1"/>
  <c r="N110" i="123" s="1"/>
  <c r="K124" i="123"/>
  <c r="M124" i="123" s="1"/>
  <c r="O124" i="123" s="1"/>
  <c r="G114" i="123"/>
  <c r="N91" i="123"/>
  <c r="N27" i="123"/>
  <c r="J14" i="123"/>
  <c r="K14" i="123" s="1"/>
  <c r="M14" i="123" s="1"/>
  <c r="E107" i="123"/>
  <c r="E124" i="123"/>
  <c r="K127" i="123"/>
  <c r="M127" i="123" s="1"/>
  <c r="O127" i="123" s="1"/>
  <c r="F124" i="123"/>
  <c r="J116" i="123"/>
  <c r="K116" i="123" s="1"/>
  <c r="G97" i="123"/>
  <c r="K39" i="123"/>
  <c r="M39" i="123" s="1"/>
  <c r="N39" i="123" s="1"/>
  <c r="G63" i="123"/>
  <c r="K107" i="123"/>
  <c r="M107" i="123" s="1"/>
  <c r="N94" i="123"/>
  <c r="G80" i="123"/>
  <c r="G29" i="123"/>
  <c r="F39" i="123"/>
  <c r="I42" i="123"/>
  <c r="J82" i="123"/>
  <c r="K82" i="123" s="1"/>
  <c r="M82" i="123" s="1"/>
  <c r="F107" i="123"/>
  <c r="J65" i="123"/>
  <c r="K65" i="123" s="1"/>
  <c r="M65" i="123" s="1"/>
  <c r="N61" i="123"/>
  <c r="J48" i="123"/>
  <c r="K48" i="123" s="1"/>
  <c r="M48" i="123" s="1"/>
  <c r="O48" i="123" s="1"/>
  <c r="O32" i="123"/>
  <c r="J31" i="123"/>
  <c r="K31" i="123" s="1"/>
  <c r="M31" i="123" s="1"/>
  <c r="O44" i="123"/>
  <c r="K56" i="123"/>
  <c r="M56" i="123" s="1"/>
  <c r="I93" i="123"/>
  <c r="O108" i="123"/>
  <c r="E90" i="123"/>
  <c r="N25" i="123"/>
  <c r="K93" i="123"/>
  <c r="M93" i="123" s="1"/>
  <c r="O93" i="123" s="1"/>
  <c r="K59" i="123"/>
  <c r="M59" i="123" s="1"/>
  <c r="O59" i="123" s="1"/>
  <c r="K90" i="123"/>
  <c r="M90" i="123" s="1"/>
  <c r="O90" i="123" s="1"/>
  <c r="K76" i="123"/>
  <c r="M76" i="123" s="1"/>
  <c r="O76" i="123" s="1"/>
  <c r="I59" i="123"/>
  <c r="F56" i="123"/>
  <c r="G46" i="123"/>
  <c r="J83" i="123"/>
  <c r="K83" i="123" s="1"/>
  <c r="M83" i="123" s="1"/>
  <c r="O83" i="123" s="1"/>
  <c r="O95" i="123"/>
  <c r="J100" i="123"/>
  <c r="K100" i="123" s="1"/>
  <c r="M100" i="123" s="1"/>
  <c r="J99" i="123"/>
  <c r="K99" i="123" s="1"/>
  <c r="O57" i="123"/>
  <c r="N57" i="123"/>
  <c r="O125" i="123"/>
  <c r="N125" i="123"/>
  <c r="N74" i="123"/>
  <c r="O74" i="123"/>
  <c r="O41" i="123"/>
  <c r="N41" i="123"/>
  <c r="O43" i="123"/>
  <c r="N43" i="123"/>
  <c r="N128" i="123"/>
  <c r="O128" i="123"/>
  <c r="F58" i="123"/>
  <c r="E58" i="123"/>
  <c r="D58" i="123"/>
  <c r="J58" i="123"/>
  <c r="K58" i="123" s="1"/>
  <c r="M58" i="123" s="1"/>
  <c r="O111" i="123"/>
  <c r="N111" i="123"/>
  <c r="O40" i="123"/>
  <c r="N40" i="123"/>
  <c r="F73" i="123"/>
  <c r="E73" i="123"/>
  <c r="K73" i="123"/>
  <c r="M73" i="123" s="1"/>
  <c r="I76" i="123"/>
  <c r="O112" i="123"/>
  <c r="N112" i="123"/>
  <c r="O23" i="123"/>
  <c r="N23" i="123"/>
  <c r="O26" i="123"/>
  <c r="N26" i="123"/>
  <c r="O77" i="123"/>
  <c r="N77" i="123"/>
  <c r="N182" i="123"/>
  <c r="N66" i="123"/>
  <c r="O66" i="123"/>
  <c r="F126" i="123"/>
  <c r="E126" i="123"/>
  <c r="D126" i="123"/>
  <c r="J126" i="123"/>
  <c r="K126" i="123" s="1"/>
  <c r="M126" i="123" s="1"/>
  <c r="O109" i="123"/>
  <c r="N109" i="123"/>
  <c r="N60" i="123"/>
  <c r="O60" i="123"/>
  <c r="J24" i="123"/>
  <c r="K24" i="123" s="1"/>
  <c r="M24" i="123" s="1"/>
  <c r="F24" i="123"/>
  <c r="D24" i="123"/>
  <c r="E24" i="123"/>
  <c r="O22" i="123"/>
  <c r="N22" i="123"/>
  <c r="N15" i="123"/>
  <c r="O15" i="123"/>
  <c r="O182" i="123"/>
  <c r="J75" i="123"/>
  <c r="K75" i="123" s="1"/>
  <c r="M75" i="123" s="1"/>
  <c r="F75" i="123"/>
  <c r="E75" i="123"/>
  <c r="D75" i="123"/>
  <c r="O92" i="123"/>
  <c r="N92" i="123"/>
  <c r="N129" i="123"/>
  <c r="O129" i="123"/>
  <c r="O42" i="123" l="1"/>
  <c r="O110" i="123"/>
  <c r="N124" i="123"/>
  <c r="K12" i="123"/>
  <c r="N127" i="123"/>
  <c r="O39" i="123"/>
  <c r="M116" i="123"/>
  <c r="M114" i="123" s="1"/>
  <c r="K29" i="123"/>
  <c r="L29" i="123" s="1"/>
  <c r="N48" i="123"/>
  <c r="N93" i="123"/>
  <c r="K97" i="123"/>
  <c r="L97" i="123" s="1"/>
  <c r="N76" i="123"/>
  <c r="N83" i="123"/>
  <c r="N59" i="123"/>
  <c r="N90" i="123"/>
  <c r="M46" i="123"/>
  <c r="K80" i="123"/>
  <c r="L80" i="123" s="1"/>
  <c r="M99" i="123"/>
  <c r="O100" i="123"/>
  <c r="N100" i="123"/>
  <c r="O126" i="123"/>
  <c r="N126" i="123"/>
  <c r="O73" i="123"/>
  <c r="N73" i="123"/>
  <c r="O58" i="123"/>
  <c r="N58" i="123"/>
  <c r="K46" i="123"/>
  <c r="L46" i="123" s="1"/>
  <c r="M12" i="123"/>
  <c r="N14" i="123"/>
  <c r="O14" i="123"/>
  <c r="K114" i="123"/>
  <c r="L114" i="123" s="1"/>
  <c r="N75" i="123"/>
  <c r="O75" i="123"/>
  <c r="O24" i="123"/>
  <c r="N24" i="123"/>
  <c r="N31" i="123"/>
  <c r="N29" i="123" s="1"/>
  <c r="O31" i="123"/>
  <c r="M29" i="123"/>
  <c r="N56" i="123"/>
  <c r="O56" i="123"/>
  <c r="M63" i="123"/>
  <c r="N65" i="123"/>
  <c r="O65" i="123"/>
  <c r="K63" i="123"/>
  <c r="L63" i="123" s="1"/>
  <c r="O107" i="123"/>
  <c r="N107" i="123"/>
  <c r="M80" i="123"/>
  <c r="N82" i="123"/>
  <c r="O82" i="123"/>
  <c r="O80" i="123" s="1"/>
  <c r="O29" i="123" l="1"/>
  <c r="N116" i="123"/>
  <c r="N114" i="123" s="1"/>
  <c r="O116" i="123"/>
  <c r="O114" i="123" s="1"/>
  <c r="N80" i="123"/>
  <c r="O46" i="123"/>
  <c r="N63" i="123"/>
  <c r="K9" i="123"/>
  <c r="S17" i="104" s="1"/>
  <c r="O63" i="123"/>
  <c r="N99" i="123"/>
  <c r="N97" i="123" s="1"/>
  <c r="M97" i="123"/>
  <c r="M9" i="123" s="1"/>
  <c r="O99" i="123"/>
  <c r="O97" i="123" s="1"/>
  <c r="N46" i="123"/>
  <c r="O12" i="123"/>
  <c r="L12" i="123" s="1"/>
  <c r="N12" i="123"/>
  <c r="N9" i="123" l="1"/>
  <c r="O9" i="123"/>
  <c r="L9" i="123" s="1"/>
  <c r="G41" i="98"/>
  <c r="H41" i="98"/>
  <c r="G42" i="98"/>
  <c r="H42" i="98"/>
  <c r="G43" i="98"/>
  <c r="H43" i="98"/>
  <c r="H40" i="98"/>
  <c r="G40" i="98"/>
  <c r="K20" i="122"/>
  <c r="M20" i="122" s="1"/>
  <c r="O20" i="122" s="1"/>
  <c r="T17" i="104" l="1"/>
  <c r="N20" i="122"/>
  <c r="C44" i="98" l="1"/>
  <c r="C3" i="95" l="1"/>
  <c r="K48" i="122"/>
  <c r="M48" i="122" s="1"/>
  <c r="N48" i="122" s="1"/>
  <c r="K47" i="122"/>
  <c r="M47" i="122" s="1"/>
  <c r="K46" i="122"/>
  <c r="M46" i="122" s="1"/>
  <c r="O46" i="122" s="1"/>
  <c r="K45" i="122"/>
  <c r="M45" i="122" s="1"/>
  <c r="K44" i="122"/>
  <c r="M44" i="122" s="1"/>
  <c r="O44" i="122" s="1"/>
  <c r="K43" i="122"/>
  <c r="M43" i="122" s="1"/>
  <c r="K42" i="122"/>
  <c r="M42" i="122" s="1"/>
  <c r="K41" i="122"/>
  <c r="M41" i="122" s="1"/>
  <c r="O41" i="122" s="1"/>
  <c r="J40" i="122"/>
  <c r="K40" i="122" s="1"/>
  <c r="M40" i="122" s="1"/>
  <c r="J39" i="122"/>
  <c r="K39" i="122" s="1"/>
  <c r="M39" i="122" s="1"/>
  <c r="J38" i="122"/>
  <c r="K38" i="122" s="1"/>
  <c r="K34" i="122"/>
  <c r="M34" i="122" s="1"/>
  <c r="O34" i="122" s="1"/>
  <c r="K33" i="122"/>
  <c r="M33" i="122" s="1"/>
  <c r="K32" i="122"/>
  <c r="M32" i="122" s="1"/>
  <c r="O32" i="122" s="1"/>
  <c r="K31" i="122"/>
  <c r="M31" i="122" s="1"/>
  <c r="K30" i="122"/>
  <c r="M30" i="122" s="1"/>
  <c r="K29" i="122"/>
  <c r="M29" i="122" s="1"/>
  <c r="K28" i="122"/>
  <c r="M28" i="122" s="1"/>
  <c r="O28" i="122" s="1"/>
  <c r="K27" i="122"/>
  <c r="M27" i="122" s="1"/>
  <c r="K26" i="122"/>
  <c r="M26" i="122" s="1"/>
  <c r="K25" i="122"/>
  <c r="K24" i="122"/>
  <c r="M24" i="122" s="1"/>
  <c r="O24" i="122" s="1"/>
  <c r="K23" i="122"/>
  <c r="M23" i="122" s="1"/>
  <c r="K22" i="122"/>
  <c r="M22" i="122" s="1"/>
  <c r="O22" i="122" s="1"/>
  <c r="K18" i="122"/>
  <c r="M18" i="122" s="1"/>
  <c r="O18" i="122" s="1"/>
  <c r="K17" i="122"/>
  <c r="M17" i="122" s="1"/>
  <c r="K16" i="122"/>
  <c r="M16" i="122" s="1"/>
  <c r="O16" i="122" s="1"/>
  <c r="K15" i="122"/>
  <c r="M15" i="122" s="1"/>
  <c r="K14" i="122"/>
  <c r="I12" i="122"/>
  <c r="G12" i="122" s="1"/>
  <c r="E12" i="122"/>
  <c r="O7" i="122"/>
  <c r="H7" i="122"/>
  <c r="D7" i="122"/>
  <c r="H5" i="122"/>
  <c r="D5" i="122"/>
  <c r="H3" i="122"/>
  <c r="D3" i="122"/>
  <c r="F24" i="72"/>
  <c r="F25" i="72"/>
  <c r="K31" i="121"/>
  <c r="K30" i="121"/>
  <c r="O7" i="120"/>
  <c r="D7" i="120"/>
  <c r="O7" i="121"/>
  <c r="D7" i="121"/>
  <c r="L7" i="101"/>
  <c r="C7" i="101"/>
  <c r="L7" i="117"/>
  <c r="C7" i="117"/>
  <c r="K7" i="72"/>
  <c r="C7" i="72"/>
  <c r="K7" i="95"/>
  <c r="C7" i="95"/>
  <c r="K8" i="96"/>
  <c r="C8" i="96"/>
  <c r="F67" i="96"/>
  <c r="F40" i="96"/>
  <c r="F41" i="96"/>
  <c r="F35" i="96"/>
  <c r="F39" i="96" l="1"/>
  <c r="G39" i="96" s="1"/>
  <c r="M25" i="122"/>
  <c r="O25" i="122" s="1"/>
  <c r="K12" i="122"/>
  <c r="N45" i="122"/>
  <c r="O45" i="122"/>
  <c r="N47" i="122"/>
  <c r="O47" i="122"/>
  <c r="N44" i="122"/>
  <c r="N46" i="122"/>
  <c r="O48" i="122"/>
  <c r="N41" i="122"/>
  <c r="N43" i="122"/>
  <c r="O43" i="122"/>
  <c r="N42" i="122"/>
  <c r="O42" i="122"/>
  <c r="N32" i="122"/>
  <c r="N34" i="122"/>
  <c r="N24" i="122"/>
  <c r="O26" i="122"/>
  <c r="N26" i="122"/>
  <c r="O30" i="122"/>
  <c r="N30" i="122"/>
  <c r="N28" i="122"/>
  <c r="N18" i="122"/>
  <c r="N16" i="122"/>
  <c r="N22" i="122"/>
  <c r="H12" i="122"/>
  <c r="M14" i="122"/>
  <c r="M12" i="122" s="1"/>
  <c r="O33" i="122"/>
  <c r="N33" i="122"/>
  <c r="O29" i="122"/>
  <c r="N29" i="122"/>
  <c r="O23" i="122"/>
  <c r="N23" i="122"/>
  <c r="O27" i="122"/>
  <c r="N27" i="122"/>
  <c r="O31" i="122"/>
  <c r="N31" i="122"/>
  <c r="O40" i="122"/>
  <c r="N40" i="122"/>
  <c r="O15" i="122"/>
  <c r="N15" i="122"/>
  <c r="O17" i="122"/>
  <c r="N17" i="122"/>
  <c r="O39" i="122"/>
  <c r="N39" i="122"/>
  <c r="M38" i="122"/>
  <c r="K37" i="122"/>
  <c r="K7" i="71"/>
  <c r="K7" i="118"/>
  <c r="C7" i="118"/>
  <c r="N25" i="122" l="1"/>
  <c r="K9" i="122"/>
  <c r="S21" i="104" s="1"/>
  <c r="N14" i="122"/>
  <c r="O37" i="122"/>
  <c r="O14" i="122"/>
  <c r="O12" i="122" s="1"/>
  <c r="O38" i="122"/>
  <c r="N38" i="122"/>
  <c r="N37" i="122" s="1"/>
  <c r="M37" i="122"/>
  <c r="G22" i="101"/>
  <c r="G23" i="101"/>
  <c r="H23" i="101" s="1"/>
  <c r="AQ117" i="90"/>
  <c r="AQ116" i="90"/>
  <c r="AQ114" i="90"/>
  <c r="AQ112" i="90"/>
  <c r="AQ121" i="90"/>
  <c r="AQ120" i="90"/>
  <c r="AQ119" i="90"/>
  <c r="AQ118" i="90"/>
  <c r="AQ115" i="90"/>
  <c r="AQ113" i="90"/>
  <c r="N12" i="122" l="1"/>
  <c r="N9" i="122" s="1"/>
  <c r="T21" i="104" s="1"/>
  <c r="M9" i="122"/>
  <c r="E9" i="122" s="1"/>
  <c r="O9" i="122"/>
  <c r="L12" i="122"/>
  <c r="J23" i="101"/>
  <c r="K23" i="101" s="1"/>
  <c r="L23" i="101" s="1"/>
  <c r="L9" i="122" l="1"/>
  <c r="F28" i="95"/>
  <c r="F27" i="95"/>
  <c r="K14" i="121"/>
  <c r="K15" i="121"/>
  <c r="M15" i="121" s="1"/>
  <c r="K16" i="121"/>
  <c r="M16" i="121" s="1"/>
  <c r="K17" i="121"/>
  <c r="M17" i="121" s="1"/>
  <c r="K18" i="121"/>
  <c r="M18" i="121" s="1"/>
  <c r="K19" i="121"/>
  <c r="M19" i="121" s="1"/>
  <c r="K47" i="121"/>
  <c r="M47" i="121" s="1"/>
  <c r="O47" i="121" s="1"/>
  <c r="K46" i="121"/>
  <c r="M46" i="121" s="1"/>
  <c r="K45" i="121"/>
  <c r="M45" i="121" s="1"/>
  <c r="O45" i="121" s="1"/>
  <c r="K44" i="121"/>
  <c r="M44" i="121" s="1"/>
  <c r="K43" i="121"/>
  <c r="M43" i="121" s="1"/>
  <c r="O43" i="121" s="1"/>
  <c r="K42" i="121"/>
  <c r="M42" i="121" s="1"/>
  <c r="K41" i="121"/>
  <c r="M41" i="121" s="1"/>
  <c r="O41" i="121" s="1"/>
  <c r="K40" i="121"/>
  <c r="M40" i="121" s="1"/>
  <c r="J39" i="121"/>
  <c r="K39" i="121" s="1"/>
  <c r="M39" i="121" s="1"/>
  <c r="J38" i="121"/>
  <c r="K38" i="121" s="1"/>
  <c r="M38" i="121" s="1"/>
  <c r="J37" i="121"/>
  <c r="K37" i="121" s="1"/>
  <c r="K33" i="121"/>
  <c r="M33" i="121" s="1"/>
  <c r="K32" i="121"/>
  <c r="M32" i="121" s="1"/>
  <c r="M31" i="121"/>
  <c r="M30" i="121"/>
  <c r="K28" i="121"/>
  <c r="M28" i="121" s="1"/>
  <c r="K27" i="121"/>
  <c r="M27" i="121" s="1"/>
  <c r="K26" i="121"/>
  <c r="M26" i="121" s="1"/>
  <c r="K25" i="121"/>
  <c r="M25" i="121" s="1"/>
  <c r="K24" i="121"/>
  <c r="M24" i="121" s="1"/>
  <c r="K23" i="121"/>
  <c r="M23" i="121" s="1"/>
  <c r="K22" i="121"/>
  <c r="M22" i="121" s="1"/>
  <c r="K21" i="121"/>
  <c r="M21" i="121" s="1"/>
  <c r="K20" i="121"/>
  <c r="M20" i="121" s="1"/>
  <c r="I12" i="121"/>
  <c r="G12" i="121" s="1"/>
  <c r="E12" i="121"/>
  <c r="H7" i="121"/>
  <c r="H5" i="121"/>
  <c r="D5" i="121"/>
  <c r="H3" i="121"/>
  <c r="D3" i="121"/>
  <c r="O32" i="121" l="1"/>
  <c r="N32" i="121"/>
  <c r="H12" i="121"/>
  <c r="O33" i="121"/>
  <c r="N33" i="121"/>
  <c r="O27" i="121"/>
  <c r="N27" i="121"/>
  <c r="N20" i="121"/>
  <c r="O20" i="121"/>
  <c r="K36" i="121"/>
  <c r="M37" i="121"/>
  <c r="O21" i="121"/>
  <c r="N21" i="121"/>
  <c r="O38" i="121"/>
  <c r="N38" i="121"/>
  <c r="O31" i="121"/>
  <c r="N31" i="121"/>
  <c r="N40" i="121"/>
  <c r="O40" i="121"/>
  <c r="O16" i="121"/>
  <c r="N16" i="121"/>
  <c r="N24" i="121"/>
  <c r="O24" i="121"/>
  <c r="O46" i="121"/>
  <c r="N46" i="121"/>
  <c r="O19" i="121"/>
  <c r="N19" i="121"/>
  <c r="N28" i="121"/>
  <c r="O28" i="121"/>
  <c r="O39" i="121"/>
  <c r="N39" i="121"/>
  <c r="O23" i="121"/>
  <c r="N23" i="121"/>
  <c r="O17" i="121"/>
  <c r="N17" i="121"/>
  <c r="O25" i="121"/>
  <c r="N25" i="121"/>
  <c r="N30" i="121"/>
  <c r="O30" i="121"/>
  <c r="N44" i="121"/>
  <c r="O44" i="121"/>
  <c r="O22" i="121"/>
  <c r="N22" i="121"/>
  <c r="O15" i="121"/>
  <c r="N15" i="121"/>
  <c r="O18" i="121"/>
  <c r="N18" i="121"/>
  <c r="O26" i="121"/>
  <c r="N26" i="121"/>
  <c r="N42" i="121"/>
  <c r="O42" i="121"/>
  <c r="M14" i="121"/>
  <c r="K12" i="121"/>
  <c r="N41" i="121"/>
  <c r="N43" i="121"/>
  <c r="N45" i="121"/>
  <c r="N47" i="121"/>
  <c r="H41" i="117"/>
  <c r="O36" i="121" l="1"/>
  <c r="K9" i="121"/>
  <c r="S24" i="104" s="1"/>
  <c r="M12" i="121"/>
  <c r="N14" i="121"/>
  <c r="N12" i="121" s="1"/>
  <c r="O14" i="121"/>
  <c r="O12" i="121" s="1"/>
  <c r="L12" i="121" s="1"/>
  <c r="O37" i="121"/>
  <c r="N37" i="121"/>
  <c r="N36" i="121" s="1"/>
  <c r="M36" i="121"/>
  <c r="K46" i="120"/>
  <c r="M46" i="120" s="1"/>
  <c r="K45" i="120"/>
  <c r="M45" i="120" s="1"/>
  <c r="K44" i="120"/>
  <c r="M44" i="120" s="1"/>
  <c r="K43" i="120"/>
  <c r="M43" i="120" s="1"/>
  <c r="K42" i="120"/>
  <c r="M42" i="120" s="1"/>
  <c r="K41" i="120"/>
  <c r="M41" i="120" s="1"/>
  <c r="K40" i="120"/>
  <c r="M40" i="120" s="1"/>
  <c r="K39" i="120"/>
  <c r="M39" i="120" s="1"/>
  <c r="J38" i="120"/>
  <c r="K38" i="120" s="1"/>
  <c r="M38" i="120" s="1"/>
  <c r="J37" i="120"/>
  <c r="K37" i="120" s="1"/>
  <c r="M37" i="120" s="1"/>
  <c r="J36" i="120"/>
  <c r="K36" i="120" s="1"/>
  <c r="K32" i="120"/>
  <c r="M32" i="120" s="1"/>
  <c r="K31" i="120"/>
  <c r="M31" i="120" s="1"/>
  <c r="J30" i="120"/>
  <c r="K30" i="120" s="1"/>
  <c r="M30" i="120" s="1"/>
  <c r="K29" i="120"/>
  <c r="M29" i="120" s="1"/>
  <c r="J28" i="120"/>
  <c r="K28" i="120" s="1"/>
  <c r="M28" i="120" s="1"/>
  <c r="K27" i="120"/>
  <c r="M27" i="120" s="1"/>
  <c r="O27" i="120" s="1"/>
  <c r="K26" i="120"/>
  <c r="M26" i="120" s="1"/>
  <c r="N26" i="120" s="1"/>
  <c r="K25" i="120"/>
  <c r="M25" i="120" s="1"/>
  <c r="O25" i="120" s="1"/>
  <c r="K24" i="120"/>
  <c r="M24" i="120" s="1"/>
  <c r="N24" i="120" s="1"/>
  <c r="K23" i="120"/>
  <c r="M23" i="120" s="1"/>
  <c r="N23" i="120" s="1"/>
  <c r="K22" i="120"/>
  <c r="M22" i="120" s="1"/>
  <c r="O22" i="120" s="1"/>
  <c r="K21" i="120"/>
  <c r="M21" i="120" s="1"/>
  <c r="N21" i="120" s="1"/>
  <c r="K20" i="120"/>
  <c r="M20" i="120" s="1"/>
  <c r="O20" i="120" s="1"/>
  <c r="K19" i="120"/>
  <c r="M19" i="120" s="1"/>
  <c r="N19" i="120" s="1"/>
  <c r="K18" i="120"/>
  <c r="M18" i="120" s="1"/>
  <c r="O18" i="120" s="1"/>
  <c r="K17" i="120"/>
  <c r="M17" i="120" s="1"/>
  <c r="N17" i="120" s="1"/>
  <c r="K16" i="120"/>
  <c r="M16" i="120" s="1"/>
  <c r="O16" i="120" s="1"/>
  <c r="K15" i="120"/>
  <c r="M15" i="120" s="1"/>
  <c r="N15" i="120" s="1"/>
  <c r="K14" i="120"/>
  <c r="M14" i="120" s="1"/>
  <c r="O14" i="120" s="1"/>
  <c r="I12" i="120"/>
  <c r="G12" i="120" s="1"/>
  <c r="E12" i="120"/>
  <c r="H7" i="120"/>
  <c r="H5" i="120"/>
  <c r="D5" i="120"/>
  <c r="H3" i="120"/>
  <c r="D3" i="120"/>
  <c r="N9" i="121" l="1"/>
  <c r="T24" i="104" s="1"/>
  <c r="O9" i="121"/>
  <c r="M9" i="121"/>
  <c r="E9" i="121" s="1"/>
  <c r="L12" i="120"/>
  <c r="H12" i="120"/>
  <c r="K12" i="120"/>
  <c r="M36" i="120"/>
  <c r="K35" i="120"/>
  <c r="N30" i="120"/>
  <c r="O30" i="120"/>
  <c r="O40" i="120"/>
  <c r="N40" i="120"/>
  <c r="O44" i="120"/>
  <c r="N44" i="120"/>
  <c r="O29" i="120"/>
  <c r="N29" i="120"/>
  <c r="O39" i="120"/>
  <c r="N39" i="120"/>
  <c r="O43" i="120"/>
  <c r="N43" i="120"/>
  <c r="N31" i="120"/>
  <c r="O31" i="120"/>
  <c r="O37" i="120"/>
  <c r="N37" i="120"/>
  <c r="O41" i="120"/>
  <c r="N41" i="120"/>
  <c r="O45" i="120"/>
  <c r="N45" i="120"/>
  <c r="O28" i="120"/>
  <c r="M12" i="120"/>
  <c r="N28" i="120"/>
  <c r="N32" i="120"/>
  <c r="O32" i="120"/>
  <c r="O38" i="120"/>
  <c r="N38" i="120"/>
  <c r="O42" i="120"/>
  <c r="N42" i="120"/>
  <c r="O46" i="120"/>
  <c r="N46" i="120"/>
  <c r="N14" i="120"/>
  <c r="N16" i="120"/>
  <c r="N18" i="120"/>
  <c r="N20" i="120"/>
  <c r="N22" i="120"/>
  <c r="N25" i="120"/>
  <c r="N27" i="120"/>
  <c r="O15" i="120"/>
  <c r="O17" i="120"/>
  <c r="O19" i="120"/>
  <c r="O21" i="120"/>
  <c r="O23" i="120"/>
  <c r="O24" i="120"/>
  <c r="O26" i="120"/>
  <c r="S39" i="117"/>
  <c r="S40" i="117"/>
  <c r="S41" i="117"/>
  <c r="S42" i="117"/>
  <c r="S43" i="117"/>
  <c r="S44" i="117"/>
  <c r="S38" i="117"/>
  <c r="L9" i="121" l="1"/>
  <c r="K9" i="120"/>
  <c r="S25" i="104" s="1"/>
  <c r="O12" i="120"/>
  <c r="O35" i="120"/>
  <c r="N12" i="120"/>
  <c r="M35" i="120"/>
  <c r="O36" i="120"/>
  <c r="N36" i="120"/>
  <c r="N35" i="120" s="1"/>
  <c r="M9" i="120" l="1"/>
  <c r="E9" i="120" s="1"/>
  <c r="O9" i="120"/>
  <c r="N9" i="120"/>
  <c r="T25" i="104" s="1"/>
  <c r="L9" i="120" l="1"/>
  <c r="G16" i="101"/>
  <c r="G15" i="101"/>
  <c r="G19" i="101"/>
  <c r="L32" i="97" l="1"/>
  <c r="L31" i="97"/>
  <c r="L29" i="97"/>
  <c r="L27" i="97"/>
  <c r="L26" i="97"/>
  <c r="L25" i="97"/>
  <c r="L24" i="97"/>
  <c r="L23" i="97"/>
  <c r="L22" i="97"/>
  <c r="L21" i="97"/>
  <c r="L20" i="97"/>
  <c r="L19" i="97"/>
  <c r="L18" i="97"/>
  <c r="L17" i="97"/>
  <c r="L16" i="97"/>
  <c r="L15" i="97"/>
  <c r="L14" i="97"/>
  <c r="R16" i="96" l="1"/>
  <c r="F56" i="96" l="1"/>
  <c r="F50" i="96"/>
  <c r="F51" i="96"/>
  <c r="F52" i="96"/>
  <c r="F53" i="96"/>
  <c r="F54" i="96"/>
  <c r="F55" i="96"/>
  <c r="F49" i="96"/>
  <c r="G49" i="96" s="1"/>
  <c r="I49" i="96" s="1"/>
  <c r="G41" i="96"/>
  <c r="I41" i="96" s="1"/>
  <c r="J41" i="96" s="1"/>
  <c r="F42" i="96"/>
  <c r="G42" i="96" s="1"/>
  <c r="I42" i="96" s="1"/>
  <c r="F43" i="96"/>
  <c r="G43" i="96" s="1"/>
  <c r="I43" i="96" s="1"/>
  <c r="J43" i="96" s="1"/>
  <c r="F44" i="96"/>
  <c r="G44" i="96" s="1"/>
  <c r="I44" i="96" s="1"/>
  <c r="K44" i="96" s="1"/>
  <c r="F45" i="96"/>
  <c r="G45" i="96" s="1"/>
  <c r="I45" i="96" s="1"/>
  <c r="J45" i="96" s="1"/>
  <c r="F46" i="96"/>
  <c r="G46" i="96" s="1"/>
  <c r="I46" i="96" s="1"/>
  <c r="F47" i="96"/>
  <c r="G47" i="96" s="1"/>
  <c r="I47" i="96" s="1"/>
  <c r="G40" i="96"/>
  <c r="I40" i="96" s="1"/>
  <c r="J40" i="96" s="1"/>
  <c r="K49" i="96" l="1"/>
  <c r="J49" i="96"/>
  <c r="J42" i="96"/>
  <c r="K42" i="96"/>
  <c r="J46" i="96"/>
  <c r="K46" i="96"/>
  <c r="J47" i="96"/>
  <c r="K47" i="96"/>
  <c r="J44" i="96"/>
  <c r="K40" i="96"/>
  <c r="K43" i="96"/>
  <c r="K45" i="96"/>
  <c r="K41" i="96"/>
  <c r="M56" i="96"/>
  <c r="M54" i="96"/>
  <c r="M53" i="96"/>
  <c r="M52" i="96"/>
  <c r="M51" i="96"/>
  <c r="M50" i="96"/>
  <c r="M49" i="96"/>
  <c r="G56" i="96"/>
  <c r="I56" i="96" s="1"/>
  <c r="J56" i="96" s="1"/>
  <c r="G55" i="96"/>
  <c r="I55" i="96" s="1"/>
  <c r="J55" i="96" s="1"/>
  <c r="G54" i="96"/>
  <c r="I54" i="96" s="1"/>
  <c r="J54" i="96" s="1"/>
  <c r="G53" i="96"/>
  <c r="I53" i="96" s="1"/>
  <c r="J53" i="96" s="1"/>
  <c r="G52" i="96"/>
  <c r="I52" i="96" s="1"/>
  <c r="J52" i="96" s="1"/>
  <c r="G51" i="96"/>
  <c r="I51" i="96" s="1"/>
  <c r="J51" i="96" s="1"/>
  <c r="G50" i="96"/>
  <c r="I50" i="96" s="1"/>
  <c r="J50" i="96" s="1"/>
  <c r="M55" i="96"/>
  <c r="O14" i="96" l="1"/>
  <c r="K50" i="96"/>
  <c r="K56" i="96"/>
  <c r="K51" i="96"/>
  <c r="K53" i="96"/>
  <c r="K55" i="96"/>
  <c r="K54" i="96"/>
  <c r="K52" i="96"/>
  <c r="G35" i="96"/>
  <c r="I35" i="96" l="1"/>
  <c r="F36" i="96"/>
  <c r="G36" i="96" s="1"/>
  <c r="I36" i="96" s="1"/>
  <c r="J36" i="96" s="1"/>
  <c r="F37" i="96"/>
  <c r="G37" i="96" s="1"/>
  <c r="I37" i="96" s="1"/>
  <c r="K35" i="96" l="1"/>
  <c r="J35" i="96"/>
  <c r="J37" i="96"/>
  <c r="K37" i="96"/>
  <c r="K36" i="96"/>
  <c r="G21" i="117"/>
  <c r="G66" i="118" l="1"/>
  <c r="I66" i="118" s="1"/>
  <c r="G65" i="118"/>
  <c r="I65" i="118" s="1"/>
  <c r="K65" i="118" s="1"/>
  <c r="G64" i="118"/>
  <c r="I64" i="118" s="1"/>
  <c r="K64" i="118" s="1"/>
  <c r="G63" i="118"/>
  <c r="I63" i="118" s="1"/>
  <c r="K63" i="118" s="1"/>
  <c r="G62" i="118"/>
  <c r="I62" i="118" s="1"/>
  <c r="K62" i="118" s="1"/>
  <c r="G61" i="118"/>
  <c r="I61" i="118" s="1"/>
  <c r="J61" i="118" s="1"/>
  <c r="G60" i="118"/>
  <c r="I60" i="118" s="1"/>
  <c r="F59" i="118"/>
  <c r="G59" i="118" s="1"/>
  <c r="I59" i="118" s="1"/>
  <c r="F58" i="118"/>
  <c r="G58" i="118" s="1"/>
  <c r="I58" i="118" s="1"/>
  <c r="F57" i="118"/>
  <c r="G54" i="118"/>
  <c r="I54" i="118" s="1"/>
  <c r="G53" i="118"/>
  <c r="I53" i="118" s="1"/>
  <c r="K53" i="118" s="1"/>
  <c r="G52" i="118"/>
  <c r="I52" i="118" s="1"/>
  <c r="J52" i="118" s="1"/>
  <c r="G51" i="118"/>
  <c r="I51" i="118" s="1"/>
  <c r="G50" i="118"/>
  <c r="I50" i="118" s="1"/>
  <c r="G49" i="118"/>
  <c r="I49" i="118" s="1"/>
  <c r="K49" i="118" s="1"/>
  <c r="G48" i="118"/>
  <c r="I48" i="118" s="1"/>
  <c r="J48" i="118" s="1"/>
  <c r="G47" i="118"/>
  <c r="I47" i="118" s="1"/>
  <c r="G46" i="118"/>
  <c r="I46" i="118" s="1"/>
  <c r="G45" i="118"/>
  <c r="I45" i="118" s="1"/>
  <c r="K45" i="118" s="1"/>
  <c r="G44" i="118"/>
  <c r="I44" i="118" s="1"/>
  <c r="J44" i="118" s="1"/>
  <c r="G43" i="118"/>
  <c r="I43" i="118" s="1"/>
  <c r="G42" i="118"/>
  <c r="I42" i="118" s="1"/>
  <c r="G41" i="118"/>
  <c r="I41" i="118" s="1"/>
  <c r="K41" i="118" s="1"/>
  <c r="G40" i="118"/>
  <c r="I40" i="118" s="1"/>
  <c r="J40" i="118" s="1"/>
  <c r="G39" i="118"/>
  <c r="I39" i="118" s="1"/>
  <c r="G38" i="118"/>
  <c r="I38" i="118" s="1"/>
  <c r="G37" i="118"/>
  <c r="I37" i="118" s="1"/>
  <c r="K37" i="118" s="1"/>
  <c r="F36" i="118"/>
  <c r="G36" i="118" s="1"/>
  <c r="I36" i="118" s="1"/>
  <c r="J36" i="118" s="1"/>
  <c r="G35" i="118"/>
  <c r="I35" i="118" s="1"/>
  <c r="G34" i="118"/>
  <c r="I34" i="118" s="1"/>
  <c r="J34" i="118" s="1"/>
  <c r="G33" i="118"/>
  <c r="I33" i="118" s="1"/>
  <c r="J33" i="118" s="1"/>
  <c r="G32" i="118"/>
  <c r="I32" i="118" s="1"/>
  <c r="G31" i="118"/>
  <c r="I31" i="118" s="1"/>
  <c r="K31" i="118" s="1"/>
  <c r="G30" i="118"/>
  <c r="I30" i="118" s="1"/>
  <c r="J30" i="118" s="1"/>
  <c r="G29" i="118"/>
  <c r="I29" i="118" s="1"/>
  <c r="J29" i="118" s="1"/>
  <c r="G28" i="118"/>
  <c r="I28" i="118" s="1"/>
  <c r="G27" i="118"/>
  <c r="I27" i="118" s="1"/>
  <c r="K27" i="118" s="1"/>
  <c r="G26" i="118"/>
  <c r="I26" i="118" s="1"/>
  <c r="G25" i="118"/>
  <c r="I25" i="118" s="1"/>
  <c r="K25" i="118" s="1"/>
  <c r="G24" i="118"/>
  <c r="I24" i="118" s="1"/>
  <c r="G23" i="118"/>
  <c r="I23" i="118" s="1"/>
  <c r="K23" i="118" s="1"/>
  <c r="G22" i="118"/>
  <c r="I22" i="118" s="1"/>
  <c r="G21" i="118"/>
  <c r="I21" i="118" s="1"/>
  <c r="J21" i="118" s="1"/>
  <c r="G20" i="118"/>
  <c r="I20" i="118" s="1"/>
  <c r="G19" i="118"/>
  <c r="I19" i="118" s="1"/>
  <c r="K19" i="118" s="1"/>
  <c r="F18" i="118"/>
  <c r="G18" i="118" s="1"/>
  <c r="I18" i="118" s="1"/>
  <c r="G17" i="118"/>
  <c r="I17" i="118" s="1"/>
  <c r="K17" i="118" s="1"/>
  <c r="G16" i="118"/>
  <c r="I16" i="118" s="1"/>
  <c r="G15" i="118"/>
  <c r="I15" i="118" s="1"/>
  <c r="J15" i="118" s="1"/>
  <c r="G14" i="118"/>
  <c r="I14" i="118" s="1"/>
  <c r="K14" i="118" s="1"/>
  <c r="G13" i="118"/>
  <c r="F7" i="118"/>
  <c r="F5" i="118"/>
  <c r="C5" i="118"/>
  <c r="F3" i="118"/>
  <c r="C3" i="118"/>
  <c r="G57" i="118" l="1"/>
  <c r="I57" i="118" s="1"/>
  <c r="K16" i="118"/>
  <c r="J16" i="118"/>
  <c r="J22" i="118"/>
  <c r="K22" i="118"/>
  <c r="J25" i="118"/>
  <c r="J37" i="118"/>
  <c r="J53" i="118"/>
  <c r="J63" i="118"/>
  <c r="J45" i="118"/>
  <c r="J18" i="118"/>
  <c r="K18" i="118"/>
  <c r="J41" i="118"/>
  <c r="J49" i="118"/>
  <c r="K30" i="118"/>
  <c r="K34" i="118"/>
  <c r="J65" i="118"/>
  <c r="J31" i="118"/>
  <c r="K61" i="118"/>
  <c r="K32" i="118"/>
  <c r="J32" i="118"/>
  <c r="K28" i="118"/>
  <c r="J28" i="118"/>
  <c r="J66" i="118"/>
  <c r="K66" i="118"/>
  <c r="G12" i="118"/>
  <c r="I13" i="118"/>
  <c r="J17" i="118"/>
  <c r="J19" i="118"/>
  <c r="K29" i="118"/>
  <c r="K33" i="118"/>
  <c r="K36" i="118"/>
  <c r="K38" i="118"/>
  <c r="J38" i="118"/>
  <c r="K40" i="118"/>
  <c r="K42" i="118"/>
  <c r="J42" i="118"/>
  <c r="K44" i="118"/>
  <c r="K46" i="118"/>
  <c r="J46" i="118"/>
  <c r="K48" i="118"/>
  <c r="K50" i="118"/>
  <c r="J50" i="118"/>
  <c r="K52" i="118"/>
  <c r="K54" i="118"/>
  <c r="J54" i="118"/>
  <c r="K59" i="118"/>
  <c r="J59" i="118"/>
  <c r="J14" i="118"/>
  <c r="K21" i="118"/>
  <c r="J23" i="118"/>
  <c r="J27" i="118"/>
  <c r="K39" i="118"/>
  <c r="J39" i="118"/>
  <c r="K43" i="118"/>
  <c r="J43" i="118"/>
  <c r="K47" i="118"/>
  <c r="J47" i="118"/>
  <c r="K51" i="118"/>
  <c r="J51" i="118"/>
  <c r="K60" i="118"/>
  <c r="J60" i="118"/>
  <c r="J62" i="118"/>
  <c r="J64" i="118"/>
  <c r="K24" i="118"/>
  <c r="J24" i="118"/>
  <c r="K15" i="118"/>
  <c r="K20" i="118"/>
  <c r="J20" i="118"/>
  <c r="K26" i="118"/>
  <c r="J26" i="118"/>
  <c r="K35" i="118"/>
  <c r="J35" i="118"/>
  <c r="J58" i="118"/>
  <c r="K58" i="118"/>
  <c r="H61" i="117"/>
  <c r="J61" i="117" s="1"/>
  <c r="K61" i="117" s="1"/>
  <c r="H60" i="117"/>
  <c r="J60" i="117" s="1"/>
  <c r="H59" i="117"/>
  <c r="J59" i="117" s="1"/>
  <c r="H58" i="117"/>
  <c r="J58" i="117" s="1"/>
  <c r="H57" i="117"/>
  <c r="J57" i="117" s="1"/>
  <c r="H56" i="117"/>
  <c r="J56" i="117" s="1"/>
  <c r="H55" i="117"/>
  <c r="J55" i="117" s="1"/>
  <c r="H54" i="117"/>
  <c r="J54" i="117" s="1"/>
  <c r="L54" i="117" s="1"/>
  <c r="H53" i="117"/>
  <c r="J53" i="117" s="1"/>
  <c r="K53" i="117" s="1"/>
  <c r="H52" i="117"/>
  <c r="H49" i="117"/>
  <c r="J49" i="117" s="1"/>
  <c r="K49" i="117" s="1"/>
  <c r="L49" i="117" s="1"/>
  <c r="H48" i="117"/>
  <c r="H47" i="117"/>
  <c r="J47" i="117" s="1"/>
  <c r="K47" i="117" s="1"/>
  <c r="L47" i="117" s="1"/>
  <c r="H46" i="117"/>
  <c r="J46" i="117" s="1"/>
  <c r="K46" i="117" s="1"/>
  <c r="L46" i="117" s="1"/>
  <c r="H45" i="117"/>
  <c r="J45" i="117" s="1"/>
  <c r="K45" i="117" s="1"/>
  <c r="L45" i="117" s="1"/>
  <c r="H44" i="117"/>
  <c r="J44" i="117" s="1"/>
  <c r="K44" i="117" s="1"/>
  <c r="L44" i="117" s="1"/>
  <c r="H43" i="117"/>
  <c r="J43" i="117" s="1"/>
  <c r="K43" i="117" s="1"/>
  <c r="L43" i="117" s="1"/>
  <c r="H42" i="117"/>
  <c r="J42" i="117" s="1"/>
  <c r="J41" i="117"/>
  <c r="H40" i="117"/>
  <c r="J40" i="117" s="1"/>
  <c r="K40" i="117" s="1"/>
  <c r="L40" i="117" s="1"/>
  <c r="H39" i="117"/>
  <c r="J39" i="117" s="1"/>
  <c r="K39" i="117" s="1"/>
  <c r="L39" i="117" s="1"/>
  <c r="H38" i="117"/>
  <c r="J38" i="117" s="1"/>
  <c r="K38" i="117" s="1"/>
  <c r="L38" i="117" s="1"/>
  <c r="H36" i="117"/>
  <c r="J36" i="117" s="1"/>
  <c r="K36" i="117" s="1"/>
  <c r="L36" i="117" s="1"/>
  <c r="H35" i="117"/>
  <c r="J35" i="117" s="1"/>
  <c r="K35" i="117" s="1"/>
  <c r="L35" i="117" s="1"/>
  <c r="H34" i="117"/>
  <c r="J34" i="117" s="1"/>
  <c r="K34" i="117" s="1"/>
  <c r="L34" i="117" s="1"/>
  <c r="G32" i="117"/>
  <c r="H32" i="117" s="1"/>
  <c r="J32" i="117" s="1"/>
  <c r="K32" i="117" s="1"/>
  <c r="L32" i="117" s="1"/>
  <c r="G31" i="117"/>
  <c r="H31" i="117" s="1"/>
  <c r="J31" i="117" s="1"/>
  <c r="K31" i="117" s="1"/>
  <c r="L31" i="117" s="1"/>
  <c r="J30" i="117"/>
  <c r="K30" i="117" s="1"/>
  <c r="L30" i="117" s="1"/>
  <c r="H29" i="117"/>
  <c r="J29" i="117" s="1"/>
  <c r="K29" i="117" s="1"/>
  <c r="L29" i="117" s="1"/>
  <c r="H28" i="117"/>
  <c r="J28" i="117" s="1"/>
  <c r="K28" i="117" s="1"/>
  <c r="L28" i="117" s="1"/>
  <c r="H27" i="117"/>
  <c r="J27" i="117" s="1"/>
  <c r="K27" i="117" s="1"/>
  <c r="L27" i="117" s="1"/>
  <c r="H26" i="117"/>
  <c r="J26" i="117" s="1"/>
  <c r="K26" i="117" s="1"/>
  <c r="L26" i="117" s="1"/>
  <c r="H25" i="117"/>
  <c r="J25" i="117" s="1"/>
  <c r="K25" i="117" s="1"/>
  <c r="L25" i="117" s="1"/>
  <c r="H21" i="117"/>
  <c r="J21" i="117" s="1"/>
  <c r="K21" i="117" s="1"/>
  <c r="L21" i="117" s="1"/>
  <c r="H20" i="117"/>
  <c r="J20" i="117" s="1"/>
  <c r="K20" i="117" s="1"/>
  <c r="L20" i="117" s="1"/>
  <c r="H19" i="117"/>
  <c r="J19" i="117" s="1"/>
  <c r="K19" i="117" s="1"/>
  <c r="L19" i="117" s="1"/>
  <c r="H18" i="117"/>
  <c r="J18" i="117" s="1"/>
  <c r="K18" i="117" s="1"/>
  <c r="L18" i="117" s="1"/>
  <c r="H17" i="117"/>
  <c r="J17" i="117" s="1"/>
  <c r="K17" i="117" s="1"/>
  <c r="L17" i="117" s="1"/>
  <c r="H16" i="117"/>
  <c r="J16" i="117" s="1"/>
  <c r="K16" i="117" s="1"/>
  <c r="L16" i="117" s="1"/>
  <c r="G15" i="117"/>
  <c r="H15" i="117" s="1"/>
  <c r="G7" i="117"/>
  <c r="G5" i="117"/>
  <c r="C5" i="117"/>
  <c r="G3" i="117"/>
  <c r="C3" i="117"/>
  <c r="G56" i="118" l="1"/>
  <c r="G9" i="118" s="1"/>
  <c r="J57" i="118"/>
  <c r="J56" i="118" s="1"/>
  <c r="K57" i="118"/>
  <c r="K56" i="118" s="1"/>
  <c r="I56" i="118"/>
  <c r="I9" i="118" s="1"/>
  <c r="K42" i="117"/>
  <c r="L42" i="117" s="1"/>
  <c r="J52" i="117"/>
  <c r="K52" i="117" s="1"/>
  <c r="H51" i="117"/>
  <c r="K41" i="117"/>
  <c r="L41" i="117" s="1"/>
  <c r="J48" i="117"/>
  <c r="K48" i="117" s="1"/>
  <c r="L48" i="117" s="1"/>
  <c r="L53" i="117"/>
  <c r="J13" i="118"/>
  <c r="K13" i="118"/>
  <c r="I12" i="118"/>
  <c r="L61" i="117"/>
  <c r="L59" i="117"/>
  <c r="K59" i="117"/>
  <c r="L56" i="117"/>
  <c r="K56" i="117"/>
  <c r="K60" i="117"/>
  <c r="L60" i="117"/>
  <c r="L57" i="117"/>
  <c r="K57" i="117"/>
  <c r="L55" i="117"/>
  <c r="K55" i="117"/>
  <c r="L58" i="117"/>
  <c r="K58" i="117"/>
  <c r="G33" i="117"/>
  <c r="H33" i="117" s="1"/>
  <c r="J33" i="117" s="1"/>
  <c r="K33" i="117" s="1"/>
  <c r="L33" i="117" s="1"/>
  <c r="J15" i="117"/>
  <c r="K54" i="117"/>
  <c r="H56" i="118" l="1"/>
  <c r="J13" i="117"/>
  <c r="H13" i="117"/>
  <c r="H9" i="117" s="1"/>
  <c r="S22" i="104" s="1"/>
  <c r="J51" i="117"/>
  <c r="L52" i="117"/>
  <c r="L51" i="117" s="1"/>
  <c r="J12" i="118"/>
  <c r="J9" i="118"/>
  <c r="K9" i="118"/>
  <c r="H9" i="118" s="1"/>
  <c r="K51" i="117"/>
  <c r="D9" i="118"/>
  <c r="K12" i="118"/>
  <c r="K15" i="117"/>
  <c r="K13" i="117" s="1"/>
  <c r="J9" i="117" l="1"/>
  <c r="D9" i="117" s="1"/>
  <c r="K9" i="117"/>
  <c r="T22" i="104" s="1"/>
  <c r="L15" i="117"/>
  <c r="L13" i="117" s="1"/>
  <c r="L9" i="117" s="1"/>
  <c r="I9" i="117" s="1"/>
  <c r="I13" i="117" l="1"/>
  <c r="R45" i="116" l="1"/>
  <c r="R44" i="116"/>
  <c r="R43" i="116"/>
  <c r="R42" i="116"/>
  <c r="R41" i="116"/>
  <c r="R40" i="116"/>
  <c r="R39" i="116"/>
  <c r="R38" i="116"/>
  <c r="R37" i="116"/>
  <c r="R36" i="116"/>
  <c r="R35" i="116"/>
  <c r="R34" i="116"/>
  <c r="R33" i="116"/>
  <c r="R32" i="116"/>
  <c r="R31" i="116"/>
  <c r="R30" i="116"/>
  <c r="R22" i="116"/>
  <c r="R21" i="116"/>
  <c r="R20" i="116"/>
  <c r="R19" i="116"/>
  <c r="R18" i="116"/>
  <c r="R17" i="116"/>
  <c r="R16" i="116"/>
  <c r="R15" i="116"/>
  <c r="R14" i="116"/>
  <c r="R13" i="116"/>
  <c r="R12" i="116"/>
  <c r="R11" i="116"/>
  <c r="R10" i="116"/>
  <c r="R9" i="116"/>
  <c r="R8" i="116"/>
  <c r="R7" i="116"/>
  <c r="N2" i="116"/>
  <c r="H2" i="116"/>
  <c r="R46" i="116" l="1"/>
  <c r="R47" i="116" s="1"/>
  <c r="R48" i="116" s="1"/>
  <c r="R23" i="116"/>
  <c r="R24" i="116" s="1"/>
  <c r="R25" i="116" s="1"/>
  <c r="R3" i="116" l="1"/>
  <c r="V5" i="116" s="1"/>
  <c r="G40" i="95"/>
  <c r="H50" i="101" l="1"/>
  <c r="J50" i="101" s="1"/>
  <c r="K50" i="101" s="1"/>
  <c r="L50" i="101" s="1"/>
  <c r="H49" i="101"/>
  <c r="J49" i="101" s="1"/>
  <c r="K49" i="101" s="1"/>
  <c r="L49" i="101" s="1"/>
  <c r="H48" i="101"/>
  <c r="J48" i="101" s="1"/>
  <c r="K48" i="101" s="1"/>
  <c r="L48" i="101" s="1"/>
  <c r="H47" i="101"/>
  <c r="J47" i="101" s="1"/>
  <c r="K47" i="101" s="1"/>
  <c r="H36" i="101"/>
  <c r="J36" i="101" s="1"/>
  <c r="K36" i="101" s="1"/>
  <c r="L36" i="101" s="1"/>
  <c r="H35" i="101"/>
  <c r="J35" i="101" s="1"/>
  <c r="K35" i="101" s="1"/>
  <c r="L35" i="101" s="1"/>
  <c r="H37" i="101"/>
  <c r="J37" i="101" s="1"/>
  <c r="K37" i="101" s="1"/>
  <c r="L37" i="101" s="1"/>
  <c r="H15" i="101"/>
  <c r="H16" i="101"/>
  <c r="J16" i="101" s="1"/>
  <c r="G17" i="101"/>
  <c r="H17" i="101" s="1"/>
  <c r="J17" i="101" s="1"/>
  <c r="K17" i="101" s="1"/>
  <c r="L17" i="101" s="1"/>
  <c r="G18" i="101"/>
  <c r="H18" i="101" s="1"/>
  <c r="J18" i="101" s="1"/>
  <c r="K18" i="101" s="1"/>
  <c r="L18" i="101" s="1"/>
  <c r="H19" i="101"/>
  <c r="J19" i="101" s="1"/>
  <c r="K19" i="101" s="1"/>
  <c r="L19" i="101" s="1"/>
  <c r="G20" i="101"/>
  <c r="H20" i="101" s="1"/>
  <c r="J20" i="101" s="1"/>
  <c r="K20" i="101" s="1"/>
  <c r="L20" i="101" s="1"/>
  <c r="G21" i="101"/>
  <c r="H21" i="101" s="1"/>
  <c r="H22" i="101"/>
  <c r="J22" i="101" s="1"/>
  <c r="K22" i="101" s="1"/>
  <c r="L22" i="101" s="1"/>
  <c r="G2" i="92"/>
  <c r="C11" i="98"/>
  <c r="E11" i="98" s="1"/>
  <c r="G10" i="98"/>
  <c r="H10" i="98"/>
  <c r="C8" i="98"/>
  <c r="E8" i="98" s="1"/>
  <c r="R7" i="115"/>
  <c r="R8" i="115"/>
  <c r="R9" i="115"/>
  <c r="R10" i="115"/>
  <c r="R11" i="115"/>
  <c r="R12" i="115"/>
  <c r="R13" i="115"/>
  <c r="R14" i="115"/>
  <c r="R15" i="115"/>
  <c r="R16" i="115"/>
  <c r="R17" i="115"/>
  <c r="R18" i="115"/>
  <c r="R19" i="115"/>
  <c r="R20" i="115"/>
  <c r="R21" i="115"/>
  <c r="R22" i="115"/>
  <c r="R30" i="115"/>
  <c r="R31" i="115"/>
  <c r="R32" i="115"/>
  <c r="R33" i="115"/>
  <c r="R34" i="115"/>
  <c r="R35" i="115"/>
  <c r="R36" i="115"/>
  <c r="R37" i="115"/>
  <c r="R38" i="115"/>
  <c r="R39" i="115"/>
  <c r="R40" i="115"/>
  <c r="R41" i="115"/>
  <c r="R42" i="115"/>
  <c r="R43" i="115"/>
  <c r="R44" i="115"/>
  <c r="R45" i="115"/>
  <c r="R53" i="115"/>
  <c r="R54" i="115"/>
  <c r="R55" i="115"/>
  <c r="R56" i="115"/>
  <c r="R57" i="115"/>
  <c r="R58" i="115"/>
  <c r="R59" i="115"/>
  <c r="R60" i="115"/>
  <c r="R61" i="115"/>
  <c r="R62" i="115"/>
  <c r="R63" i="115"/>
  <c r="R64" i="115"/>
  <c r="R65" i="115"/>
  <c r="R66" i="115"/>
  <c r="R67" i="115"/>
  <c r="R68" i="115"/>
  <c r="R76" i="115"/>
  <c r="R77" i="115"/>
  <c r="R78" i="115"/>
  <c r="R79" i="115"/>
  <c r="R80" i="115"/>
  <c r="R81" i="115"/>
  <c r="R82" i="115"/>
  <c r="R83" i="115"/>
  <c r="R84" i="115"/>
  <c r="R85" i="115"/>
  <c r="R86" i="115"/>
  <c r="R87" i="115"/>
  <c r="R88" i="115"/>
  <c r="R89" i="115"/>
  <c r="R90" i="115"/>
  <c r="R91" i="115"/>
  <c r="N2" i="115"/>
  <c r="H2" i="115"/>
  <c r="R76" i="111"/>
  <c r="R77" i="111"/>
  <c r="R78" i="111"/>
  <c r="R79" i="111"/>
  <c r="R80" i="111"/>
  <c r="R81" i="111"/>
  <c r="R82" i="111"/>
  <c r="R83" i="111"/>
  <c r="R84" i="111"/>
  <c r="R85" i="111"/>
  <c r="R86" i="111"/>
  <c r="R87" i="111"/>
  <c r="R88" i="111"/>
  <c r="R89" i="111"/>
  <c r="R90" i="111"/>
  <c r="R91" i="111"/>
  <c r="R22" i="111"/>
  <c r="R7" i="111"/>
  <c r="R8" i="111"/>
  <c r="R9" i="111"/>
  <c r="R10" i="111"/>
  <c r="R11" i="111"/>
  <c r="R12" i="111"/>
  <c r="R13" i="111"/>
  <c r="R14" i="111"/>
  <c r="R15" i="111"/>
  <c r="R16" i="111"/>
  <c r="R17" i="111"/>
  <c r="R18" i="111"/>
  <c r="R19" i="111"/>
  <c r="R20" i="111"/>
  <c r="R21" i="111"/>
  <c r="R45" i="111"/>
  <c r="R30" i="111"/>
  <c r="R31" i="111"/>
  <c r="R32" i="111"/>
  <c r="R33" i="111"/>
  <c r="R34" i="111"/>
  <c r="R35" i="111"/>
  <c r="R36" i="111"/>
  <c r="R37" i="111"/>
  <c r="R38" i="111"/>
  <c r="R39" i="111"/>
  <c r="R40" i="111"/>
  <c r="R41" i="111"/>
  <c r="R42" i="111"/>
  <c r="R43" i="111"/>
  <c r="R44" i="111"/>
  <c r="R68" i="111"/>
  <c r="R53" i="111"/>
  <c r="R54" i="111"/>
  <c r="R55" i="111"/>
  <c r="R56" i="111"/>
  <c r="R57" i="111"/>
  <c r="R58" i="111"/>
  <c r="R59" i="111"/>
  <c r="R60" i="111"/>
  <c r="R61" i="111"/>
  <c r="R62" i="111"/>
  <c r="R63" i="111"/>
  <c r="R64" i="111"/>
  <c r="R65" i="111"/>
  <c r="R66" i="111"/>
  <c r="R67" i="111"/>
  <c r="L45" i="97"/>
  <c r="N45" i="97" s="1"/>
  <c r="O45" i="97" s="1"/>
  <c r="H61" i="101"/>
  <c r="J61" i="101" s="1"/>
  <c r="D53" i="98"/>
  <c r="G9" i="98"/>
  <c r="H9" i="98"/>
  <c r="F88" i="112"/>
  <c r="G88" i="112" s="1"/>
  <c r="I88" i="112" s="1"/>
  <c r="F86" i="112"/>
  <c r="G86" i="112" s="1"/>
  <c r="I86" i="112" s="1"/>
  <c r="F85" i="112"/>
  <c r="G85" i="112" s="1"/>
  <c r="I85" i="112" s="1"/>
  <c r="K85" i="112" s="1"/>
  <c r="F84" i="112"/>
  <c r="G84" i="112" s="1"/>
  <c r="I84" i="112" s="1"/>
  <c r="F83" i="112"/>
  <c r="G83" i="112" s="1"/>
  <c r="F82" i="112"/>
  <c r="G82" i="112" s="1"/>
  <c r="I82" i="112" s="1"/>
  <c r="K82" i="112" s="1"/>
  <c r="F79" i="112"/>
  <c r="G79" i="112" s="1"/>
  <c r="I79" i="112" s="1"/>
  <c r="K79" i="112" s="1"/>
  <c r="F77" i="112"/>
  <c r="G77" i="112" s="1"/>
  <c r="I77" i="112" s="1"/>
  <c r="J77" i="112" s="1"/>
  <c r="F76" i="112"/>
  <c r="G76" i="112" s="1"/>
  <c r="I76" i="112" s="1"/>
  <c r="F74" i="112"/>
  <c r="G74" i="112" s="1"/>
  <c r="I74" i="112" s="1"/>
  <c r="F73" i="112"/>
  <c r="G73" i="112" s="1"/>
  <c r="I73" i="112" s="1"/>
  <c r="F72" i="112"/>
  <c r="G72" i="112" s="1"/>
  <c r="I72" i="112" s="1"/>
  <c r="F85" i="96"/>
  <c r="G85" i="96" s="1"/>
  <c r="I85" i="96" s="1"/>
  <c r="F64" i="112"/>
  <c r="G64" i="112" s="1"/>
  <c r="I64" i="112" s="1"/>
  <c r="F63" i="112"/>
  <c r="G63" i="112" s="1"/>
  <c r="I63" i="112" s="1"/>
  <c r="F62" i="112"/>
  <c r="G62" i="112" s="1"/>
  <c r="I62" i="112" s="1"/>
  <c r="K62" i="112" s="1"/>
  <c r="F61" i="112"/>
  <c r="G61" i="112" s="1"/>
  <c r="I61" i="112" s="1"/>
  <c r="J61" i="112" s="1"/>
  <c r="F60" i="112"/>
  <c r="G60" i="112" s="1"/>
  <c r="I60" i="112" s="1"/>
  <c r="F59" i="112"/>
  <c r="G59" i="112" s="1"/>
  <c r="I59" i="112" s="1"/>
  <c r="F58" i="112"/>
  <c r="G58" i="112" s="1"/>
  <c r="I58" i="112" s="1"/>
  <c r="K58" i="112" s="1"/>
  <c r="F57" i="112"/>
  <c r="G57" i="112" s="1"/>
  <c r="F53" i="112"/>
  <c r="G53" i="112" s="1"/>
  <c r="I53" i="112" s="1"/>
  <c r="F50" i="112"/>
  <c r="G50" i="112" s="1"/>
  <c r="I50" i="112" s="1"/>
  <c r="F49" i="112"/>
  <c r="G49" i="112" s="1"/>
  <c r="I49" i="112" s="1"/>
  <c r="F48" i="112"/>
  <c r="G48" i="112" s="1"/>
  <c r="I48" i="112" s="1"/>
  <c r="K48" i="112" s="1"/>
  <c r="F47" i="112"/>
  <c r="G47" i="112" s="1"/>
  <c r="I47" i="112" s="1"/>
  <c r="J47" i="112" s="1"/>
  <c r="F45" i="112"/>
  <c r="G45" i="112" s="1"/>
  <c r="I45" i="112" s="1"/>
  <c r="F44" i="112"/>
  <c r="G44" i="112" s="1"/>
  <c r="I44" i="112" s="1"/>
  <c r="K44" i="112" s="1"/>
  <c r="F43" i="112"/>
  <c r="G43" i="112" s="1"/>
  <c r="I43" i="112" s="1"/>
  <c r="F41" i="112"/>
  <c r="G41" i="112" s="1"/>
  <c r="I41" i="112" s="1"/>
  <c r="F40" i="112"/>
  <c r="G40" i="112" s="1"/>
  <c r="I40" i="112" s="1"/>
  <c r="F39" i="112"/>
  <c r="G39" i="112" s="1"/>
  <c r="I39" i="112" s="1"/>
  <c r="F38" i="112"/>
  <c r="G38" i="112" s="1"/>
  <c r="I38" i="112" s="1"/>
  <c r="N37" i="112"/>
  <c r="F36" i="112"/>
  <c r="G36" i="112" s="1"/>
  <c r="I36" i="112" s="1"/>
  <c r="F35" i="112"/>
  <c r="G35" i="112" s="1"/>
  <c r="I35" i="112" s="1"/>
  <c r="F34" i="112"/>
  <c r="G34" i="112" s="1"/>
  <c r="I34" i="112" s="1"/>
  <c r="F31" i="112"/>
  <c r="G31" i="112" s="1"/>
  <c r="I31" i="112" s="1"/>
  <c r="F30" i="112"/>
  <c r="G30" i="112" s="1"/>
  <c r="I30" i="112" s="1"/>
  <c r="J30" i="112" s="1"/>
  <c r="F29" i="112"/>
  <c r="G29" i="112" s="1"/>
  <c r="I29" i="112" s="1"/>
  <c r="K29" i="112" s="1"/>
  <c r="F27" i="112"/>
  <c r="G27" i="112" s="1"/>
  <c r="I27" i="112" s="1"/>
  <c r="F26" i="112"/>
  <c r="G26" i="112" s="1"/>
  <c r="I26" i="112" s="1"/>
  <c r="K26" i="112" s="1"/>
  <c r="F25" i="112"/>
  <c r="G25" i="112" s="1"/>
  <c r="I25" i="112" s="1"/>
  <c r="F23" i="112"/>
  <c r="G23" i="112" s="1"/>
  <c r="I23" i="112" s="1"/>
  <c r="J23" i="112" s="1"/>
  <c r="F22" i="112"/>
  <c r="G22" i="112" s="1"/>
  <c r="I22" i="112" s="1"/>
  <c r="F21" i="112"/>
  <c r="G21" i="112" s="1"/>
  <c r="I21" i="112" s="1"/>
  <c r="F20" i="112"/>
  <c r="G20" i="112" s="1"/>
  <c r="I20" i="112" s="1"/>
  <c r="K20" i="112" s="1"/>
  <c r="F19" i="112"/>
  <c r="G19" i="112" s="1"/>
  <c r="I19" i="112" s="1"/>
  <c r="F18" i="112"/>
  <c r="G18" i="112" s="1"/>
  <c r="I18" i="112" s="1"/>
  <c r="K18" i="112" s="1"/>
  <c r="F17" i="96"/>
  <c r="G17" i="96" s="1"/>
  <c r="I17" i="96" s="1"/>
  <c r="F16" i="112"/>
  <c r="G16" i="112" s="1"/>
  <c r="I16" i="112" s="1"/>
  <c r="F15" i="112"/>
  <c r="G15" i="112" s="1"/>
  <c r="I15" i="112" s="1"/>
  <c r="J15" i="112" s="1"/>
  <c r="F14" i="112"/>
  <c r="G14" i="112" s="1"/>
  <c r="D10" i="112"/>
  <c r="G8" i="112"/>
  <c r="G6" i="112"/>
  <c r="C6" i="112"/>
  <c r="G4" i="112"/>
  <c r="C4" i="112"/>
  <c r="K1" i="112"/>
  <c r="F51" i="72"/>
  <c r="G51" i="72" s="1"/>
  <c r="I51" i="72" s="1"/>
  <c r="F50" i="72"/>
  <c r="F49" i="72"/>
  <c r="G49" i="72" s="1"/>
  <c r="I49" i="72" s="1"/>
  <c r="F48" i="72"/>
  <c r="G48" i="72" s="1"/>
  <c r="I48" i="72" s="1"/>
  <c r="K48" i="72" s="1"/>
  <c r="F47" i="72"/>
  <c r="G47" i="72" s="1"/>
  <c r="I47" i="72" s="1"/>
  <c r="F46" i="72"/>
  <c r="G46" i="72" s="1"/>
  <c r="F40" i="72"/>
  <c r="G40" i="72" s="1"/>
  <c r="I40" i="72" s="1"/>
  <c r="J40" i="72" s="1"/>
  <c r="F39" i="72"/>
  <c r="G39" i="72" s="1"/>
  <c r="I39" i="72" s="1"/>
  <c r="F26" i="72"/>
  <c r="G26" i="72" s="1"/>
  <c r="I26" i="72" s="1"/>
  <c r="K26" i="72" s="1"/>
  <c r="G25" i="72"/>
  <c r="I25" i="72" s="1"/>
  <c r="G24" i="72"/>
  <c r="I24" i="72" s="1"/>
  <c r="G18" i="72"/>
  <c r="G102" i="96"/>
  <c r="I102" i="96" s="1"/>
  <c r="K102" i="96" s="1"/>
  <c r="G59" i="71"/>
  <c r="I59" i="71" s="1"/>
  <c r="G66" i="71"/>
  <c r="I66" i="71" s="1"/>
  <c r="J66" i="71" s="1"/>
  <c r="C73" i="71" s="1"/>
  <c r="F57" i="71"/>
  <c r="G57" i="71" s="1"/>
  <c r="I57" i="71" s="1"/>
  <c r="F58" i="71"/>
  <c r="G58" i="71" s="1"/>
  <c r="E44" i="98"/>
  <c r="I44" i="98" s="1"/>
  <c r="T105" i="92" s="1"/>
  <c r="F19" i="71"/>
  <c r="G19" i="71" s="1"/>
  <c r="I19" i="71" s="1"/>
  <c r="F18" i="71"/>
  <c r="G18" i="71" s="1"/>
  <c r="I18" i="71" s="1"/>
  <c r="F36" i="71"/>
  <c r="G36" i="71" s="1"/>
  <c r="I36" i="71" s="1"/>
  <c r="J36" i="71" s="1"/>
  <c r="N36" i="71" s="1"/>
  <c r="N2" i="111"/>
  <c r="Q220" i="92"/>
  <c r="G352" i="92"/>
  <c r="D352" i="92"/>
  <c r="G351" i="92"/>
  <c r="D351" i="92"/>
  <c r="G350" i="92"/>
  <c r="D350" i="92"/>
  <c r="G349" i="92"/>
  <c r="D349" i="92"/>
  <c r="G348" i="92"/>
  <c r="D348" i="92"/>
  <c r="G347" i="92"/>
  <c r="D347" i="92"/>
  <c r="G346" i="92"/>
  <c r="D346" i="92"/>
  <c r="G345" i="92"/>
  <c r="D345" i="92"/>
  <c r="G344" i="92"/>
  <c r="D344" i="92"/>
  <c r="G316" i="92"/>
  <c r="D316" i="92"/>
  <c r="G315" i="92"/>
  <c r="D315" i="92"/>
  <c r="G314" i="92"/>
  <c r="D314" i="92"/>
  <c r="G313" i="92"/>
  <c r="D313" i="92"/>
  <c r="G312" i="92"/>
  <c r="D312" i="92"/>
  <c r="G311" i="92"/>
  <c r="D311" i="92"/>
  <c r="G310" i="92"/>
  <c r="D310" i="92"/>
  <c r="G309" i="92"/>
  <c r="D309" i="92"/>
  <c r="G308" i="92"/>
  <c r="D308" i="92"/>
  <c r="G60" i="95"/>
  <c r="I60" i="95" s="1"/>
  <c r="G59" i="95"/>
  <c r="I59" i="95" s="1"/>
  <c r="F58" i="95"/>
  <c r="G58" i="95" s="1"/>
  <c r="I58" i="95" s="1"/>
  <c r="F56" i="95"/>
  <c r="G56" i="95" s="1"/>
  <c r="I56" i="95" s="1"/>
  <c r="J56" i="95" s="1"/>
  <c r="F55" i="95"/>
  <c r="G55" i="95" s="1"/>
  <c r="I55" i="95" s="1"/>
  <c r="F51" i="95"/>
  <c r="G51" i="95" s="1"/>
  <c r="I51" i="95" s="1"/>
  <c r="F50" i="95"/>
  <c r="G50" i="95" s="1"/>
  <c r="I50" i="95" s="1"/>
  <c r="F49" i="95"/>
  <c r="G49" i="95" s="1"/>
  <c r="I49" i="95" s="1"/>
  <c r="F48" i="95"/>
  <c r="G48" i="95" s="1"/>
  <c r="I48" i="95" s="1"/>
  <c r="F47" i="95"/>
  <c r="G47" i="95" s="1"/>
  <c r="I47" i="95" s="1"/>
  <c r="F46" i="95"/>
  <c r="G46" i="95" s="1"/>
  <c r="I46" i="95" s="1"/>
  <c r="K46" i="95" s="1"/>
  <c r="F45" i="95"/>
  <c r="G45" i="95" s="1"/>
  <c r="F38" i="95"/>
  <c r="G38" i="95" s="1"/>
  <c r="I38" i="95" s="1"/>
  <c r="J38" i="95" s="1"/>
  <c r="F37" i="95"/>
  <c r="G37" i="95" s="1"/>
  <c r="I37" i="95" s="1"/>
  <c r="G36" i="95"/>
  <c r="I36" i="95" s="1"/>
  <c r="F35" i="95"/>
  <c r="G35" i="95" s="1"/>
  <c r="I35" i="95" s="1"/>
  <c r="G34" i="95"/>
  <c r="I34" i="95" s="1"/>
  <c r="J34" i="95" s="1"/>
  <c r="F31" i="95"/>
  <c r="G31" i="95" s="1"/>
  <c r="I31" i="95" s="1"/>
  <c r="F30" i="95"/>
  <c r="G30" i="95" s="1"/>
  <c r="I30" i="95" s="1"/>
  <c r="F29" i="95"/>
  <c r="G29" i="95" s="1"/>
  <c r="I29" i="95" s="1"/>
  <c r="G28" i="95"/>
  <c r="I28" i="95" s="1"/>
  <c r="G27" i="95"/>
  <c r="I27" i="95" s="1"/>
  <c r="F26" i="95"/>
  <c r="G26" i="95" s="1"/>
  <c r="I26" i="95" s="1"/>
  <c r="J26" i="95" s="1"/>
  <c r="F25" i="95"/>
  <c r="G25" i="95" s="1"/>
  <c r="I25" i="95" s="1"/>
  <c r="J25" i="95" s="1"/>
  <c r="F24" i="95"/>
  <c r="G24" i="95" s="1"/>
  <c r="G21" i="95"/>
  <c r="I21" i="95" s="1"/>
  <c r="F19" i="95"/>
  <c r="G19" i="95" s="1"/>
  <c r="I19" i="95" s="1"/>
  <c r="G18" i="95"/>
  <c r="I18" i="95" s="1"/>
  <c r="F17" i="95"/>
  <c r="G17" i="95" s="1"/>
  <c r="I17" i="95" s="1"/>
  <c r="J17" i="95" s="1"/>
  <c r="F16" i="95"/>
  <c r="G16" i="95" s="1"/>
  <c r="I16" i="95" s="1"/>
  <c r="J16" i="95" s="1"/>
  <c r="F15" i="95"/>
  <c r="G15" i="95" s="1"/>
  <c r="I15" i="95" s="1"/>
  <c r="F14" i="95"/>
  <c r="G14" i="95" s="1"/>
  <c r="F13" i="95"/>
  <c r="G13" i="95" s="1"/>
  <c r="F15" i="72"/>
  <c r="G15" i="72" s="1"/>
  <c r="I15" i="72" s="1"/>
  <c r="F16" i="72"/>
  <c r="G16" i="72" s="1"/>
  <c r="I16" i="72" s="1"/>
  <c r="F19" i="72"/>
  <c r="G19" i="72" s="1"/>
  <c r="I19" i="72" s="1"/>
  <c r="K19" i="72" s="1"/>
  <c r="F20" i="72"/>
  <c r="G20" i="72" s="1"/>
  <c r="I20" i="72" s="1"/>
  <c r="F21" i="72"/>
  <c r="G21" i="72" s="1"/>
  <c r="I21" i="72" s="1"/>
  <c r="F23" i="72"/>
  <c r="G23" i="72" s="1"/>
  <c r="I23" i="72" s="1"/>
  <c r="J23" i="72" s="1"/>
  <c r="F27" i="72"/>
  <c r="G27" i="72" s="1"/>
  <c r="I27" i="72" s="1"/>
  <c r="J27" i="72" s="1"/>
  <c r="F28" i="72"/>
  <c r="G28" i="72" s="1"/>
  <c r="I28" i="72" s="1"/>
  <c r="F29" i="72"/>
  <c r="G29" i="72" s="1"/>
  <c r="I29" i="72" s="1"/>
  <c r="F30" i="72"/>
  <c r="G30" i="72" s="1"/>
  <c r="I30" i="72" s="1"/>
  <c r="F31" i="72"/>
  <c r="G31" i="72" s="1"/>
  <c r="I31" i="72" s="1"/>
  <c r="K31" i="72" s="1"/>
  <c r="F35" i="72"/>
  <c r="G35" i="72" s="1"/>
  <c r="I35" i="72" s="1"/>
  <c r="F36" i="72"/>
  <c r="G36" i="72" s="1"/>
  <c r="I36" i="72" s="1"/>
  <c r="G37" i="72"/>
  <c r="I37" i="72" s="1"/>
  <c r="F38" i="72"/>
  <c r="G38" i="72" s="1"/>
  <c r="I38" i="72" s="1"/>
  <c r="F14" i="72"/>
  <c r="G14" i="72" s="1"/>
  <c r="T23" i="90"/>
  <c r="T20" i="90"/>
  <c r="T19" i="90"/>
  <c r="T18" i="90"/>
  <c r="T16" i="90"/>
  <c r="T8" i="90"/>
  <c r="H2" i="111"/>
  <c r="D41" i="109"/>
  <c r="D35" i="109"/>
  <c r="D29" i="109"/>
  <c r="D22" i="109"/>
  <c r="D15" i="109"/>
  <c r="AF55" i="90"/>
  <c r="AF56" i="90"/>
  <c r="AF57" i="90"/>
  <c r="AF58" i="90"/>
  <c r="AF59" i="90"/>
  <c r="AF60" i="90"/>
  <c r="AF61" i="90"/>
  <c r="AF62" i="90"/>
  <c r="AF63" i="90"/>
  <c r="AF64" i="90"/>
  <c r="AF65" i="90"/>
  <c r="AF54" i="90"/>
  <c r="AF31" i="90"/>
  <c r="AF32" i="90"/>
  <c r="AF33" i="90"/>
  <c r="AF34" i="90"/>
  <c r="AF35" i="90"/>
  <c r="AF36" i="90"/>
  <c r="AF37" i="90"/>
  <c r="AF38" i="90"/>
  <c r="AF39" i="90"/>
  <c r="AF40" i="90"/>
  <c r="AF41" i="90"/>
  <c r="AF30" i="90"/>
  <c r="AF6" i="90"/>
  <c r="AF7" i="90"/>
  <c r="AF8" i="90"/>
  <c r="AF9" i="90"/>
  <c r="AF10" i="90"/>
  <c r="AF11" i="90"/>
  <c r="AF12" i="90"/>
  <c r="AF13" i="90"/>
  <c r="AF14" i="90"/>
  <c r="AF15" i="90"/>
  <c r="AF16" i="90"/>
  <c r="AF5" i="90"/>
  <c r="N19" i="97"/>
  <c r="O19" i="97" s="1"/>
  <c r="N20" i="97"/>
  <c r="O20" i="97" s="1"/>
  <c r="N18" i="97"/>
  <c r="D73" i="98"/>
  <c r="D72" i="98"/>
  <c r="D62" i="98"/>
  <c r="D60" i="98"/>
  <c r="I27" i="104"/>
  <c r="G7" i="104"/>
  <c r="G5" i="104"/>
  <c r="C5" i="104"/>
  <c r="G3" i="104"/>
  <c r="C3" i="104"/>
  <c r="G44" i="71"/>
  <c r="I44" i="71" s="1"/>
  <c r="J44" i="71" s="1"/>
  <c r="P44" i="71" s="1"/>
  <c r="G43" i="71"/>
  <c r="I43" i="71" s="1"/>
  <c r="K43" i="71" s="1"/>
  <c r="G42" i="71"/>
  <c r="I42" i="71" s="1"/>
  <c r="G41" i="71"/>
  <c r="I41" i="71" s="1"/>
  <c r="K24" i="101"/>
  <c r="L24" i="101" s="1"/>
  <c r="J31" i="101"/>
  <c r="K31" i="101" s="1"/>
  <c r="L31" i="101" s="1"/>
  <c r="G370" i="92"/>
  <c r="G369" i="92"/>
  <c r="G368" i="92"/>
  <c r="G367" i="92"/>
  <c r="G366" i="92"/>
  <c r="G365" i="92"/>
  <c r="G364" i="92"/>
  <c r="G363" i="92"/>
  <c r="G362" i="92"/>
  <c r="G361" i="92"/>
  <c r="G360" i="92"/>
  <c r="G359" i="92"/>
  <c r="G358" i="92"/>
  <c r="G357" i="92"/>
  <c r="G356" i="92"/>
  <c r="G355" i="92"/>
  <c r="G354" i="92"/>
  <c r="G353" i="92"/>
  <c r="G343" i="92"/>
  <c r="G342" i="92"/>
  <c r="G341" i="92"/>
  <c r="G340" i="92"/>
  <c r="G339" i="92"/>
  <c r="G338" i="92"/>
  <c r="G337" i="92"/>
  <c r="G336" i="92"/>
  <c r="G335" i="92"/>
  <c r="G334" i="92"/>
  <c r="G333" i="92"/>
  <c r="G332" i="92"/>
  <c r="G331" i="92"/>
  <c r="G330" i="92"/>
  <c r="G329" i="92"/>
  <c r="G328" i="92"/>
  <c r="G327" i="92"/>
  <c r="G326" i="92"/>
  <c r="G325" i="92"/>
  <c r="G324" i="92"/>
  <c r="G323" i="92"/>
  <c r="G322" i="92"/>
  <c r="G321" i="92"/>
  <c r="G320" i="92"/>
  <c r="G319" i="92"/>
  <c r="G318" i="92"/>
  <c r="G317" i="92"/>
  <c r="G307" i="92"/>
  <c r="G306" i="92"/>
  <c r="G305" i="92"/>
  <c r="G304" i="92"/>
  <c r="G303" i="92"/>
  <c r="G302" i="92"/>
  <c r="G301" i="92"/>
  <c r="G300" i="92"/>
  <c r="G299" i="92"/>
  <c r="G298" i="92"/>
  <c r="G297" i="92"/>
  <c r="G296" i="92"/>
  <c r="G295" i="92"/>
  <c r="G294" i="92"/>
  <c r="G293" i="92"/>
  <c r="G292" i="92"/>
  <c r="G291" i="92"/>
  <c r="G290" i="92"/>
  <c r="G289" i="92"/>
  <c r="G288" i="92"/>
  <c r="G287" i="92"/>
  <c r="G286" i="92"/>
  <c r="G285" i="92"/>
  <c r="G284" i="92"/>
  <c r="G283" i="92"/>
  <c r="G282" i="92"/>
  <c r="G281" i="92"/>
  <c r="G280" i="92"/>
  <c r="G279" i="92"/>
  <c r="G278" i="92"/>
  <c r="G277" i="92"/>
  <c r="G276" i="92"/>
  <c r="G275" i="92"/>
  <c r="G274" i="92"/>
  <c r="G273" i="92"/>
  <c r="G272" i="92"/>
  <c r="I7" i="97"/>
  <c r="I5" i="97"/>
  <c r="I3" i="97"/>
  <c r="E5" i="97"/>
  <c r="E3" i="97"/>
  <c r="G7" i="101"/>
  <c r="G5" i="101"/>
  <c r="G3" i="101"/>
  <c r="C5" i="101"/>
  <c r="C3" i="101"/>
  <c r="G670" i="92"/>
  <c r="E670" i="92" s="1"/>
  <c r="D670" i="92"/>
  <c r="G669" i="92"/>
  <c r="E669" i="92" s="1"/>
  <c r="D669" i="92"/>
  <c r="G668" i="92"/>
  <c r="E668" i="92" s="1"/>
  <c r="D668" i="92"/>
  <c r="G667" i="92"/>
  <c r="E667" i="92" s="1"/>
  <c r="D667" i="92"/>
  <c r="AQ95" i="90"/>
  <c r="AQ94" i="90"/>
  <c r="AQ93" i="90"/>
  <c r="AQ92" i="90"/>
  <c r="AQ91" i="90"/>
  <c r="AQ90" i="90"/>
  <c r="AQ89" i="90"/>
  <c r="AQ88" i="90"/>
  <c r="AQ87" i="90"/>
  <c r="AQ86" i="90"/>
  <c r="AQ108" i="90"/>
  <c r="AQ107" i="90"/>
  <c r="AQ106" i="90"/>
  <c r="AQ105" i="90"/>
  <c r="AQ104" i="90"/>
  <c r="AQ103" i="90"/>
  <c r="AQ102" i="90"/>
  <c r="AQ101" i="90"/>
  <c r="AQ100" i="90"/>
  <c r="AQ99" i="90"/>
  <c r="AQ69" i="90"/>
  <c r="AQ68" i="90"/>
  <c r="AQ67" i="90"/>
  <c r="AQ66" i="90"/>
  <c r="AQ65" i="90"/>
  <c r="AQ64" i="90"/>
  <c r="AQ63" i="90"/>
  <c r="AQ62" i="90"/>
  <c r="AQ61" i="90"/>
  <c r="AQ60" i="90"/>
  <c r="AQ56" i="90"/>
  <c r="AQ55" i="90"/>
  <c r="AQ54" i="90"/>
  <c r="AQ53" i="90"/>
  <c r="AQ52" i="90"/>
  <c r="AQ51" i="90"/>
  <c r="AQ50" i="90"/>
  <c r="AQ49" i="90"/>
  <c r="AQ48" i="90"/>
  <c r="AQ47" i="90"/>
  <c r="AQ43" i="90"/>
  <c r="AQ42" i="90"/>
  <c r="AQ41" i="90"/>
  <c r="AQ40" i="90"/>
  <c r="AQ39" i="90"/>
  <c r="AQ37" i="90"/>
  <c r="AQ38" i="90"/>
  <c r="AQ36" i="90"/>
  <c r="AQ35" i="90"/>
  <c r="AQ34" i="90"/>
  <c r="AQ21" i="90"/>
  <c r="AQ7" i="90"/>
  <c r="AQ30" i="90"/>
  <c r="AQ29" i="90"/>
  <c r="AQ28" i="90"/>
  <c r="AQ27" i="90"/>
  <c r="AQ26" i="90"/>
  <c r="AQ25" i="90"/>
  <c r="AQ24" i="90"/>
  <c r="AQ23" i="90"/>
  <c r="AQ22" i="90"/>
  <c r="AQ16" i="90"/>
  <c r="AQ12" i="90"/>
  <c r="AQ11" i="90"/>
  <c r="AQ10" i="90"/>
  <c r="AQ9" i="90"/>
  <c r="AQ8" i="90"/>
  <c r="AQ14" i="90"/>
  <c r="AQ15" i="90"/>
  <c r="AQ13" i="90"/>
  <c r="H54" i="101"/>
  <c r="H53" i="101"/>
  <c r="H62" i="101"/>
  <c r="J62" i="101" s="1"/>
  <c r="H60" i="101"/>
  <c r="J60" i="101" s="1"/>
  <c r="K60" i="101" s="1"/>
  <c r="H59" i="101"/>
  <c r="J59" i="101" s="1"/>
  <c r="L59" i="101" s="1"/>
  <c r="H58" i="101"/>
  <c r="J58" i="101" s="1"/>
  <c r="H57" i="101"/>
  <c r="J57" i="101" s="1"/>
  <c r="H56" i="101"/>
  <c r="J56" i="101" s="1"/>
  <c r="K56" i="101" s="1"/>
  <c r="H55" i="101"/>
  <c r="J55" i="101" s="1"/>
  <c r="L55" i="101" s="1"/>
  <c r="H46" i="101"/>
  <c r="J46" i="101" s="1"/>
  <c r="K46" i="101" s="1"/>
  <c r="L46" i="101" s="1"/>
  <c r="H45" i="101"/>
  <c r="J45" i="101" s="1"/>
  <c r="K45" i="101" s="1"/>
  <c r="L45" i="101" s="1"/>
  <c r="H44" i="101"/>
  <c r="J44" i="101" s="1"/>
  <c r="H43" i="101"/>
  <c r="J43" i="101" s="1"/>
  <c r="K43" i="101" s="1"/>
  <c r="L43" i="101" s="1"/>
  <c r="H42" i="101"/>
  <c r="J42" i="101" s="1"/>
  <c r="K42" i="101" s="1"/>
  <c r="L42" i="101" s="1"/>
  <c r="H41" i="101"/>
  <c r="J41" i="101" s="1"/>
  <c r="K41" i="101" s="1"/>
  <c r="L41" i="101" s="1"/>
  <c r="H40" i="101"/>
  <c r="J40" i="101" s="1"/>
  <c r="K40" i="101" s="1"/>
  <c r="L40" i="101" s="1"/>
  <c r="H39" i="101"/>
  <c r="J39" i="101" s="1"/>
  <c r="K39" i="101" s="1"/>
  <c r="L39" i="101" s="1"/>
  <c r="G33" i="101"/>
  <c r="H33" i="101" s="1"/>
  <c r="J33" i="101" s="1"/>
  <c r="K33" i="101" s="1"/>
  <c r="L33" i="101" s="1"/>
  <c r="G32" i="101"/>
  <c r="H32" i="101" s="1"/>
  <c r="J32" i="101" s="1"/>
  <c r="K32" i="101" s="1"/>
  <c r="L32" i="101" s="1"/>
  <c r="H29" i="101"/>
  <c r="J29" i="101" s="1"/>
  <c r="K29" i="101" s="1"/>
  <c r="L29" i="101" s="1"/>
  <c r="H28" i="101"/>
  <c r="J28" i="101" s="1"/>
  <c r="K28" i="101" s="1"/>
  <c r="L28" i="101" s="1"/>
  <c r="H27" i="101"/>
  <c r="J27" i="101" s="1"/>
  <c r="K27" i="101" s="1"/>
  <c r="L27" i="101" s="1"/>
  <c r="H26" i="101"/>
  <c r="J26" i="101" s="1"/>
  <c r="K26" i="101" s="1"/>
  <c r="L26" i="101" s="1"/>
  <c r="H30" i="101"/>
  <c r="J30" i="101" s="1"/>
  <c r="K30" i="101" s="1"/>
  <c r="L30" i="101" s="1"/>
  <c r="G666" i="92"/>
  <c r="D666" i="92"/>
  <c r="G665" i="92"/>
  <c r="D665" i="92"/>
  <c r="G664" i="92"/>
  <c r="D664" i="92"/>
  <c r="G663" i="92"/>
  <c r="D663" i="92"/>
  <c r="G662" i="92"/>
  <c r="D662" i="92"/>
  <c r="G661" i="92"/>
  <c r="D661" i="92"/>
  <c r="G660" i="92"/>
  <c r="D660" i="92"/>
  <c r="G659" i="92"/>
  <c r="D659" i="92"/>
  <c r="G658" i="92"/>
  <c r="D658" i="92"/>
  <c r="G657" i="92"/>
  <c r="D657" i="92"/>
  <c r="G656" i="92"/>
  <c r="D656" i="92"/>
  <c r="G655" i="92"/>
  <c r="D655" i="92"/>
  <c r="G654" i="92"/>
  <c r="D654" i="92"/>
  <c r="G653" i="92"/>
  <c r="D653" i="92"/>
  <c r="G652" i="92"/>
  <c r="D652" i="92"/>
  <c r="G651" i="92"/>
  <c r="D651" i="92"/>
  <c r="G650" i="92"/>
  <c r="D650" i="92"/>
  <c r="G649" i="92"/>
  <c r="D649" i="92"/>
  <c r="G648" i="92"/>
  <c r="D648" i="92"/>
  <c r="G647" i="92"/>
  <c r="D647" i="92"/>
  <c r="G646" i="92"/>
  <c r="D646" i="92"/>
  <c r="G645" i="92"/>
  <c r="D645" i="92"/>
  <c r="G644" i="92"/>
  <c r="D644" i="92"/>
  <c r="G643" i="92"/>
  <c r="D643" i="92"/>
  <c r="G642" i="92"/>
  <c r="D642" i="92"/>
  <c r="G641" i="92"/>
  <c r="D641" i="92"/>
  <c r="G640" i="92"/>
  <c r="D640" i="92"/>
  <c r="G639" i="92"/>
  <c r="D639" i="92"/>
  <c r="G638" i="92"/>
  <c r="D638" i="92"/>
  <c r="G637" i="92"/>
  <c r="D637" i="92"/>
  <c r="G636" i="92"/>
  <c r="D636" i="92"/>
  <c r="G635" i="92"/>
  <c r="D635" i="92"/>
  <c r="G634" i="92"/>
  <c r="D634" i="92"/>
  <c r="G633" i="92"/>
  <c r="D633" i="92"/>
  <c r="G632" i="92"/>
  <c r="D632" i="92"/>
  <c r="G631" i="92"/>
  <c r="D631" i="92"/>
  <c r="G630" i="92"/>
  <c r="D630" i="92"/>
  <c r="G629" i="92"/>
  <c r="D629" i="92"/>
  <c r="G628" i="92"/>
  <c r="D628" i="92"/>
  <c r="G627" i="92"/>
  <c r="D627" i="92"/>
  <c r="G626" i="92"/>
  <c r="D626" i="92"/>
  <c r="G625" i="92"/>
  <c r="D625" i="92"/>
  <c r="G624" i="92"/>
  <c r="D624" i="92"/>
  <c r="G623" i="92"/>
  <c r="D623" i="92"/>
  <c r="G622" i="92"/>
  <c r="D622" i="92"/>
  <c r="G621" i="92"/>
  <c r="D621" i="92"/>
  <c r="G620" i="92"/>
  <c r="D620" i="92"/>
  <c r="G619" i="92"/>
  <c r="D619" i="92"/>
  <c r="G618" i="92"/>
  <c r="D618" i="92"/>
  <c r="G617" i="92"/>
  <c r="D617" i="92"/>
  <c r="G616" i="92"/>
  <c r="D616" i="92"/>
  <c r="G615" i="92"/>
  <c r="D615" i="92"/>
  <c r="G614" i="92"/>
  <c r="D614" i="92"/>
  <c r="G613" i="92"/>
  <c r="D613" i="92"/>
  <c r="G612" i="92"/>
  <c r="D612" i="92"/>
  <c r="G611" i="92"/>
  <c r="D611" i="92"/>
  <c r="G610" i="92"/>
  <c r="D610" i="92"/>
  <c r="G609" i="92"/>
  <c r="D609" i="92"/>
  <c r="G608" i="92"/>
  <c r="D608" i="92"/>
  <c r="G607" i="92"/>
  <c r="D607" i="92"/>
  <c r="G606" i="92"/>
  <c r="D606" i="92"/>
  <c r="G605" i="92"/>
  <c r="D605" i="92"/>
  <c r="G604" i="92"/>
  <c r="D604" i="92"/>
  <c r="G603" i="92"/>
  <c r="D603" i="92"/>
  <c r="G602" i="92"/>
  <c r="D602" i="92"/>
  <c r="G601" i="92"/>
  <c r="D601" i="92"/>
  <c r="G600" i="92"/>
  <c r="D600" i="92"/>
  <c r="G599" i="92"/>
  <c r="D599" i="92"/>
  <c r="G598" i="92"/>
  <c r="D598" i="92"/>
  <c r="G597" i="92"/>
  <c r="D597" i="92"/>
  <c r="G596" i="92"/>
  <c r="D596" i="92"/>
  <c r="G595" i="92"/>
  <c r="D595" i="92"/>
  <c r="G594" i="92"/>
  <c r="D594" i="92"/>
  <c r="G593" i="92"/>
  <c r="D593" i="92"/>
  <c r="G592" i="92"/>
  <c r="D592" i="92"/>
  <c r="G591" i="92"/>
  <c r="D591" i="92"/>
  <c r="G590" i="92"/>
  <c r="D590" i="92"/>
  <c r="G589" i="92"/>
  <c r="D589" i="92"/>
  <c r="G588" i="92"/>
  <c r="D588" i="92"/>
  <c r="G587" i="92"/>
  <c r="D587" i="92"/>
  <c r="G586" i="92"/>
  <c r="D586" i="92"/>
  <c r="G585" i="92"/>
  <c r="D585" i="92"/>
  <c r="G584" i="92"/>
  <c r="D584" i="92"/>
  <c r="G583" i="92"/>
  <c r="D583" i="92"/>
  <c r="G582" i="92"/>
  <c r="D582" i="92"/>
  <c r="G581" i="92"/>
  <c r="D581" i="92"/>
  <c r="G580" i="92"/>
  <c r="D580" i="92"/>
  <c r="G579" i="92"/>
  <c r="D579" i="92"/>
  <c r="G578" i="92"/>
  <c r="D578" i="92"/>
  <c r="G577" i="92"/>
  <c r="D577" i="92"/>
  <c r="G181" i="92"/>
  <c r="D181" i="92"/>
  <c r="G180" i="92"/>
  <c r="D180" i="92"/>
  <c r="G179" i="92"/>
  <c r="D179" i="92"/>
  <c r="G178" i="92"/>
  <c r="D178" i="92"/>
  <c r="G177" i="92"/>
  <c r="D177" i="92"/>
  <c r="G176" i="92"/>
  <c r="D176" i="92"/>
  <c r="G175" i="92"/>
  <c r="D175" i="92"/>
  <c r="G174" i="92"/>
  <c r="D174" i="92"/>
  <c r="G173" i="92"/>
  <c r="D173" i="92"/>
  <c r="G172" i="92"/>
  <c r="D172" i="92"/>
  <c r="G171" i="92"/>
  <c r="D171" i="92"/>
  <c r="G170" i="92"/>
  <c r="D170" i="92"/>
  <c r="G169" i="92"/>
  <c r="D169" i="92"/>
  <c r="G168" i="92"/>
  <c r="D168" i="92"/>
  <c r="G167" i="92"/>
  <c r="D167" i="92"/>
  <c r="G166" i="92"/>
  <c r="D166" i="92"/>
  <c r="G165" i="92"/>
  <c r="D165" i="92"/>
  <c r="G164" i="92"/>
  <c r="D164" i="92"/>
  <c r="G163" i="92"/>
  <c r="D163" i="92"/>
  <c r="G162" i="92"/>
  <c r="D162" i="92"/>
  <c r="G161" i="92"/>
  <c r="D161" i="92"/>
  <c r="G160" i="92"/>
  <c r="D160" i="92"/>
  <c r="G159" i="92"/>
  <c r="D159" i="92"/>
  <c r="G158" i="92"/>
  <c r="D158" i="92"/>
  <c r="G157" i="92"/>
  <c r="D157" i="92"/>
  <c r="G156" i="92"/>
  <c r="D156" i="92"/>
  <c r="G155" i="92"/>
  <c r="D155" i="92"/>
  <c r="G154" i="92"/>
  <c r="D154" i="92"/>
  <c r="G153" i="92"/>
  <c r="D153" i="92"/>
  <c r="G152" i="92"/>
  <c r="D152" i="92"/>
  <c r="G151" i="92"/>
  <c r="D151" i="92"/>
  <c r="G150" i="92"/>
  <c r="D150" i="92"/>
  <c r="G149" i="92"/>
  <c r="D149" i="92"/>
  <c r="G148" i="92"/>
  <c r="D148" i="92"/>
  <c r="G147" i="92"/>
  <c r="D147" i="92"/>
  <c r="G146" i="92"/>
  <c r="D146" i="92"/>
  <c r="G145" i="92"/>
  <c r="D145" i="92"/>
  <c r="G144" i="92"/>
  <c r="D144" i="92"/>
  <c r="G143" i="92"/>
  <c r="D143" i="92"/>
  <c r="G142" i="92"/>
  <c r="D142" i="92"/>
  <c r="G141" i="92"/>
  <c r="D141" i="92"/>
  <c r="G140" i="92"/>
  <c r="D140" i="92"/>
  <c r="G139" i="92"/>
  <c r="D139" i="92"/>
  <c r="G138" i="92"/>
  <c r="D138" i="92"/>
  <c r="G137" i="92"/>
  <c r="D137" i="92"/>
  <c r="F8" i="96"/>
  <c r="F6" i="96"/>
  <c r="F4" i="96"/>
  <c r="C6" i="96"/>
  <c r="C4" i="96"/>
  <c r="F7" i="95"/>
  <c r="F5" i="95"/>
  <c r="F3" i="95"/>
  <c r="C5" i="95"/>
  <c r="F7" i="72"/>
  <c r="F5" i="72"/>
  <c r="F3" i="72"/>
  <c r="C5" i="72"/>
  <c r="C3" i="72"/>
  <c r="Q339" i="92"/>
  <c r="N26" i="97"/>
  <c r="N15" i="97"/>
  <c r="O15" i="97" s="1"/>
  <c r="N29" i="97"/>
  <c r="N24" i="97"/>
  <c r="O24" i="97" s="1"/>
  <c r="N25" i="97"/>
  <c r="O25" i="97" s="1"/>
  <c r="N32" i="97"/>
  <c r="N31" i="97"/>
  <c r="O31" i="97" s="1"/>
  <c r="G576" i="92"/>
  <c r="D576" i="92"/>
  <c r="G575" i="92"/>
  <c r="D575" i="92"/>
  <c r="G574" i="92"/>
  <c r="D574" i="92"/>
  <c r="G573" i="92"/>
  <c r="D573" i="92"/>
  <c r="N17" i="97"/>
  <c r="O17" i="97" s="1"/>
  <c r="D569" i="92"/>
  <c r="A82" i="98" s="1"/>
  <c r="D572" i="92"/>
  <c r="A85" i="98" s="1"/>
  <c r="D571" i="92"/>
  <c r="A84" i="98" s="1"/>
  <c r="D570" i="92"/>
  <c r="A83" i="98" s="1"/>
  <c r="G572" i="92"/>
  <c r="G571" i="92"/>
  <c r="G570" i="92"/>
  <c r="G569" i="92"/>
  <c r="C31" i="98"/>
  <c r="E31" i="98" s="1"/>
  <c r="F31" i="98" s="1"/>
  <c r="C7" i="98"/>
  <c r="E7" i="98" s="1"/>
  <c r="F7" i="98" s="1"/>
  <c r="C47" i="98"/>
  <c r="E47" i="98" s="1"/>
  <c r="I47" i="98" s="1"/>
  <c r="U260" i="92" s="1"/>
  <c r="C46" i="98"/>
  <c r="E46" i="98" s="1"/>
  <c r="I46" i="98" s="1"/>
  <c r="V113" i="92" s="1"/>
  <c r="C45" i="98"/>
  <c r="E45" i="98" s="1"/>
  <c r="I45" i="98" s="1"/>
  <c r="O637" i="92" s="1"/>
  <c r="N21" i="97"/>
  <c r="O21" i="97" s="1"/>
  <c r="G392" i="92"/>
  <c r="D392" i="92"/>
  <c r="K38" i="97"/>
  <c r="L38" i="97" s="1"/>
  <c r="N38" i="97" s="1"/>
  <c r="O38" i="97" s="1"/>
  <c r="K37" i="97"/>
  <c r="L37" i="97" s="1"/>
  <c r="N37" i="97" s="1"/>
  <c r="O37" i="97" s="1"/>
  <c r="G568" i="92"/>
  <c r="D568" i="92"/>
  <c r="G567" i="92"/>
  <c r="D567" i="92"/>
  <c r="G566" i="92"/>
  <c r="D566" i="92"/>
  <c r="G565" i="92"/>
  <c r="D565" i="92"/>
  <c r="G564" i="92"/>
  <c r="D564" i="92"/>
  <c r="G563" i="92"/>
  <c r="D563" i="92"/>
  <c r="G562" i="92"/>
  <c r="D562" i="92"/>
  <c r="G561" i="92"/>
  <c r="D561" i="92"/>
  <c r="G560" i="92"/>
  <c r="D560" i="92"/>
  <c r="G559" i="92"/>
  <c r="D559" i="92"/>
  <c r="G558" i="92"/>
  <c r="D558" i="92"/>
  <c r="G557" i="92"/>
  <c r="D557" i="92"/>
  <c r="G556" i="92"/>
  <c r="D556" i="92"/>
  <c r="G555" i="92"/>
  <c r="D555" i="92"/>
  <c r="G554" i="92"/>
  <c r="D554" i="92"/>
  <c r="G553" i="92"/>
  <c r="D553" i="92"/>
  <c r="G552" i="92"/>
  <c r="D552" i="92"/>
  <c r="G551" i="92"/>
  <c r="D551" i="92"/>
  <c r="G550" i="92"/>
  <c r="D550" i="92"/>
  <c r="G549" i="92"/>
  <c r="D549" i="92"/>
  <c r="G548" i="92"/>
  <c r="D548" i="92"/>
  <c r="G547" i="92"/>
  <c r="D547" i="92"/>
  <c r="G546" i="92"/>
  <c r="D546" i="92"/>
  <c r="G545" i="92"/>
  <c r="D545" i="92"/>
  <c r="G544" i="92"/>
  <c r="D544" i="92"/>
  <c r="G543" i="92"/>
  <c r="D543" i="92"/>
  <c r="G542" i="92"/>
  <c r="D542" i="92"/>
  <c r="G541" i="92"/>
  <c r="D541" i="92"/>
  <c r="G540" i="92"/>
  <c r="D540" i="92"/>
  <c r="G539" i="92"/>
  <c r="D539" i="92"/>
  <c r="G538" i="92"/>
  <c r="D538" i="92"/>
  <c r="G537" i="92"/>
  <c r="D537" i="92"/>
  <c r="G536" i="92"/>
  <c r="D536" i="92"/>
  <c r="G535" i="92"/>
  <c r="D535" i="92"/>
  <c r="G534" i="92"/>
  <c r="D534" i="92"/>
  <c r="G533" i="92"/>
  <c r="D533" i="92"/>
  <c r="G532" i="92"/>
  <c r="D532" i="92"/>
  <c r="G531" i="92"/>
  <c r="D531" i="92"/>
  <c r="G530" i="92"/>
  <c r="D530" i="92"/>
  <c r="G529" i="92"/>
  <c r="D529" i="92"/>
  <c r="G528" i="92"/>
  <c r="D528" i="92"/>
  <c r="G527" i="92"/>
  <c r="D527" i="92"/>
  <c r="G526" i="92"/>
  <c r="D526" i="92"/>
  <c r="G525" i="92"/>
  <c r="D525" i="92"/>
  <c r="G524" i="92"/>
  <c r="D524" i="92"/>
  <c r="G523" i="92"/>
  <c r="D523" i="92"/>
  <c r="G522" i="92"/>
  <c r="D522" i="92"/>
  <c r="G521" i="92"/>
  <c r="D521" i="92"/>
  <c r="G520" i="92"/>
  <c r="D520" i="92"/>
  <c r="G519" i="92"/>
  <c r="D519" i="92"/>
  <c r="G518" i="92"/>
  <c r="D518" i="92"/>
  <c r="G517" i="92"/>
  <c r="D517" i="92"/>
  <c r="G516" i="92"/>
  <c r="D516" i="92"/>
  <c r="G515" i="92"/>
  <c r="D515" i="92"/>
  <c r="G514" i="92"/>
  <c r="D514" i="92"/>
  <c r="G513" i="92"/>
  <c r="D513" i="92"/>
  <c r="G512" i="92"/>
  <c r="D512" i="92"/>
  <c r="G511" i="92"/>
  <c r="D511" i="92"/>
  <c r="G510" i="92"/>
  <c r="D510" i="92"/>
  <c r="G509" i="92"/>
  <c r="D509" i="92"/>
  <c r="G508" i="92"/>
  <c r="D508" i="92"/>
  <c r="G507" i="92"/>
  <c r="D507" i="92"/>
  <c r="G506" i="92"/>
  <c r="D506" i="92"/>
  <c r="G505" i="92"/>
  <c r="D505" i="92"/>
  <c r="G504" i="92"/>
  <c r="D504" i="92"/>
  <c r="G503" i="92"/>
  <c r="D503" i="92"/>
  <c r="G502" i="92"/>
  <c r="D502" i="92"/>
  <c r="G501" i="92"/>
  <c r="D501" i="92"/>
  <c r="G500" i="92"/>
  <c r="D500" i="92"/>
  <c r="G499" i="92"/>
  <c r="D499" i="92"/>
  <c r="G498" i="92"/>
  <c r="D498" i="92"/>
  <c r="G497" i="92"/>
  <c r="D497" i="92"/>
  <c r="G496" i="92"/>
  <c r="D496" i="92"/>
  <c r="G495" i="92"/>
  <c r="D495" i="92"/>
  <c r="G494" i="92"/>
  <c r="D494" i="92"/>
  <c r="G493" i="92"/>
  <c r="D493" i="92"/>
  <c r="G492" i="92"/>
  <c r="D492" i="92"/>
  <c r="G491" i="92"/>
  <c r="D491" i="92"/>
  <c r="G490" i="92"/>
  <c r="D490" i="92"/>
  <c r="G489" i="92"/>
  <c r="D489" i="92"/>
  <c r="G488" i="92"/>
  <c r="D488" i="92"/>
  <c r="G487" i="92"/>
  <c r="D487" i="92"/>
  <c r="G486" i="92"/>
  <c r="D486" i="92"/>
  <c r="G485" i="92"/>
  <c r="D485" i="92"/>
  <c r="G484" i="92"/>
  <c r="D484" i="92"/>
  <c r="G483" i="92"/>
  <c r="D483" i="92"/>
  <c r="G482" i="92"/>
  <c r="D482" i="92"/>
  <c r="G481" i="92"/>
  <c r="D481" i="92"/>
  <c r="G480" i="92"/>
  <c r="D480" i="92"/>
  <c r="G479" i="92"/>
  <c r="D479" i="92"/>
  <c r="G478" i="92"/>
  <c r="D478" i="92"/>
  <c r="G477" i="92"/>
  <c r="D477" i="92"/>
  <c r="G476" i="92"/>
  <c r="D476" i="92"/>
  <c r="G475" i="92"/>
  <c r="D475" i="92"/>
  <c r="G474" i="92"/>
  <c r="D474" i="92"/>
  <c r="G473" i="92"/>
  <c r="D473" i="92"/>
  <c r="G472" i="92"/>
  <c r="D472" i="92"/>
  <c r="G471" i="92"/>
  <c r="D471" i="92"/>
  <c r="G470" i="92"/>
  <c r="D470" i="92"/>
  <c r="G469" i="92"/>
  <c r="D469" i="92"/>
  <c r="G468" i="92"/>
  <c r="D468" i="92"/>
  <c r="G467" i="92"/>
  <c r="D467" i="92"/>
  <c r="G466" i="92"/>
  <c r="D466" i="92"/>
  <c r="G465" i="92"/>
  <c r="D465" i="92"/>
  <c r="G464" i="92"/>
  <c r="D464" i="92"/>
  <c r="G463" i="92"/>
  <c r="D463" i="92"/>
  <c r="G462" i="92"/>
  <c r="D462" i="92"/>
  <c r="G461" i="92"/>
  <c r="D461" i="92"/>
  <c r="D439" i="92"/>
  <c r="G439" i="92"/>
  <c r="D440" i="92"/>
  <c r="G440" i="92"/>
  <c r="D441" i="92"/>
  <c r="G441" i="92"/>
  <c r="D442" i="92"/>
  <c r="G442" i="92"/>
  <c r="G460" i="92"/>
  <c r="D460" i="92"/>
  <c r="G459" i="92"/>
  <c r="D459" i="92"/>
  <c r="G458" i="92"/>
  <c r="D458" i="92"/>
  <c r="G457" i="92"/>
  <c r="D457" i="92"/>
  <c r="G456" i="92"/>
  <c r="D456" i="92"/>
  <c r="G455" i="92"/>
  <c r="D455" i="92"/>
  <c r="G454" i="92"/>
  <c r="D454" i="92"/>
  <c r="G453" i="92"/>
  <c r="D453" i="92"/>
  <c r="G452" i="92"/>
  <c r="D452" i="92"/>
  <c r="G451" i="92"/>
  <c r="D451" i="92"/>
  <c r="G450" i="92"/>
  <c r="D450" i="92"/>
  <c r="G449" i="92"/>
  <c r="D449" i="92"/>
  <c r="G448" i="92"/>
  <c r="D448" i="92"/>
  <c r="G447" i="92"/>
  <c r="D447" i="92"/>
  <c r="G446" i="92"/>
  <c r="D446" i="92"/>
  <c r="G445" i="92"/>
  <c r="D445" i="92"/>
  <c r="G444" i="92"/>
  <c r="D444" i="92"/>
  <c r="G443" i="92"/>
  <c r="D443" i="92"/>
  <c r="G438" i="92"/>
  <c r="G437" i="92"/>
  <c r="G436" i="92"/>
  <c r="G435" i="92"/>
  <c r="G434" i="92"/>
  <c r="D438" i="92"/>
  <c r="D437" i="92"/>
  <c r="D436" i="92"/>
  <c r="D435" i="92"/>
  <c r="D434" i="92"/>
  <c r="G433" i="92"/>
  <c r="E433" i="92" s="1"/>
  <c r="D433" i="92"/>
  <c r="G432" i="92"/>
  <c r="E432" i="92" s="1"/>
  <c r="D432" i="92"/>
  <c r="G431" i="92"/>
  <c r="E431" i="92" s="1"/>
  <c r="D431" i="92"/>
  <c r="G430" i="92"/>
  <c r="E430" i="92" s="1"/>
  <c r="D430" i="92"/>
  <c r="G429" i="92"/>
  <c r="E429" i="92" s="1"/>
  <c r="D429" i="92"/>
  <c r="G428" i="92"/>
  <c r="E428" i="92" s="1"/>
  <c r="D428" i="92"/>
  <c r="G427" i="92"/>
  <c r="E427" i="92" s="1"/>
  <c r="D427" i="92"/>
  <c r="G426" i="92"/>
  <c r="E426" i="92" s="1"/>
  <c r="D426" i="92"/>
  <c r="G425" i="92"/>
  <c r="E425" i="92" s="1"/>
  <c r="D425" i="92"/>
  <c r="G424" i="92"/>
  <c r="E424" i="92" s="1"/>
  <c r="D424" i="92"/>
  <c r="G423" i="92"/>
  <c r="E423" i="92" s="1"/>
  <c r="D423" i="92"/>
  <c r="G422" i="92"/>
  <c r="E422" i="92" s="1"/>
  <c r="D422" i="92"/>
  <c r="G421" i="92"/>
  <c r="E421" i="92" s="1"/>
  <c r="D421" i="92"/>
  <c r="G420" i="92"/>
  <c r="E420" i="92" s="1"/>
  <c r="D420" i="92"/>
  <c r="G419" i="92"/>
  <c r="E419" i="92" s="1"/>
  <c r="D419" i="92"/>
  <c r="G418" i="92"/>
  <c r="E418" i="92" s="1"/>
  <c r="D418" i="92"/>
  <c r="G417" i="92"/>
  <c r="E417" i="92" s="1"/>
  <c r="D417" i="92"/>
  <c r="G416" i="92"/>
  <c r="E416" i="92" s="1"/>
  <c r="D416" i="92"/>
  <c r="D293" i="92"/>
  <c r="D356" i="92"/>
  <c r="G383" i="92"/>
  <c r="D383" i="92"/>
  <c r="G414" i="92"/>
  <c r="D414" i="92"/>
  <c r="G412" i="92"/>
  <c r="D412" i="92"/>
  <c r="G410" i="92"/>
  <c r="D410" i="92"/>
  <c r="G408" i="92"/>
  <c r="D408" i="92"/>
  <c r="G405" i="92"/>
  <c r="D405" i="92"/>
  <c r="G403" i="92"/>
  <c r="D403" i="92"/>
  <c r="G401" i="92"/>
  <c r="D401" i="92"/>
  <c r="G399" i="92"/>
  <c r="D399" i="92"/>
  <c r="G396" i="92"/>
  <c r="D396" i="92"/>
  <c r="G394" i="92"/>
  <c r="D394" i="92"/>
  <c r="G390" i="92"/>
  <c r="D390" i="92"/>
  <c r="G387" i="92"/>
  <c r="D387" i="92"/>
  <c r="G385" i="92"/>
  <c r="D385" i="92"/>
  <c r="G381" i="92"/>
  <c r="D381" i="92"/>
  <c r="G378" i="92"/>
  <c r="D378" i="92"/>
  <c r="G376" i="92"/>
  <c r="D376" i="92"/>
  <c r="G374" i="92"/>
  <c r="D374" i="92"/>
  <c r="G372" i="92"/>
  <c r="D372" i="92"/>
  <c r="D369" i="92"/>
  <c r="D367" i="92"/>
  <c r="D365" i="92"/>
  <c r="D363" i="92"/>
  <c r="D360" i="92"/>
  <c r="D358" i="92"/>
  <c r="D354" i="92"/>
  <c r="D342" i="92"/>
  <c r="D340" i="92"/>
  <c r="D338" i="92"/>
  <c r="D336" i="92"/>
  <c r="D333" i="92"/>
  <c r="D331" i="92"/>
  <c r="D329" i="92"/>
  <c r="D327" i="92"/>
  <c r="D324" i="92"/>
  <c r="D322" i="92"/>
  <c r="D320" i="92"/>
  <c r="D318" i="92"/>
  <c r="D306" i="92"/>
  <c r="D304" i="92"/>
  <c r="D302" i="92"/>
  <c r="D300" i="92"/>
  <c r="D297" i="92"/>
  <c r="D295" i="92"/>
  <c r="D291" i="92"/>
  <c r="D288" i="92"/>
  <c r="D286" i="92"/>
  <c r="D284" i="92"/>
  <c r="D282" i="92"/>
  <c r="D276" i="92"/>
  <c r="D275" i="92"/>
  <c r="D274" i="92"/>
  <c r="D273" i="92"/>
  <c r="D272" i="92"/>
  <c r="G39" i="92"/>
  <c r="D39" i="92"/>
  <c r="G239" i="92"/>
  <c r="D239" i="92"/>
  <c r="G220" i="92"/>
  <c r="D220" i="92"/>
  <c r="G212" i="92"/>
  <c r="D212" i="92"/>
  <c r="G202" i="92"/>
  <c r="D202" i="92"/>
  <c r="G194" i="92"/>
  <c r="D194" i="92"/>
  <c r="G113" i="92"/>
  <c r="D113" i="92"/>
  <c r="G108" i="92"/>
  <c r="D108" i="92"/>
  <c r="G99" i="92"/>
  <c r="D99" i="92"/>
  <c r="G90" i="92"/>
  <c r="D90" i="92"/>
  <c r="G270" i="92"/>
  <c r="D270" i="92"/>
  <c r="G268" i="92"/>
  <c r="D268" i="92"/>
  <c r="G266" i="92"/>
  <c r="D266" i="92"/>
  <c r="G264" i="92"/>
  <c r="D264" i="92"/>
  <c r="G261" i="92"/>
  <c r="D261" i="92"/>
  <c r="G259" i="92"/>
  <c r="D259" i="92"/>
  <c r="G257" i="92"/>
  <c r="D257" i="92"/>
  <c r="G255" i="92"/>
  <c r="D255" i="92"/>
  <c r="G252" i="92"/>
  <c r="D252" i="92"/>
  <c r="G250" i="92"/>
  <c r="D250" i="92"/>
  <c r="G248" i="92"/>
  <c r="D248" i="92"/>
  <c r="G246" i="92"/>
  <c r="D246" i="92"/>
  <c r="Q243" i="92"/>
  <c r="G243" i="92"/>
  <c r="D243" i="92"/>
  <c r="G242" i="92"/>
  <c r="D242" i="92"/>
  <c r="G240" i="92"/>
  <c r="D240" i="92"/>
  <c r="G237" i="92"/>
  <c r="D237" i="92"/>
  <c r="G234" i="92"/>
  <c r="D234" i="92"/>
  <c r="G232" i="92"/>
  <c r="D232" i="92"/>
  <c r="G230" i="92"/>
  <c r="D230" i="92"/>
  <c r="G228" i="92"/>
  <c r="D228" i="92"/>
  <c r="G225" i="92"/>
  <c r="D225" i="92"/>
  <c r="G223" i="92"/>
  <c r="D223" i="92"/>
  <c r="G222" i="92"/>
  <c r="D222" i="92"/>
  <c r="G219" i="92"/>
  <c r="D219" i="92"/>
  <c r="G216" i="92"/>
  <c r="D216" i="92"/>
  <c r="G214" i="92"/>
  <c r="D214" i="92"/>
  <c r="G210" i="92"/>
  <c r="D210" i="92"/>
  <c r="G207" i="92"/>
  <c r="D207" i="92"/>
  <c r="G205" i="92"/>
  <c r="D205" i="92"/>
  <c r="G201" i="92"/>
  <c r="D201" i="92"/>
  <c r="G198" i="92"/>
  <c r="D198" i="92"/>
  <c r="G196" i="92"/>
  <c r="D196" i="92"/>
  <c r="G192" i="92"/>
  <c r="D192" i="92"/>
  <c r="G189" i="92"/>
  <c r="D189" i="92"/>
  <c r="G187" i="92"/>
  <c r="D187" i="92"/>
  <c r="G185" i="92"/>
  <c r="D185" i="92"/>
  <c r="G183" i="92"/>
  <c r="D183" i="92"/>
  <c r="G135" i="92"/>
  <c r="D135" i="92"/>
  <c r="G133" i="92"/>
  <c r="D133" i="92"/>
  <c r="G131" i="92"/>
  <c r="D131" i="92"/>
  <c r="G129" i="92"/>
  <c r="D129" i="92"/>
  <c r="G126" i="92"/>
  <c r="D126" i="92"/>
  <c r="G124" i="92"/>
  <c r="D124" i="92"/>
  <c r="G122" i="92"/>
  <c r="D122" i="92"/>
  <c r="G120" i="92"/>
  <c r="D120" i="92"/>
  <c r="G117" i="92"/>
  <c r="D117" i="92"/>
  <c r="G115" i="92"/>
  <c r="D115" i="92"/>
  <c r="G111" i="92"/>
  <c r="D111" i="92"/>
  <c r="G109" i="92"/>
  <c r="D109" i="92"/>
  <c r="G106" i="92"/>
  <c r="D106" i="92"/>
  <c r="G104" i="92"/>
  <c r="D104" i="92"/>
  <c r="G102" i="92"/>
  <c r="D102" i="92"/>
  <c r="G100" i="92"/>
  <c r="D100" i="92"/>
  <c r="Q97" i="92"/>
  <c r="G97" i="92"/>
  <c r="D97" i="92"/>
  <c r="G95" i="92"/>
  <c r="D95" i="92"/>
  <c r="G93" i="92"/>
  <c r="D93" i="92"/>
  <c r="G98" i="92"/>
  <c r="D98" i="92"/>
  <c r="G96" i="92"/>
  <c r="D96" i="92"/>
  <c r="G94" i="92"/>
  <c r="D94" i="92"/>
  <c r="G92" i="92"/>
  <c r="D92" i="92"/>
  <c r="Q89" i="92"/>
  <c r="G89" i="92"/>
  <c r="D89" i="92"/>
  <c r="G87" i="92"/>
  <c r="D87" i="92"/>
  <c r="D91" i="92"/>
  <c r="G91" i="92"/>
  <c r="D85" i="92"/>
  <c r="G85" i="92"/>
  <c r="D88" i="92"/>
  <c r="G88" i="92"/>
  <c r="D86" i="92"/>
  <c r="G86" i="92"/>
  <c r="G81" i="92"/>
  <c r="D81" i="92"/>
  <c r="G79" i="92"/>
  <c r="D79" i="92"/>
  <c r="G77" i="92"/>
  <c r="D77" i="92"/>
  <c r="G75" i="92"/>
  <c r="D75" i="92"/>
  <c r="G72" i="92"/>
  <c r="D72" i="92"/>
  <c r="G70" i="92"/>
  <c r="D70" i="92"/>
  <c r="G67" i="92"/>
  <c r="D67" i="92"/>
  <c r="G66" i="92"/>
  <c r="D66" i="92"/>
  <c r="G63" i="92"/>
  <c r="D63" i="92"/>
  <c r="G61" i="92"/>
  <c r="D61" i="92"/>
  <c r="G59" i="92"/>
  <c r="D59" i="92"/>
  <c r="G57" i="92"/>
  <c r="D57" i="92"/>
  <c r="G54" i="92"/>
  <c r="D54" i="92"/>
  <c r="G45" i="92"/>
  <c r="D45" i="92"/>
  <c r="G36" i="92"/>
  <c r="D36" i="92"/>
  <c r="G32" i="92"/>
  <c r="D32" i="92"/>
  <c r="G12" i="92"/>
  <c r="D12" i="92"/>
  <c r="G3" i="92"/>
  <c r="D3" i="92"/>
  <c r="G21" i="92"/>
  <c r="D21" i="92"/>
  <c r="G52" i="92"/>
  <c r="D52" i="92"/>
  <c r="G50" i="92"/>
  <c r="D50" i="92"/>
  <c r="G48" i="92"/>
  <c r="D48" i="92"/>
  <c r="G43" i="92"/>
  <c r="D43" i="92"/>
  <c r="G40" i="92"/>
  <c r="D40" i="92"/>
  <c r="G34" i="92"/>
  <c r="D34" i="92"/>
  <c r="G30" i="92"/>
  <c r="D30" i="92"/>
  <c r="G27" i="92"/>
  <c r="D27" i="92"/>
  <c r="G25" i="92"/>
  <c r="D25" i="92"/>
  <c r="G22" i="92"/>
  <c r="D22" i="92"/>
  <c r="G19" i="92"/>
  <c r="D19" i="92"/>
  <c r="G17" i="92"/>
  <c r="D17" i="92"/>
  <c r="G15" i="92"/>
  <c r="D15" i="92"/>
  <c r="G13" i="92"/>
  <c r="D13" i="92"/>
  <c r="G9" i="92"/>
  <c r="D9" i="92"/>
  <c r="G7" i="92"/>
  <c r="D7" i="92"/>
  <c r="G4" i="92"/>
  <c r="D4" i="92"/>
  <c r="I17" i="72"/>
  <c r="J17" i="72" s="1"/>
  <c r="L46" i="97"/>
  <c r="N46" i="97" s="1"/>
  <c r="L44" i="97"/>
  <c r="N44" i="97" s="1"/>
  <c r="L43" i="97"/>
  <c r="N43" i="97" s="1"/>
  <c r="L42" i="97"/>
  <c r="N42" i="97" s="1"/>
  <c r="O42" i="97" s="1"/>
  <c r="L41" i="97"/>
  <c r="N41" i="97" s="1"/>
  <c r="O41" i="97" s="1"/>
  <c r="L40" i="97"/>
  <c r="N40" i="97" s="1"/>
  <c r="L39" i="97"/>
  <c r="N39" i="97" s="1"/>
  <c r="O39" i="97" s="1"/>
  <c r="K36" i="97"/>
  <c r="L36" i="97" s="1"/>
  <c r="N36" i="97" s="1"/>
  <c r="O36" i="97" s="1"/>
  <c r="N23" i="97"/>
  <c r="O23" i="97" s="1"/>
  <c r="N22" i="97"/>
  <c r="O22" i="97" s="1"/>
  <c r="N16" i="97"/>
  <c r="O16" i="97" s="1"/>
  <c r="J12" i="97"/>
  <c r="H12" i="97" s="1"/>
  <c r="F12" i="97"/>
  <c r="F96" i="96"/>
  <c r="G96" i="96" s="1"/>
  <c r="I96" i="96" s="1"/>
  <c r="G271" i="92"/>
  <c r="D271" i="92"/>
  <c r="G269" i="92"/>
  <c r="D269" i="92"/>
  <c r="G267" i="92"/>
  <c r="D267" i="92"/>
  <c r="G265" i="92"/>
  <c r="D265" i="92"/>
  <c r="G263" i="92"/>
  <c r="D263" i="92"/>
  <c r="G226" i="92"/>
  <c r="D226" i="92"/>
  <c r="G224" i="92"/>
  <c r="D224" i="92"/>
  <c r="G221" i="92"/>
  <c r="D221" i="92"/>
  <c r="G218" i="92"/>
  <c r="D218" i="92"/>
  <c r="G136" i="92"/>
  <c r="D136" i="92"/>
  <c r="G134" i="92"/>
  <c r="D134" i="92"/>
  <c r="G132" i="92"/>
  <c r="D132" i="92"/>
  <c r="G130" i="92"/>
  <c r="D130" i="92"/>
  <c r="G128" i="92"/>
  <c r="D128" i="92"/>
  <c r="G84" i="92"/>
  <c r="D84" i="92"/>
  <c r="G83" i="92"/>
  <c r="D83" i="92"/>
  <c r="G46" i="92"/>
  <c r="D46" i="92"/>
  <c r="G44" i="92"/>
  <c r="D44" i="92"/>
  <c r="G42" i="92"/>
  <c r="D42" i="92"/>
  <c r="G41" i="92"/>
  <c r="D41" i="92"/>
  <c r="G38" i="92"/>
  <c r="D38" i="92"/>
  <c r="N27" i="97"/>
  <c r="O27" i="97" s="1"/>
  <c r="G415" i="92"/>
  <c r="D415" i="92"/>
  <c r="G413" i="92"/>
  <c r="D413" i="92"/>
  <c r="G411" i="92"/>
  <c r="D411" i="92"/>
  <c r="G409" i="92"/>
  <c r="D409" i="92"/>
  <c r="G407" i="92"/>
  <c r="D407" i="92"/>
  <c r="G398" i="92"/>
  <c r="G400" i="92"/>
  <c r="G402" i="92"/>
  <c r="G404" i="92"/>
  <c r="G406" i="92"/>
  <c r="D406" i="92"/>
  <c r="D404" i="92"/>
  <c r="D402" i="92"/>
  <c r="D400" i="92"/>
  <c r="D398" i="92"/>
  <c r="G371" i="92"/>
  <c r="G373" i="92"/>
  <c r="G375" i="92"/>
  <c r="G377" i="92"/>
  <c r="G379" i="92"/>
  <c r="G380" i="92"/>
  <c r="G382" i="92"/>
  <c r="G384" i="92"/>
  <c r="G386" i="92"/>
  <c r="G388" i="92"/>
  <c r="G389" i="92"/>
  <c r="G391" i="92"/>
  <c r="G393" i="92"/>
  <c r="G395" i="92"/>
  <c r="G397" i="92"/>
  <c r="D397" i="92"/>
  <c r="D395" i="92"/>
  <c r="D393" i="92"/>
  <c r="D391" i="92"/>
  <c r="D389" i="92"/>
  <c r="D388" i="92"/>
  <c r="D386" i="92"/>
  <c r="D384" i="92"/>
  <c r="D382" i="92"/>
  <c r="D380" i="92"/>
  <c r="D379" i="92"/>
  <c r="D377" i="92"/>
  <c r="D375" i="92"/>
  <c r="D373" i="92"/>
  <c r="D371" i="92"/>
  <c r="D370" i="92"/>
  <c r="D368" i="92"/>
  <c r="D366" i="92"/>
  <c r="D364" i="92"/>
  <c r="D362" i="92"/>
  <c r="D361" i="92"/>
  <c r="D359" i="92"/>
  <c r="D357" i="92"/>
  <c r="D355" i="92"/>
  <c r="D353" i="92"/>
  <c r="D343" i="92"/>
  <c r="D341" i="92"/>
  <c r="D339" i="92"/>
  <c r="D337" i="92"/>
  <c r="D335" i="92"/>
  <c r="D334" i="92"/>
  <c r="D332" i="92"/>
  <c r="D330" i="92"/>
  <c r="D328" i="92"/>
  <c r="D326" i="92"/>
  <c r="D325" i="92"/>
  <c r="D323" i="92"/>
  <c r="D321" i="92"/>
  <c r="D319" i="92"/>
  <c r="D317" i="92"/>
  <c r="D307" i="92"/>
  <c r="D305" i="92"/>
  <c r="D303" i="92"/>
  <c r="D301" i="92"/>
  <c r="D299" i="92"/>
  <c r="D298" i="92"/>
  <c r="D296" i="92"/>
  <c r="D294" i="92"/>
  <c r="D292" i="92"/>
  <c r="D290" i="92"/>
  <c r="D289" i="92"/>
  <c r="D287" i="92"/>
  <c r="D285" i="92"/>
  <c r="D283" i="92"/>
  <c r="D281" i="92"/>
  <c r="D280" i="92"/>
  <c r="D279" i="92"/>
  <c r="D278" i="92"/>
  <c r="D277" i="92"/>
  <c r="AF18" i="90"/>
  <c r="AF19" i="90"/>
  <c r="AF20" i="90"/>
  <c r="AF21" i="90"/>
  <c r="AF22" i="90"/>
  <c r="AF23" i="90"/>
  <c r="AF24" i="90"/>
  <c r="AF25" i="90"/>
  <c r="AF26" i="90"/>
  <c r="AF27" i="90"/>
  <c r="AF28" i="90"/>
  <c r="AF29" i="90"/>
  <c r="AF42" i="90"/>
  <c r="AF43" i="90"/>
  <c r="AF44" i="90"/>
  <c r="AF45" i="90"/>
  <c r="AF46" i="90"/>
  <c r="AF47" i="90"/>
  <c r="AF48" i="90"/>
  <c r="AF49" i="90"/>
  <c r="AF50" i="90"/>
  <c r="AF51" i="90"/>
  <c r="AF52" i="90"/>
  <c r="AF53" i="90"/>
  <c r="AF66" i="90"/>
  <c r="AF67" i="90"/>
  <c r="AF68" i="90"/>
  <c r="AF69" i="90"/>
  <c r="AF70" i="90"/>
  <c r="AF71" i="90"/>
  <c r="AF72" i="90"/>
  <c r="AF73" i="90"/>
  <c r="AF74" i="90"/>
  <c r="AF75" i="90"/>
  <c r="AF76" i="90"/>
  <c r="AF77" i="90"/>
  <c r="AG10" i="90"/>
  <c r="AG9" i="90"/>
  <c r="AG8" i="90"/>
  <c r="AG7" i="90"/>
  <c r="AG6" i="90"/>
  <c r="AG5" i="90"/>
  <c r="G99" i="96"/>
  <c r="I99" i="96" s="1"/>
  <c r="G98" i="96"/>
  <c r="I98" i="96" s="1"/>
  <c r="F97" i="96"/>
  <c r="G97" i="96" s="1"/>
  <c r="F54" i="95"/>
  <c r="G54" i="95" s="1"/>
  <c r="G57" i="95"/>
  <c r="I57" i="95" s="1"/>
  <c r="G42" i="95"/>
  <c r="I42" i="95" s="1"/>
  <c r="G41" i="95"/>
  <c r="I41" i="95" s="1"/>
  <c r="I40" i="95"/>
  <c r="J40" i="95" s="1"/>
  <c r="G39" i="95"/>
  <c r="I39" i="95" s="1"/>
  <c r="K39" i="95" s="1"/>
  <c r="F15" i="71"/>
  <c r="G15" i="71" s="1"/>
  <c r="I15" i="71" s="1"/>
  <c r="F44" i="72"/>
  <c r="G44" i="72" s="1"/>
  <c r="I44" i="72" s="1"/>
  <c r="F45" i="72"/>
  <c r="G45" i="72" s="1"/>
  <c r="Q256" i="92"/>
  <c r="Q209" i="92"/>
  <c r="Q195" i="92"/>
  <c r="Q64" i="92"/>
  <c r="G54" i="71"/>
  <c r="I54" i="71" s="1"/>
  <c r="G53" i="71"/>
  <c r="I53" i="71" s="1"/>
  <c r="K53" i="71" s="1"/>
  <c r="G52" i="71"/>
  <c r="I52" i="71" s="1"/>
  <c r="J52" i="71" s="1"/>
  <c r="O52" i="71" s="1"/>
  <c r="G51" i="71"/>
  <c r="I51" i="71" s="1"/>
  <c r="K51" i="71" s="1"/>
  <c r="G50" i="71"/>
  <c r="I50" i="71" s="1"/>
  <c r="G49" i="71"/>
  <c r="I49" i="71" s="1"/>
  <c r="G48" i="71"/>
  <c r="I48" i="71" s="1"/>
  <c r="J48" i="71" s="1"/>
  <c r="P48" i="71" s="1"/>
  <c r="G47" i="71"/>
  <c r="I47" i="71" s="1"/>
  <c r="K47" i="71" s="1"/>
  <c r="G46" i="71"/>
  <c r="I46" i="71" s="1"/>
  <c r="J46" i="71" s="1"/>
  <c r="P46" i="71" s="1"/>
  <c r="G45" i="71"/>
  <c r="I45" i="71" s="1"/>
  <c r="G40" i="71"/>
  <c r="I40" i="71" s="1"/>
  <c r="G39" i="71"/>
  <c r="I39" i="71" s="1"/>
  <c r="G38" i="71"/>
  <c r="I38" i="71" s="1"/>
  <c r="K38" i="71" s="1"/>
  <c r="G37" i="71"/>
  <c r="I37" i="71" s="1"/>
  <c r="G35" i="71"/>
  <c r="I35" i="71" s="1"/>
  <c r="G34" i="71"/>
  <c r="I34" i="71" s="1"/>
  <c r="J34" i="71" s="1"/>
  <c r="N34" i="71" s="1"/>
  <c r="G33" i="71"/>
  <c r="I33" i="71" s="1"/>
  <c r="J33" i="71" s="1"/>
  <c r="N33" i="71" s="1"/>
  <c r="G32" i="71"/>
  <c r="I32" i="71" s="1"/>
  <c r="G31" i="71"/>
  <c r="I31" i="71" s="1"/>
  <c r="J31" i="71" s="1"/>
  <c r="N31" i="71" s="1"/>
  <c r="G29" i="71"/>
  <c r="I29" i="71" s="1"/>
  <c r="J29" i="71" s="1"/>
  <c r="N29" i="71" s="1"/>
  <c r="G24" i="71"/>
  <c r="I24" i="71" s="1"/>
  <c r="J24" i="71" s="1"/>
  <c r="M24" i="71" s="1"/>
  <c r="G23" i="71"/>
  <c r="I23" i="71" s="1"/>
  <c r="J23" i="71" s="1"/>
  <c r="M23" i="71" s="1"/>
  <c r="G22" i="71"/>
  <c r="I22" i="71" s="1"/>
  <c r="J22" i="71" s="1"/>
  <c r="M22" i="71" s="1"/>
  <c r="G21" i="71"/>
  <c r="I21" i="71" s="1"/>
  <c r="J21" i="71" s="1"/>
  <c r="M21" i="71" s="1"/>
  <c r="G20" i="71"/>
  <c r="I20" i="71" s="1"/>
  <c r="G17" i="71"/>
  <c r="I17" i="71" s="1"/>
  <c r="J17" i="71" s="1"/>
  <c r="M17" i="71" s="1"/>
  <c r="F28" i="71"/>
  <c r="G28" i="71" s="1"/>
  <c r="I28" i="71" s="1"/>
  <c r="F27" i="71"/>
  <c r="G27" i="71" s="1"/>
  <c r="I27" i="71" s="1"/>
  <c r="F26" i="71"/>
  <c r="G26" i="71" s="1"/>
  <c r="I26" i="71" s="1"/>
  <c r="J26" i="71" s="1"/>
  <c r="N26" i="71" s="1"/>
  <c r="F25" i="71"/>
  <c r="G25" i="71" s="1"/>
  <c r="I25" i="71" s="1"/>
  <c r="F14" i="71"/>
  <c r="G14" i="71" s="1"/>
  <c r="I14" i="71" s="1"/>
  <c r="J14" i="71" s="1"/>
  <c r="G65" i="71"/>
  <c r="I65" i="71" s="1"/>
  <c r="J65" i="71" s="1"/>
  <c r="G64" i="71"/>
  <c r="I64" i="71" s="1"/>
  <c r="G63" i="71"/>
  <c r="I63" i="71" s="1"/>
  <c r="G62" i="71"/>
  <c r="I62" i="71" s="1"/>
  <c r="G61" i="71"/>
  <c r="I61" i="71" s="1"/>
  <c r="J61" i="71" s="1"/>
  <c r="G60" i="71"/>
  <c r="I60" i="71" s="1"/>
  <c r="G262" i="92"/>
  <c r="D262" i="92"/>
  <c r="G260" i="92"/>
  <c r="D260" i="92"/>
  <c r="G258" i="92"/>
  <c r="D258" i="92"/>
  <c r="G256" i="92"/>
  <c r="D256" i="92"/>
  <c r="G254" i="92"/>
  <c r="D254" i="92"/>
  <c r="G253" i="92"/>
  <c r="D253" i="92"/>
  <c r="G251" i="92"/>
  <c r="D251" i="92"/>
  <c r="G249" i="92"/>
  <c r="D249" i="92"/>
  <c r="G247" i="92"/>
  <c r="D247" i="92"/>
  <c r="G245" i="92"/>
  <c r="D245" i="92"/>
  <c r="G244" i="92"/>
  <c r="D244" i="92"/>
  <c r="G241" i="92"/>
  <c r="D241" i="92"/>
  <c r="G238" i="92"/>
  <c r="D238" i="92"/>
  <c r="G236" i="92"/>
  <c r="D236" i="92"/>
  <c r="G235" i="92"/>
  <c r="D235" i="92"/>
  <c r="G233" i="92"/>
  <c r="D233" i="92"/>
  <c r="G231" i="92"/>
  <c r="D231" i="92"/>
  <c r="G229" i="92"/>
  <c r="D229" i="92"/>
  <c r="G227" i="92"/>
  <c r="D227" i="92"/>
  <c r="G217" i="92"/>
  <c r="D217" i="92"/>
  <c r="G215" i="92"/>
  <c r="D215" i="92"/>
  <c r="G213" i="92"/>
  <c r="D213" i="92"/>
  <c r="G211" i="92"/>
  <c r="D211" i="92"/>
  <c r="G209" i="92"/>
  <c r="D209" i="92"/>
  <c r="G208" i="92"/>
  <c r="D208" i="92"/>
  <c r="G206" i="92"/>
  <c r="D206" i="92"/>
  <c r="G204" i="92"/>
  <c r="D204" i="92"/>
  <c r="G203" i="92"/>
  <c r="D203" i="92"/>
  <c r="G200" i="92"/>
  <c r="D200" i="92"/>
  <c r="G199" i="92"/>
  <c r="D199" i="92"/>
  <c r="G197" i="92"/>
  <c r="D197" i="92"/>
  <c r="G195" i="92"/>
  <c r="D195" i="92"/>
  <c r="G193" i="92"/>
  <c r="D193" i="92"/>
  <c r="G191" i="92"/>
  <c r="D191" i="92"/>
  <c r="G190" i="92"/>
  <c r="D190" i="92"/>
  <c r="G188" i="92"/>
  <c r="D188" i="92"/>
  <c r="G186" i="92"/>
  <c r="D186" i="92"/>
  <c r="G184" i="92"/>
  <c r="D184" i="92"/>
  <c r="G182" i="92"/>
  <c r="D182" i="92"/>
  <c r="G127" i="92"/>
  <c r="D127" i="92"/>
  <c r="G125" i="92"/>
  <c r="D125" i="92"/>
  <c r="G123" i="92"/>
  <c r="D123" i="92"/>
  <c r="G121" i="92"/>
  <c r="D121" i="92"/>
  <c r="G119" i="92"/>
  <c r="D119" i="92"/>
  <c r="G118" i="92"/>
  <c r="D118" i="92"/>
  <c r="G116" i="92"/>
  <c r="D116" i="92"/>
  <c r="G114" i="92"/>
  <c r="D114" i="92"/>
  <c r="G112" i="92"/>
  <c r="D112" i="92"/>
  <c r="G110" i="92"/>
  <c r="D110" i="92"/>
  <c r="G107" i="92"/>
  <c r="D107" i="92"/>
  <c r="G105" i="92"/>
  <c r="D105" i="92"/>
  <c r="G103" i="92"/>
  <c r="D103" i="92"/>
  <c r="G101" i="92"/>
  <c r="D101" i="92"/>
  <c r="D82" i="92"/>
  <c r="D80" i="92"/>
  <c r="D78" i="92"/>
  <c r="D76" i="92"/>
  <c r="D74" i="92"/>
  <c r="D73" i="92"/>
  <c r="D71" i="92"/>
  <c r="D69" i="92"/>
  <c r="D68" i="92"/>
  <c r="D65" i="92"/>
  <c r="D64" i="92"/>
  <c r="D62" i="92"/>
  <c r="D60" i="92"/>
  <c r="D58" i="92"/>
  <c r="D56" i="92"/>
  <c r="D55" i="92"/>
  <c r="D53" i="92"/>
  <c r="D51" i="92"/>
  <c r="D47" i="92"/>
  <c r="D49" i="92"/>
  <c r="D37" i="92"/>
  <c r="D35" i="92"/>
  <c r="D33" i="92"/>
  <c r="D31" i="92"/>
  <c r="D29" i="92"/>
  <c r="D28" i="92"/>
  <c r="D26" i="92"/>
  <c r="D24" i="92"/>
  <c r="D23" i="92"/>
  <c r="D20" i="92"/>
  <c r="D18" i="92"/>
  <c r="D16" i="92"/>
  <c r="D14" i="92"/>
  <c r="D11" i="92"/>
  <c r="D10" i="92"/>
  <c r="D8" i="92"/>
  <c r="D6" i="92"/>
  <c r="D5" i="92"/>
  <c r="D2" i="92"/>
  <c r="G82" i="92"/>
  <c r="G80" i="92"/>
  <c r="G78" i="92"/>
  <c r="G76" i="92"/>
  <c r="G74" i="92"/>
  <c r="G73" i="92"/>
  <c r="G71" i="92"/>
  <c r="G69" i="92"/>
  <c r="G68" i="92"/>
  <c r="G65" i="92"/>
  <c r="G64" i="92"/>
  <c r="G62" i="92"/>
  <c r="G60" i="92"/>
  <c r="G58" i="92"/>
  <c r="G56" i="92"/>
  <c r="G55" i="92"/>
  <c r="G53" i="92"/>
  <c r="G51" i="92"/>
  <c r="G49" i="92"/>
  <c r="G47" i="92"/>
  <c r="G10" i="92"/>
  <c r="G8" i="92"/>
  <c r="G6" i="92"/>
  <c r="G5" i="92"/>
  <c r="G37" i="92"/>
  <c r="G35" i="92"/>
  <c r="G33" i="92"/>
  <c r="G31" i="92"/>
  <c r="G29" i="92"/>
  <c r="G28" i="92"/>
  <c r="G26" i="92"/>
  <c r="G24" i="92"/>
  <c r="G23" i="92"/>
  <c r="G20" i="92"/>
  <c r="G11" i="92"/>
  <c r="G18" i="92"/>
  <c r="G16" i="92"/>
  <c r="G14" i="92"/>
  <c r="F13" i="71"/>
  <c r="G13" i="71" s="1"/>
  <c r="I13" i="71" s="1"/>
  <c r="G34" i="72"/>
  <c r="I34" i="72" s="1"/>
  <c r="G32" i="72"/>
  <c r="I32" i="72" s="1"/>
  <c r="G33" i="72"/>
  <c r="I33" i="72" s="1"/>
  <c r="K33" i="72" s="1"/>
  <c r="G41" i="72"/>
  <c r="I41" i="72" s="1"/>
  <c r="J41" i="72" s="1"/>
  <c r="G50" i="72"/>
  <c r="I50" i="72" s="1"/>
  <c r="J50" i="72" s="1"/>
  <c r="G52" i="72"/>
  <c r="I52" i="72" s="1"/>
  <c r="G53" i="72"/>
  <c r="I53" i="72" s="1"/>
  <c r="G54" i="72"/>
  <c r="I54" i="72" s="1"/>
  <c r="J54" i="72" s="1"/>
  <c r="G55" i="72"/>
  <c r="I55" i="72" s="1"/>
  <c r="D9" i="104"/>
  <c r="I11" i="104"/>
  <c r="F78" i="112" l="1"/>
  <c r="G78" i="112" s="1"/>
  <c r="I78" i="112" s="1"/>
  <c r="F79" i="96"/>
  <c r="G79" i="96" s="1"/>
  <c r="I79" i="96" s="1"/>
  <c r="F80" i="96"/>
  <c r="G80" i="96" s="1"/>
  <c r="I80" i="96" s="1"/>
  <c r="F67" i="112"/>
  <c r="G67" i="112" s="1"/>
  <c r="I67" i="112" s="1"/>
  <c r="K67" i="112" s="1"/>
  <c r="F68" i="112"/>
  <c r="G68" i="112" s="1"/>
  <c r="I68" i="112" s="1"/>
  <c r="K68" i="112" s="1"/>
  <c r="Z570" i="92"/>
  <c r="T30" i="90"/>
  <c r="Z571" i="92"/>
  <c r="T31" i="90"/>
  <c r="AC569" i="92"/>
  <c r="T24" i="90"/>
  <c r="Z572" i="92"/>
  <c r="T32" i="90"/>
  <c r="AA569" i="92"/>
  <c r="T25" i="90"/>
  <c r="X572" i="92"/>
  <c r="T33" i="90"/>
  <c r="AA570" i="92"/>
  <c r="T26" i="90"/>
  <c r="Z569" i="92"/>
  <c r="T29" i="90"/>
  <c r="AA571" i="92"/>
  <c r="T27" i="90"/>
  <c r="AA572" i="92"/>
  <c r="T28" i="90"/>
  <c r="K44" i="101"/>
  <c r="F52" i="112"/>
  <c r="G52" i="112" s="1"/>
  <c r="I52" i="112" s="1"/>
  <c r="J52" i="112" s="1"/>
  <c r="F66" i="96"/>
  <c r="G66" i="96" s="1"/>
  <c r="I66" i="96" s="1"/>
  <c r="K66" i="96" s="1"/>
  <c r="I46" i="72"/>
  <c r="I43" i="72" s="1"/>
  <c r="G43" i="72"/>
  <c r="F68" i="96"/>
  <c r="G68" i="96" s="1"/>
  <c r="I68" i="96" s="1"/>
  <c r="I14" i="72"/>
  <c r="J14" i="72" s="1"/>
  <c r="I13" i="95"/>
  <c r="J13" i="95" s="1"/>
  <c r="J53" i="101"/>
  <c r="L53" i="101" s="1"/>
  <c r="H52" i="101"/>
  <c r="G23" i="95"/>
  <c r="F51" i="112"/>
  <c r="G51" i="112" s="1"/>
  <c r="I51" i="112" s="1"/>
  <c r="K51" i="112" s="1"/>
  <c r="F65" i="96"/>
  <c r="G65" i="96" s="1"/>
  <c r="I65" i="96" s="1"/>
  <c r="K65" i="96" s="1"/>
  <c r="G34" i="101"/>
  <c r="H34" i="101" s="1"/>
  <c r="J34" i="101" s="1"/>
  <c r="K34" i="101" s="1"/>
  <c r="L34" i="101" s="1"/>
  <c r="F22" i="72"/>
  <c r="G22" i="72" s="1"/>
  <c r="G13" i="72" s="1"/>
  <c r="L47" i="101"/>
  <c r="I18" i="72"/>
  <c r="K18" i="72" s="1"/>
  <c r="K16" i="101"/>
  <c r="L16" i="101" s="1"/>
  <c r="L30" i="97"/>
  <c r="N30" i="97" s="1"/>
  <c r="K23" i="71"/>
  <c r="L28" i="97"/>
  <c r="N28" i="97" s="1"/>
  <c r="J32" i="72"/>
  <c r="K32" i="72"/>
  <c r="L58" i="101"/>
  <c r="K58" i="101"/>
  <c r="K45" i="71"/>
  <c r="J45" i="71"/>
  <c r="P45" i="71" s="1"/>
  <c r="K41" i="72"/>
  <c r="K21" i="71"/>
  <c r="J39" i="95"/>
  <c r="K52" i="71"/>
  <c r="K65" i="71"/>
  <c r="X569" i="92"/>
  <c r="F65" i="112"/>
  <c r="G65" i="112" s="1"/>
  <c r="I65" i="112" s="1"/>
  <c r="J65" i="112" s="1"/>
  <c r="F93" i="96"/>
  <c r="G93" i="96" s="1"/>
  <c r="I93" i="96" s="1"/>
  <c r="J93" i="96" s="1"/>
  <c r="F37" i="112"/>
  <c r="G37" i="112" s="1"/>
  <c r="I37" i="112" s="1"/>
  <c r="J37" i="112" s="1"/>
  <c r="G38" i="96"/>
  <c r="I38" i="96" s="1"/>
  <c r="K24" i="72"/>
  <c r="J24" i="72"/>
  <c r="K47" i="72"/>
  <c r="J47" i="72"/>
  <c r="J51" i="72"/>
  <c r="K51" i="72"/>
  <c r="J34" i="72"/>
  <c r="K34" i="72"/>
  <c r="K63" i="71"/>
  <c r="J63" i="71"/>
  <c r="J35" i="71"/>
  <c r="N35" i="71" s="1"/>
  <c r="K35" i="71"/>
  <c r="J39" i="71"/>
  <c r="N39" i="71" s="1"/>
  <c r="K39" i="71"/>
  <c r="K39" i="72"/>
  <c r="J39" i="72"/>
  <c r="J64" i="71"/>
  <c r="K64" i="71"/>
  <c r="K49" i="72"/>
  <c r="J49" i="72"/>
  <c r="K17" i="71"/>
  <c r="K40" i="72"/>
  <c r="K34" i="71"/>
  <c r="J51" i="71"/>
  <c r="O51" i="71" s="1"/>
  <c r="J38" i="71"/>
  <c r="N38" i="71" s="1"/>
  <c r="X570" i="92"/>
  <c r="J43" i="71"/>
  <c r="P43" i="71" s="1"/>
  <c r="R69" i="115"/>
  <c r="R70" i="115" s="1"/>
  <c r="J26" i="72"/>
  <c r="K29" i="71"/>
  <c r="I12" i="97"/>
  <c r="L60" i="101"/>
  <c r="R69" i="111"/>
  <c r="R70" i="111" s="1"/>
  <c r="R92" i="115"/>
  <c r="R93" i="115" s="1"/>
  <c r="R94" i="115" s="1"/>
  <c r="K59" i="71"/>
  <c r="J59" i="71"/>
  <c r="J60" i="71"/>
  <c r="K60" i="71"/>
  <c r="K37" i="71"/>
  <c r="J37" i="71"/>
  <c r="N37" i="71" s="1"/>
  <c r="K22" i="71"/>
  <c r="F61" i="96"/>
  <c r="G61" i="96" s="1"/>
  <c r="I61" i="96" s="1"/>
  <c r="K61" i="96" s="1"/>
  <c r="F71" i="96"/>
  <c r="G71" i="96" s="1"/>
  <c r="I71" i="96" s="1"/>
  <c r="G30" i="96"/>
  <c r="I30" i="96" s="1"/>
  <c r="J30" i="96" s="1"/>
  <c r="F77" i="96"/>
  <c r="G77" i="96" s="1"/>
  <c r="I77" i="96" s="1"/>
  <c r="K77" i="96" s="1"/>
  <c r="F100" i="96"/>
  <c r="G100" i="96" s="1"/>
  <c r="I100" i="96" s="1"/>
  <c r="K100" i="96" s="1"/>
  <c r="F26" i="96"/>
  <c r="G26" i="96" s="1"/>
  <c r="I26" i="96" s="1"/>
  <c r="K26" i="96" s="1"/>
  <c r="F16" i="96"/>
  <c r="G16" i="96" s="1"/>
  <c r="I16" i="96" s="1"/>
  <c r="K16" i="96" s="1"/>
  <c r="Q101" i="92"/>
  <c r="Q134" i="92"/>
  <c r="Q216" i="92"/>
  <c r="K55" i="72"/>
  <c r="J55" i="72"/>
  <c r="J32" i="71"/>
  <c r="N32" i="71" s="1"/>
  <c r="K32" i="71"/>
  <c r="J25" i="71"/>
  <c r="N25" i="71" s="1"/>
  <c r="K25" i="71"/>
  <c r="K54" i="71"/>
  <c r="J54" i="71"/>
  <c r="O54" i="71" s="1"/>
  <c r="P26" i="97"/>
  <c r="O26" i="97"/>
  <c r="K18" i="71"/>
  <c r="J18" i="71"/>
  <c r="M18" i="71" s="1"/>
  <c r="J88" i="112"/>
  <c r="K88" i="112"/>
  <c r="J20" i="71"/>
  <c r="M20" i="71" s="1"/>
  <c r="K20" i="71"/>
  <c r="K25" i="72"/>
  <c r="J25" i="72"/>
  <c r="J53" i="72"/>
  <c r="K53" i="72"/>
  <c r="J19" i="71"/>
  <c r="M19" i="71" s="1"/>
  <c r="K19" i="71"/>
  <c r="L62" i="101"/>
  <c r="K62" i="101"/>
  <c r="P18" i="97"/>
  <c r="O18" i="97"/>
  <c r="R23" i="115"/>
  <c r="K54" i="72"/>
  <c r="J33" i="72"/>
  <c r="Q118" i="92"/>
  <c r="O43" i="97"/>
  <c r="P43" i="97"/>
  <c r="P32" i="97"/>
  <c r="O32" i="97"/>
  <c r="P29" i="97"/>
  <c r="O29" i="97"/>
  <c r="K44" i="71"/>
  <c r="K77" i="112"/>
  <c r="R46" i="111"/>
  <c r="R46" i="115"/>
  <c r="R92" i="111"/>
  <c r="R93" i="111" s="1"/>
  <c r="K50" i="72"/>
  <c r="J48" i="72"/>
  <c r="K33" i="71"/>
  <c r="K36" i="71"/>
  <c r="K66" i="71"/>
  <c r="J102" i="96"/>
  <c r="P46" i="97"/>
  <c r="O46" i="97"/>
  <c r="Q282" i="92"/>
  <c r="Q328" i="92"/>
  <c r="Q113" i="92"/>
  <c r="Q205" i="92"/>
  <c r="Q117" i="92"/>
  <c r="Q100" i="92"/>
  <c r="Q77" i="92"/>
  <c r="Q226" i="92"/>
  <c r="Q238" i="92"/>
  <c r="Q188" i="92"/>
  <c r="Q78" i="92"/>
  <c r="Q369" i="92"/>
  <c r="Q252" i="92"/>
  <c r="Q129" i="92"/>
  <c r="Q91" i="92"/>
  <c r="Q50" i="92"/>
  <c r="Q267" i="92"/>
  <c r="R23" i="111"/>
  <c r="K24" i="71"/>
  <c r="Q215" i="92"/>
  <c r="J96" i="96"/>
  <c r="K96" i="96"/>
  <c r="K31" i="71"/>
  <c r="K46" i="71"/>
  <c r="J53" i="71"/>
  <c r="O53" i="71" s="1"/>
  <c r="Q56" i="92"/>
  <c r="Q119" i="92"/>
  <c r="Q241" i="92"/>
  <c r="P40" i="97"/>
  <c r="O40" i="97"/>
  <c r="P44" i="97"/>
  <c r="O44" i="97"/>
  <c r="Q109" i="92"/>
  <c r="K55" i="101"/>
  <c r="K59" i="101"/>
  <c r="K61" i="112"/>
  <c r="F54" i="112"/>
  <c r="G54" i="112" s="1"/>
  <c r="I54" i="112" s="1"/>
  <c r="J54" i="112" s="1"/>
  <c r="P45" i="97"/>
  <c r="P22" i="97"/>
  <c r="P39" i="97"/>
  <c r="P27" i="97"/>
  <c r="P31" i="97"/>
  <c r="P42" i="97"/>
  <c r="L57" i="101"/>
  <c r="K57" i="101"/>
  <c r="L56" i="101"/>
  <c r="J52" i="72"/>
  <c r="K52" i="72"/>
  <c r="J62" i="71"/>
  <c r="K62" i="71"/>
  <c r="P41" i="97"/>
  <c r="K61" i="71"/>
  <c r="K57" i="95"/>
  <c r="J57" i="95"/>
  <c r="L61" i="101"/>
  <c r="K61" i="101"/>
  <c r="J47" i="71"/>
  <c r="P47" i="71" s="1"/>
  <c r="J15" i="101"/>
  <c r="K15" i="101" s="1"/>
  <c r="J21" i="101"/>
  <c r="F91" i="96"/>
  <c r="G91" i="96" s="1"/>
  <c r="I91" i="96" s="1"/>
  <c r="J91" i="96" s="1"/>
  <c r="X571" i="92"/>
  <c r="J26" i="112"/>
  <c r="F18" i="96"/>
  <c r="G18" i="96" s="1"/>
  <c r="I18" i="96" s="1"/>
  <c r="K18" i="96" s="1"/>
  <c r="F88" i="96"/>
  <c r="G88" i="96" s="1"/>
  <c r="I88" i="96" s="1"/>
  <c r="J88" i="96" s="1"/>
  <c r="K38" i="95"/>
  <c r="F57" i="96"/>
  <c r="G57" i="96" s="1"/>
  <c r="I57" i="96" s="1"/>
  <c r="J57" i="96" s="1"/>
  <c r="F76" i="96"/>
  <c r="G76" i="96" s="1"/>
  <c r="I76" i="96" s="1"/>
  <c r="K76" i="96" s="1"/>
  <c r="K28" i="72"/>
  <c r="J28" i="72"/>
  <c r="J15" i="95"/>
  <c r="K15" i="95"/>
  <c r="K58" i="95"/>
  <c r="J58" i="95"/>
  <c r="J86" i="112"/>
  <c r="K86" i="112"/>
  <c r="F15" i="96"/>
  <c r="G15" i="96" s="1"/>
  <c r="I15" i="96" s="1"/>
  <c r="J15" i="96" s="1"/>
  <c r="F92" i="96"/>
  <c r="G92" i="96" s="1"/>
  <c r="I92" i="96" s="1"/>
  <c r="K92" i="96" s="1"/>
  <c r="F66" i="112"/>
  <c r="G66" i="112" s="1"/>
  <c r="I66" i="112" s="1"/>
  <c r="K66" i="112" s="1"/>
  <c r="F71" i="112"/>
  <c r="G71" i="112" s="1"/>
  <c r="I71" i="112" s="1"/>
  <c r="K71" i="112" s="1"/>
  <c r="K25" i="95"/>
  <c r="F23" i="96"/>
  <c r="G23" i="96" s="1"/>
  <c r="I23" i="96" s="1"/>
  <c r="J23" i="96" s="1"/>
  <c r="F27" i="96"/>
  <c r="G27" i="96" s="1"/>
  <c r="I27" i="96" s="1"/>
  <c r="K27" i="96" s="1"/>
  <c r="I39" i="96"/>
  <c r="J39" i="96" s="1"/>
  <c r="F59" i="96"/>
  <c r="G59" i="96" s="1"/>
  <c r="I59" i="96" s="1"/>
  <c r="J59" i="96" s="1"/>
  <c r="F82" i="96"/>
  <c r="G82" i="96" s="1"/>
  <c r="I82" i="96" s="1"/>
  <c r="K82" i="96" s="1"/>
  <c r="K72" i="112"/>
  <c r="J72" i="112"/>
  <c r="K16" i="112"/>
  <c r="J16" i="112"/>
  <c r="K45" i="112"/>
  <c r="J45" i="112"/>
  <c r="K19" i="112"/>
  <c r="J19" i="112"/>
  <c r="J36" i="112"/>
  <c r="K36" i="112"/>
  <c r="J43" i="112"/>
  <c r="K43" i="112"/>
  <c r="J18" i="112"/>
  <c r="F19" i="96"/>
  <c r="G19" i="96" s="1"/>
  <c r="I19" i="96" s="1"/>
  <c r="K19" i="96" s="1"/>
  <c r="F63" i="96"/>
  <c r="G63" i="96" s="1"/>
  <c r="I63" i="96" s="1"/>
  <c r="J63" i="96" s="1"/>
  <c r="AC570" i="92"/>
  <c r="K47" i="112"/>
  <c r="F17" i="112"/>
  <c r="G17" i="112" s="1"/>
  <c r="I17" i="112" s="1"/>
  <c r="J17" i="112" s="1"/>
  <c r="F62" i="96"/>
  <c r="G62" i="96" s="1"/>
  <c r="I62" i="96" s="1"/>
  <c r="K62" i="96" s="1"/>
  <c r="F86" i="96"/>
  <c r="G86" i="96" s="1"/>
  <c r="I86" i="96" s="1"/>
  <c r="K86" i="96" s="1"/>
  <c r="F31" i="96"/>
  <c r="G31" i="96" s="1"/>
  <c r="I31" i="96" s="1"/>
  <c r="J31" i="96" s="1"/>
  <c r="F72" i="96"/>
  <c r="G72" i="96" s="1"/>
  <c r="I72" i="96" s="1"/>
  <c r="J72" i="96" s="1"/>
  <c r="AC571" i="92"/>
  <c r="J20" i="112"/>
  <c r="J29" i="112"/>
  <c r="J35" i="72"/>
  <c r="K35" i="72"/>
  <c r="K30" i="95"/>
  <c r="J30" i="95"/>
  <c r="J22" i="112"/>
  <c r="K22" i="112"/>
  <c r="J47" i="95"/>
  <c r="K47" i="95"/>
  <c r="J27" i="95"/>
  <c r="K27" i="95"/>
  <c r="J31" i="112"/>
  <c r="K31" i="112"/>
  <c r="K21" i="95"/>
  <c r="J21" i="95"/>
  <c r="K50" i="112"/>
  <c r="J50" i="112"/>
  <c r="J36" i="72"/>
  <c r="K36" i="72"/>
  <c r="K31" i="95"/>
  <c r="J31" i="95"/>
  <c r="J80" i="96"/>
  <c r="K80" i="96"/>
  <c r="K37" i="72"/>
  <c r="J37" i="72"/>
  <c r="K51" i="95"/>
  <c r="J51" i="95"/>
  <c r="J17" i="96"/>
  <c r="K17" i="96"/>
  <c r="J64" i="112"/>
  <c r="K64" i="112"/>
  <c r="K30" i="112"/>
  <c r="F20" i="96"/>
  <c r="G20" i="96" s="1"/>
  <c r="I20" i="96" s="1"/>
  <c r="F32" i="96"/>
  <c r="G32" i="96" s="1"/>
  <c r="I32" i="96" s="1"/>
  <c r="J32" i="96" s="1"/>
  <c r="G67" i="96"/>
  <c r="I67" i="96" s="1"/>
  <c r="K67" i="96" s="1"/>
  <c r="F74" i="96"/>
  <c r="G74" i="96" s="1"/>
  <c r="I74" i="96" s="1"/>
  <c r="K74" i="96" s="1"/>
  <c r="F78" i="96"/>
  <c r="G78" i="96" s="1"/>
  <c r="I78" i="96" s="1"/>
  <c r="F90" i="96"/>
  <c r="G90" i="96" s="1"/>
  <c r="I90" i="96" s="1"/>
  <c r="J90" i="96" s="1"/>
  <c r="AC572" i="92"/>
  <c r="J79" i="112"/>
  <c r="K15" i="112"/>
  <c r="J46" i="95"/>
  <c r="F81" i="96"/>
  <c r="G81" i="96" s="1"/>
  <c r="I81" i="96" s="1"/>
  <c r="J81" i="96" s="1"/>
  <c r="K23" i="72"/>
  <c r="J19" i="72"/>
  <c r="K34" i="95"/>
  <c r="F22" i="96"/>
  <c r="G22" i="96" s="1"/>
  <c r="I22" i="96" s="1"/>
  <c r="K22" i="96" s="1"/>
  <c r="F28" i="96"/>
  <c r="G28" i="96" s="1"/>
  <c r="I28" i="96" s="1"/>
  <c r="J28" i="96" s="1"/>
  <c r="F64" i="96"/>
  <c r="G64" i="96" s="1"/>
  <c r="I64" i="96" s="1"/>
  <c r="F75" i="96"/>
  <c r="G75" i="96" s="1"/>
  <c r="I75" i="96" s="1"/>
  <c r="J58" i="112"/>
  <c r="J48" i="112"/>
  <c r="J30" i="72"/>
  <c r="K30" i="72"/>
  <c r="J48" i="95"/>
  <c r="K48" i="95"/>
  <c r="J55" i="95"/>
  <c r="K55" i="95"/>
  <c r="J15" i="72"/>
  <c r="K15" i="72"/>
  <c r="K21" i="72"/>
  <c r="J21" i="72"/>
  <c r="J38" i="72"/>
  <c r="K38" i="72"/>
  <c r="K36" i="95"/>
  <c r="J36" i="95"/>
  <c r="I45" i="95"/>
  <c r="G44" i="95"/>
  <c r="J60" i="95"/>
  <c r="K60" i="95"/>
  <c r="K35" i="112"/>
  <c r="J35" i="112"/>
  <c r="K27" i="72"/>
  <c r="J31" i="72"/>
  <c r="K16" i="72"/>
  <c r="J16" i="72"/>
  <c r="K26" i="95"/>
  <c r="K16" i="95"/>
  <c r="I14" i="95"/>
  <c r="G12" i="95"/>
  <c r="K18" i="95"/>
  <c r="J18" i="95"/>
  <c r="I24" i="95"/>
  <c r="K28" i="95"/>
  <c r="J28" i="95"/>
  <c r="K50" i="95"/>
  <c r="J50" i="95"/>
  <c r="J59" i="95"/>
  <c r="K59" i="95"/>
  <c r="P17" i="97"/>
  <c r="P23" i="97"/>
  <c r="J63" i="112"/>
  <c r="K63" i="112"/>
  <c r="J29" i="72"/>
  <c r="K29" i="72"/>
  <c r="K20" i="72"/>
  <c r="J20" i="72"/>
  <c r="J37" i="95"/>
  <c r="K37" i="95"/>
  <c r="J85" i="96"/>
  <c r="K85" i="96"/>
  <c r="K79" i="96"/>
  <c r="J79" i="96"/>
  <c r="J21" i="112"/>
  <c r="K21" i="112"/>
  <c r="K56" i="95"/>
  <c r="J49" i="95"/>
  <c r="K49" i="95"/>
  <c r="K19" i="95"/>
  <c r="J19" i="95"/>
  <c r="J29" i="95"/>
  <c r="K29" i="95"/>
  <c r="J35" i="95"/>
  <c r="K35" i="95"/>
  <c r="I14" i="112"/>
  <c r="K73" i="112"/>
  <c r="J73" i="112"/>
  <c r="F87" i="112"/>
  <c r="G87" i="112" s="1"/>
  <c r="I87" i="112" s="1"/>
  <c r="F101" i="96"/>
  <c r="G101" i="96" s="1"/>
  <c r="I101" i="96" s="1"/>
  <c r="Y571" i="92"/>
  <c r="Y570" i="92"/>
  <c r="J62" i="112"/>
  <c r="F28" i="112"/>
  <c r="G28" i="112" s="1"/>
  <c r="I28" i="112" s="1"/>
  <c r="F29" i="96"/>
  <c r="G29" i="96" s="1"/>
  <c r="I29" i="96" s="1"/>
  <c r="K34" i="112"/>
  <c r="J34" i="112"/>
  <c r="J40" i="112"/>
  <c r="K40" i="112"/>
  <c r="F46" i="112"/>
  <c r="G46" i="112" s="1"/>
  <c r="I46" i="112" s="1"/>
  <c r="F60" i="96"/>
  <c r="G60" i="96" s="1"/>
  <c r="I60" i="96" s="1"/>
  <c r="K60" i="112"/>
  <c r="J60" i="112"/>
  <c r="K74" i="112"/>
  <c r="J74" i="112"/>
  <c r="K17" i="95"/>
  <c r="F14" i="96"/>
  <c r="G14" i="96" s="1"/>
  <c r="Y569" i="92"/>
  <c r="J44" i="112"/>
  <c r="F24" i="112"/>
  <c r="G24" i="112" s="1"/>
  <c r="I24" i="112" s="1"/>
  <c r="F24" i="96"/>
  <c r="G24" i="96" s="1"/>
  <c r="I24" i="96" s="1"/>
  <c r="K27" i="112"/>
  <c r="J27" i="112"/>
  <c r="K41" i="112"/>
  <c r="J41" i="112"/>
  <c r="J38" i="112"/>
  <c r="K38" i="112"/>
  <c r="F42" i="112"/>
  <c r="G42" i="112" s="1"/>
  <c r="I42" i="112" s="1"/>
  <c r="K59" i="112"/>
  <c r="J59" i="112"/>
  <c r="K76" i="112"/>
  <c r="J76" i="112"/>
  <c r="F21" i="96"/>
  <c r="G21" i="96" s="1"/>
  <c r="I21" i="96" s="1"/>
  <c r="I57" i="112"/>
  <c r="F58" i="96"/>
  <c r="G58" i="96" s="1"/>
  <c r="I58" i="96" s="1"/>
  <c r="F73" i="96"/>
  <c r="G73" i="96" s="1"/>
  <c r="I73" i="96" s="1"/>
  <c r="F87" i="96"/>
  <c r="G87" i="96" s="1"/>
  <c r="I87" i="96" s="1"/>
  <c r="Y572" i="92"/>
  <c r="K23" i="112"/>
  <c r="K25" i="112"/>
  <c r="J25" i="112"/>
  <c r="J39" i="112"/>
  <c r="K39" i="112"/>
  <c r="K49" i="112"/>
  <c r="J49" i="112"/>
  <c r="K53" i="112"/>
  <c r="J53" i="112"/>
  <c r="F75" i="112"/>
  <c r="G75" i="112" s="1"/>
  <c r="I75" i="112" s="1"/>
  <c r="F89" i="96"/>
  <c r="G89" i="96" s="1"/>
  <c r="I89" i="96" s="1"/>
  <c r="J78" i="112"/>
  <c r="K78" i="112"/>
  <c r="J50" i="71"/>
  <c r="O50" i="71" s="1"/>
  <c r="K50" i="71"/>
  <c r="M14" i="71"/>
  <c r="J99" i="96"/>
  <c r="K99" i="96"/>
  <c r="J85" i="112"/>
  <c r="J98" i="96"/>
  <c r="K98" i="96"/>
  <c r="K84" i="112"/>
  <c r="J84" i="112"/>
  <c r="J82" i="112"/>
  <c r="J41" i="95"/>
  <c r="K41" i="95"/>
  <c r="K42" i="95"/>
  <c r="J42" i="95"/>
  <c r="G33" i="95"/>
  <c r="K40" i="95"/>
  <c r="I33" i="95"/>
  <c r="K41" i="71"/>
  <c r="J41" i="71"/>
  <c r="P41" i="71" s="1"/>
  <c r="K49" i="71"/>
  <c r="J49" i="71"/>
  <c r="P49" i="71" s="1"/>
  <c r="K48" i="71"/>
  <c r="I83" i="112"/>
  <c r="K83" i="112" s="1"/>
  <c r="I97" i="96"/>
  <c r="J57" i="71"/>
  <c r="K57" i="71"/>
  <c r="I54" i="95"/>
  <c r="G53" i="95"/>
  <c r="J44" i="72"/>
  <c r="K44" i="72"/>
  <c r="P36" i="97"/>
  <c r="M35" i="97"/>
  <c r="I45" i="72"/>
  <c r="P37" i="97"/>
  <c r="J54" i="101"/>
  <c r="K54" i="101" s="1"/>
  <c r="N35" i="97"/>
  <c r="P38" i="97"/>
  <c r="L35" i="97"/>
  <c r="P16" i="97"/>
  <c r="P15" i="97"/>
  <c r="P21" i="97"/>
  <c r="I58" i="71"/>
  <c r="G56" i="71"/>
  <c r="J28" i="71"/>
  <c r="N28" i="71" s="1"/>
  <c r="K28" i="71"/>
  <c r="K27" i="71"/>
  <c r="J27" i="71"/>
  <c r="N27" i="71" s="1"/>
  <c r="K15" i="71"/>
  <c r="J15" i="71"/>
  <c r="M15" i="71" s="1"/>
  <c r="K26" i="71"/>
  <c r="K14" i="71"/>
  <c r="P24" i="97"/>
  <c r="P25" i="97"/>
  <c r="V235" i="92"/>
  <c r="Q49" i="92"/>
  <c r="Q69" i="92"/>
  <c r="Q103" i="92"/>
  <c r="Q127" i="92"/>
  <c r="Q200" i="92"/>
  <c r="Q217" i="92"/>
  <c r="Q249" i="92"/>
  <c r="Q128" i="92"/>
  <c r="Q224" i="92"/>
  <c r="Q59" i="92"/>
  <c r="Q75" i="92"/>
  <c r="Q85" i="92"/>
  <c r="Q87" i="92"/>
  <c r="Q98" i="92"/>
  <c r="Q183" i="92"/>
  <c r="Q225" i="92"/>
  <c r="Q261" i="92"/>
  <c r="Q355" i="92"/>
  <c r="V133" i="92"/>
  <c r="Q55" i="92"/>
  <c r="Q71" i="92"/>
  <c r="Q112" i="92"/>
  <c r="Q186" i="92"/>
  <c r="Q203" i="92"/>
  <c r="Q233" i="92"/>
  <c r="Q254" i="92"/>
  <c r="Q84" i="92"/>
  <c r="Q57" i="92"/>
  <c r="Q67" i="92"/>
  <c r="Q120" i="92"/>
  <c r="Q135" i="92"/>
  <c r="Q192" i="92"/>
  <c r="Q234" i="92"/>
  <c r="Q270" i="92"/>
  <c r="V103" i="92"/>
  <c r="V135" i="92"/>
  <c r="U507" i="92"/>
  <c r="C41" i="98"/>
  <c r="E41" i="98" s="1"/>
  <c r="F41" i="98" s="1"/>
  <c r="I41" i="98" s="1"/>
  <c r="W22" i="92" s="1"/>
  <c r="U263" i="92"/>
  <c r="C14" i="98"/>
  <c r="E14" i="98" s="1"/>
  <c r="F14" i="98" s="1"/>
  <c r="I14" i="98" s="1"/>
  <c r="L346" i="92" s="1"/>
  <c r="C23" i="98"/>
  <c r="E23" i="98" s="1"/>
  <c r="F23" i="98" s="1"/>
  <c r="I23" i="98" s="1"/>
  <c r="K457" i="92" s="1"/>
  <c r="E457" i="92" s="1"/>
  <c r="U248" i="92"/>
  <c r="C6" i="98"/>
  <c r="E6" i="98" s="1"/>
  <c r="F6" i="98" s="1"/>
  <c r="I6" i="98" s="1"/>
  <c r="C25" i="98"/>
  <c r="E25" i="98" s="1"/>
  <c r="F25" i="98" s="1"/>
  <c r="I25" i="98" s="1"/>
  <c r="K523" i="92" s="1"/>
  <c r="C34" i="98"/>
  <c r="E34" i="98" s="1"/>
  <c r="F34" i="98" s="1"/>
  <c r="C19" i="98"/>
  <c r="E19" i="98" s="1"/>
  <c r="F19" i="98" s="1"/>
  <c r="I19" i="98" s="1"/>
  <c r="C27" i="98"/>
  <c r="E27" i="98" s="1"/>
  <c r="F27" i="98" s="1"/>
  <c r="I27" i="98" s="1"/>
  <c r="J537" i="92" s="1"/>
  <c r="E537" i="92" s="1"/>
  <c r="C36" i="98"/>
  <c r="E36" i="98" s="1"/>
  <c r="F36" i="98" s="1"/>
  <c r="I36" i="98" s="1"/>
  <c r="AD52" i="92" s="1"/>
  <c r="C17" i="98"/>
  <c r="E17" i="98" s="1"/>
  <c r="F17" i="98" s="1"/>
  <c r="I17" i="98" s="1"/>
  <c r="H388" i="92" s="1"/>
  <c r="C43" i="98"/>
  <c r="E43" i="98" s="1"/>
  <c r="U112" i="92"/>
  <c r="C12" i="98"/>
  <c r="E12" i="98" s="1"/>
  <c r="F12" i="98" s="1"/>
  <c r="I12" i="98" s="1"/>
  <c r="H260" i="92" s="1"/>
  <c r="C21" i="98"/>
  <c r="E21" i="98" s="1"/>
  <c r="F21" i="98" s="1"/>
  <c r="I21" i="98" s="1"/>
  <c r="K479" i="92" s="1"/>
  <c r="C29" i="98"/>
  <c r="E29" i="98" s="1"/>
  <c r="F29" i="98" s="1"/>
  <c r="I29" i="98" s="1"/>
  <c r="J553" i="92" s="1"/>
  <c r="E553" i="92" s="1"/>
  <c r="C38" i="98"/>
  <c r="E38" i="98" s="1"/>
  <c r="F38" i="98" s="1"/>
  <c r="I38" i="98" s="1"/>
  <c r="AD357" i="92" s="1"/>
  <c r="O121" i="92"/>
  <c r="O182" i="92"/>
  <c r="U111" i="92"/>
  <c r="U485" i="92"/>
  <c r="C16" i="98"/>
  <c r="E16" i="98" s="1"/>
  <c r="F16" i="98" s="1"/>
  <c r="I16" i="98" s="1"/>
  <c r="H375" i="92" s="1"/>
  <c r="C20" i="98"/>
  <c r="E20" i="98" s="1"/>
  <c r="F20" i="98" s="1"/>
  <c r="I20" i="98" s="1"/>
  <c r="I408" i="92" s="1"/>
  <c r="C24" i="98"/>
  <c r="E24" i="98" s="1"/>
  <c r="F24" i="98" s="1"/>
  <c r="I24" i="98" s="1"/>
  <c r="K506" i="92" s="1"/>
  <c r="C28" i="98"/>
  <c r="E28" i="98" s="1"/>
  <c r="F28" i="98" s="1"/>
  <c r="I28" i="98" s="1"/>
  <c r="J549" i="92" s="1"/>
  <c r="E549" i="92" s="1"/>
  <c r="C33" i="98"/>
  <c r="E33" i="98" s="1"/>
  <c r="F33" i="98" s="1"/>
  <c r="I33" i="98" s="1"/>
  <c r="AD595" i="92" s="1"/>
  <c r="C37" i="98"/>
  <c r="E37" i="98" s="1"/>
  <c r="F37" i="98" s="1"/>
  <c r="I37" i="98" s="1"/>
  <c r="AD71" i="92" s="1"/>
  <c r="C42" i="98"/>
  <c r="E42" i="98" s="1"/>
  <c r="C9" i="98"/>
  <c r="E9" i="98" s="1"/>
  <c r="F9" i="98" s="1"/>
  <c r="C4" i="98"/>
  <c r="E4" i="98" s="1"/>
  <c r="F4" i="98" s="1"/>
  <c r="I4" i="98" s="1"/>
  <c r="C5" i="98"/>
  <c r="E5" i="98" s="1"/>
  <c r="F5" i="98" s="1"/>
  <c r="I5" i="98" s="1"/>
  <c r="C13" i="98"/>
  <c r="E13" i="98" s="1"/>
  <c r="F13" i="98" s="1"/>
  <c r="I13" i="98" s="1"/>
  <c r="L129" i="92" s="1"/>
  <c r="C18" i="98"/>
  <c r="E18" i="98" s="1"/>
  <c r="F18" i="98" s="1"/>
  <c r="I18" i="98" s="1"/>
  <c r="H389" i="92" s="1"/>
  <c r="C22" i="98"/>
  <c r="E22" i="98" s="1"/>
  <c r="F22" i="98" s="1"/>
  <c r="I22" i="98" s="1"/>
  <c r="K496" i="92" s="1"/>
  <c r="C26" i="98"/>
  <c r="E26" i="98" s="1"/>
  <c r="F26" i="98" s="1"/>
  <c r="I26" i="98" s="1"/>
  <c r="C30" i="98"/>
  <c r="E30" i="98" s="1"/>
  <c r="F30" i="98" s="1"/>
  <c r="I30" i="98" s="1"/>
  <c r="J564" i="92" s="1"/>
  <c r="E564" i="92" s="1"/>
  <c r="C35" i="98"/>
  <c r="E35" i="98" s="1"/>
  <c r="F35" i="98" s="1"/>
  <c r="I35" i="98" s="1"/>
  <c r="C39" i="98"/>
  <c r="E39" i="98" s="1"/>
  <c r="F39" i="98" s="1"/>
  <c r="I39" i="98" s="1"/>
  <c r="AD131" i="92" s="1"/>
  <c r="C48" i="98"/>
  <c r="E48" i="98" s="1"/>
  <c r="I48" i="98" s="1"/>
  <c r="AB569" i="92" s="1"/>
  <c r="J13" i="71"/>
  <c r="M13" i="71" s="1"/>
  <c r="K13" i="71"/>
  <c r="K42" i="71"/>
  <c r="J42" i="71"/>
  <c r="P42" i="71" s="1"/>
  <c r="J40" i="71"/>
  <c r="K40" i="71"/>
  <c r="O301" i="92"/>
  <c r="O78" i="92"/>
  <c r="U239" i="92"/>
  <c r="U499" i="92"/>
  <c r="U522" i="92"/>
  <c r="U490" i="92"/>
  <c r="U505" i="92"/>
  <c r="U520" i="92"/>
  <c r="U484" i="92"/>
  <c r="U131" i="92"/>
  <c r="U246" i="92"/>
  <c r="U133" i="92"/>
  <c r="U93" i="92"/>
  <c r="U95" i="92"/>
  <c r="U271" i="92"/>
  <c r="U134" i="92"/>
  <c r="U244" i="92"/>
  <c r="U227" i="92"/>
  <c r="U114" i="92"/>
  <c r="U123" i="92"/>
  <c r="U101" i="92"/>
  <c r="U523" i="92"/>
  <c r="U495" i="92"/>
  <c r="U510" i="92"/>
  <c r="U482" i="92"/>
  <c r="U501" i="92"/>
  <c r="U512" i="92"/>
  <c r="U480" i="92"/>
  <c r="U234" i="92"/>
  <c r="U237" i="92"/>
  <c r="U243" i="92"/>
  <c r="U100" i="92"/>
  <c r="U124" i="92"/>
  <c r="U267" i="92"/>
  <c r="U130" i="92"/>
  <c r="U235" i="92"/>
  <c r="U231" i="92"/>
  <c r="U127" i="92"/>
  <c r="U105" i="92"/>
  <c r="U121" i="92"/>
  <c r="U656" i="92"/>
  <c r="U515" i="92"/>
  <c r="U483" i="92"/>
  <c r="U506" i="92"/>
  <c r="U521" i="92"/>
  <c r="U489" i="92"/>
  <c r="U504" i="92"/>
  <c r="U108" i="92"/>
  <c r="U242" i="92"/>
  <c r="U103" i="92"/>
  <c r="U249" i="92"/>
  <c r="U251" i="92"/>
  <c r="U98" i="92"/>
  <c r="U97" i="92"/>
  <c r="U257" i="92"/>
  <c r="U509" i="92"/>
  <c r="U118" i="92"/>
  <c r="U238" i="92"/>
  <c r="U253" i="92"/>
  <c r="U94" i="92"/>
  <c r="U259" i="92"/>
  <c r="U264" i="92"/>
  <c r="U99" i="92"/>
  <c r="U498" i="92"/>
  <c r="U110" i="92"/>
  <c r="U254" i="92"/>
  <c r="U128" i="92"/>
  <c r="U115" i="92"/>
  <c r="U266" i="92"/>
  <c r="U228" i="92"/>
  <c r="U500" i="92"/>
  <c r="U479" i="92"/>
  <c r="O193" i="92"/>
  <c r="O126" i="92"/>
  <c r="O487" i="92"/>
  <c r="O114" i="92"/>
  <c r="O230" i="92"/>
  <c r="O60" i="92"/>
  <c r="V229" i="92"/>
  <c r="O213" i="92"/>
  <c r="O253" i="92"/>
  <c r="V263" i="92"/>
  <c r="O271" i="92"/>
  <c r="V94" i="92"/>
  <c r="O225" i="92"/>
  <c r="O500" i="92"/>
  <c r="C40" i="98"/>
  <c r="E40" i="98" s="1"/>
  <c r="F40" i="98" s="1"/>
  <c r="I40" i="98" s="1"/>
  <c r="O68" i="92"/>
  <c r="O258" i="92"/>
  <c r="O83" i="92"/>
  <c r="O221" i="92"/>
  <c r="O62" i="92"/>
  <c r="V244" i="92"/>
  <c r="O206" i="92"/>
  <c r="O200" i="92"/>
  <c r="O86" i="92"/>
  <c r="O95" i="92"/>
  <c r="V106" i="92"/>
  <c r="O521" i="92"/>
  <c r="O51" i="92"/>
  <c r="O55" i="92"/>
  <c r="O74" i="92"/>
  <c r="O76" i="92"/>
  <c r="O112" i="92"/>
  <c r="O101" i="92"/>
  <c r="O203" i="92"/>
  <c r="O227" i="92"/>
  <c r="O195" i="92"/>
  <c r="O184" i="92"/>
  <c r="O247" i="92"/>
  <c r="O215" i="92"/>
  <c r="O217" i="92"/>
  <c r="O128" i="92"/>
  <c r="O226" i="92"/>
  <c r="O79" i="92"/>
  <c r="O66" i="92"/>
  <c r="O93" i="92"/>
  <c r="O185" i="92"/>
  <c r="O234" i="92"/>
  <c r="O257" i="92"/>
  <c r="O520" i="92"/>
  <c r="O482" i="92"/>
  <c r="O511" i="92"/>
  <c r="O378" i="92"/>
  <c r="O80" i="92"/>
  <c r="O69" i="92"/>
  <c r="O56" i="92"/>
  <c r="O119" i="92"/>
  <c r="O110" i="92"/>
  <c r="O116" i="92"/>
  <c r="O241" i="92"/>
  <c r="O188" i="92"/>
  <c r="O211" i="92"/>
  <c r="O231" i="92"/>
  <c r="O197" i="92"/>
  <c r="O254" i="92"/>
  <c r="O256" i="92"/>
  <c r="O229" i="92"/>
  <c r="O130" i="92"/>
  <c r="O267" i="92"/>
  <c r="O91" i="92"/>
  <c r="O54" i="92"/>
  <c r="O111" i="92"/>
  <c r="O246" i="92"/>
  <c r="O261" i="92"/>
  <c r="O214" i="92"/>
  <c r="O99" i="92"/>
  <c r="O220" i="92"/>
  <c r="O499" i="92"/>
  <c r="O481" i="92"/>
  <c r="O498" i="92"/>
  <c r="Q346" i="92"/>
  <c r="Q311" i="92"/>
  <c r="Q364" i="92"/>
  <c r="Q323" i="92"/>
  <c r="Q318" i="92"/>
  <c r="Q297" i="92"/>
  <c r="Q277" i="92"/>
  <c r="Q239" i="92"/>
  <c r="Q194" i="92"/>
  <c r="Q90" i="92"/>
  <c r="Q264" i="92"/>
  <c r="Q255" i="92"/>
  <c r="Q246" i="92"/>
  <c r="Q237" i="92"/>
  <c r="Q228" i="92"/>
  <c r="Q219" i="92"/>
  <c r="Q207" i="92"/>
  <c r="Q196" i="92"/>
  <c r="Q185" i="92"/>
  <c r="Q131" i="92"/>
  <c r="Q122" i="92"/>
  <c r="Q111" i="92"/>
  <c r="Q102" i="92"/>
  <c r="Q93" i="92"/>
  <c r="Q92" i="92"/>
  <c r="Q86" i="92"/>
  <c r="Q79" i="92"/>
  <c r="Q70" i="92"/>
  <c r="Q61" i="92"/>
  <c r="Q52" i="92"/>
  <c r="Q271" i="92"/>
  <c r="Q263" i="92"/>
  <c r="Q218" i="92"/>
  <c r="Q130" i="92"/>
  <c r="Q260" i="92"/>
  <c r="Q253" i="92"/>
  <c r="Q245" i="92"/>
  <c r="Q236" i="92"/>
  <c r="Q229" i="92"/>
  <c r="Q213" i="92"/>
  <c r="Q206" i="92"/>
  <c r="Q199" i="92"/>
  <c r="Q191" i="92"/>
  <c r="Q184" i="92"/>
  <c r="Q123" i="92"/>
  <c r="Q116" i="92"/>
  <c r="Q107" i="92"/>
  <c r="Q82" i="92"/>
  <c r="Q74" i="92"/>
  <c r="Q68" i="92"/>
  <c r="Q60" i="92"/>
  <c r="Q53" i="92"/>
  <c r="Q356" i="92"/>
  <c r="Q298" i="92"/>
  <c r="Q287" i="92"/>
  <c r="Q272" i="92"/>
  <c r="Q273" i="92"/>
  <c r="Q202" i="92"/>
  <c r="Q99" i="92"/>
  <c r="Q266" i="92"/>
  <c r="Q257" i="92"/>
  <c r="Q248" i="92"/>
  <c r="Q240" i="92"/>
  <c r="Q230" i="92"/>
  <c r="Q222" i="92"/>
  <c r="Q210" i="92"/>
  <c r="Q198" i="92"/>
  <c r="Q187" i="92"/>
  <c r="Q133" i="92"/>
  <c r="Q124" i="92"/>
  <c r="Q115" i="92"/>
  <c r="Q104" i="92"/>
  <c r="Q95" i="92"/>
  <c r="Q94" i="92"/>
  <c r="Q88" i="92"/>
  <c r="Q81" i="92"/>
  <c r="Q72" i="92"/>
  <c r="Q63" i="92"/>
  <c r="Q54" i="92"/>
  <c r="Q265" i="92"/>
  <c r="Q221" i="92"/>
  <c r="Q132" i="92"/>
  <c r="Q83" i="92"/>
  <c r="Q258" i="92"/>
  <c r="Q251" i="92"/>
  <c r="Q244" i="92"/>
  <c r="Q235" i="92"/>
  <c r="Q227" i="92"/>
  <c r="Q211" i="92"/>
  <c r="Q204" i="92"/>
  <c r="Q197" i="92"/>
  <c r="Q190" i="92"/>
  <c r="Q182" i="92"/>
  <c r="Q121" i="92"/>
  <c r="Q114" i="92"/>
  <c r="Q105" i="92"/>
  <c r="Q80" i="92"/>
  <c r="Q73" i="92"/>
  <c r="Q65" i="92"/>
  <c r="Q58" i="92"/>
  <c r="Q51" i="92"/>
  <c r="Q331" i="92"/>
  <c r="Q319" i="92"/>
  <c r="Q289" i="92"/>
  <c r="Q212" i="92"/>
  <c r="Q268" i="92"/>
  <c r="Q250" i="92"/>
  <c r="Q232" i="92"/>
  <c r="Q214" i="92"/>
  <c r="Q189" i="92"/>
  <c r="Q126" i="92"/>
  <c r="Q106" i="92"/>
  <c r="Q96" i="92"/>
  <c r="Q66" i="92"/>
  <c r="Q48" i="92"/>
  <c r="Q269" i="92"/>
  <c r="Q136" i="92"/>
  <c r="Q262" i="92"/>
  <c r="Q247" i="92"/>
  <c r="Q231" i="92"/>
  <c r="Q208" i="92"/>
  <c r="Q193" i="92"/>
  <c r="Q125" i="92"/>
  <c r="Q110" i="92"/>
  <c r="Q76" i="92"/>
  <c r="Q62" i="92"/>
  <c r="Q47" i="92"/>
  <c r="Q350" i="92"/>
  <c r="Q357" i="92"/>
  <c r="Q293" i="92"/>
  <c r="Q108" i="92"/>
  <c r="Q259" i="92"/>
  <c r="Q242" i="92"/>
  <c r="Q223" i="92"/>
  <c r="Q201" i="92"/>
  <c r="O592" i="92"/>
  <c r="O644" i="92"/>
  <c r="O415" i="92"/>
  <c r="O239" i="92"/>
  <c r="O503" i="92"/>
  <c r="O514" i="92"/>
  <c r="O494" i="92"/>
  <c r="O513" i="92"/>
  <c r="O493" i="92"/>
  <c r="O516" i="92"/>
  <c r="O492" i="92"/>
  <c r="O491" i="92"/>
  <c r="O108" i="92"/>
  <c r="O131" i="92"/>
  <c r="O266" i="92"/>
  <c r="O240" i="92"/>
  <c r="O222" i="92"/>
  <c r="O237" i="92"/>
  <c r="O242" i="92"/>
  <c r="O192" i="92"/>
  <c r="O102" i="92"/>
  <c r="O104" i="92"/>
  <c r="O77" i="92"/>
  <c r="O61" i="92"/>
  <c r="O72" i="92"/>
  <c r="O94" i="92"/>
  <c r="O52" i="92"/>
  <c r="O634" i="92"/>
  <c r="O402" i="92"/>
  <c r="O519" i="92"/>
  <c r="O495" i="92"/>
  <c r="O510" i="92"/>
  <c r="O486" i="92"/>
  <c r="O509" i="92"/>
  <c r="O489" i="92"/>
  <c r="O508" i="92"/>
  <c r="O488" i="92"/>
  <c r="O483" i="92"/>
  <c r="O212" i="92"/>
  <c r="O250" i="92"/>
  <c r="O264" i="92"/>
  <c r="O252" i="92"/>
  <c r="O232" i="92"/>
  <c r="O129" i="92"/>
  <c r="O219" i="92"/>
  <c r="O268" i="92"/>
  <c r="O135" i="92"/>
  <c r="O120" i="92"/>
  <c r="O109" i="92"/>
  <c r="O117" i="92"/>
  <c r="O59" i="92"/>
  <c r="O98" i="92"/>
  <c r="O63" i="92"/>
  <c r="O87" i="92"/>
  <c r="O48" i="92"/>
  <c r="O578" i="92"/>
  <c r="O515" i="92"/>
  <c r="O502" i="92"/>
  <c r="O505" i="92"/>
  <c r="O504" i="92"/>
  <c r="O189" i="92"/>
  <c r="O259" i="92"/>
  <c r="O205" i="92"/>
  <c r="O196" i="92"/>
  <c r="O122" i="92"/>
  <c r="O96" i="92"/>
  <c r="O81" i="92"/>
  <c r="O57" i="92"/>
  <c r="O263" i="92"/>
  <c r="O132" i="92"/>
  <c r="O84" i="92"/>
  <c r="O204" i="92"/>
  <c r="O235" i="92"/>
  <c r="O260" i="92"/>
  <c r="O245" i="92"/>
  <c r="O244" i="92"/>
  <c r="O208" i="92"/>
  <c r="O233" i="92"/>
  <c r="O191" i="92"/>
  <c r="O249" i="92"/>
  <c r="O103" i="92"/>
  <c r="O127" i="92"/>
  <c r="O123" i="92"/>
  <c r="O105" i="92"/>
  <c r="O73" i="92"/>
  <c r="O58" i="92"/>
  <c r="O82" i="92"/>
  <c r="O65" i="92"/>
  <c r="O49" i="92"/>
  <c r="O373" i="92"/>
  <c r="O64" i="92"/>
  <c r="O53" i="92"/>
  <c r="O71" i="92"/>
  <c r="O47" i="92"/>
  <c r="O107" i="92"/>
  <c r="O125" i="92"/>
  <c r="O118" i="92"/>
  <c r="O199" i="92"/>
  <c r="O186" i="92"/>
  <c r="O251" i="92"/>
  <c r="O238" i="92"/>
  <c r="O209" i="92"/>
  <c r="O190" i="92"/>
  <c r="O262" i="92"/>
  <c r="O236" i="92"/>
  <c r="O136" i="92"/>
  <c r="O218" i="92"/>
  <c r="O269" i="92"/>
  <c r="O92" i="92"/>
  <c r="O97" i="92"/>
  <c r="O201" i="92"/>
  <c r="O216" i="92"/>
  <c r="O210" i="92"/>
  <c r="O90" i="92"/>
  <c r="O202" i="92"/>
  <c r="O484" i="92"/>
  <c r="O497" i="92"/>
  <c r="O518" i="92"/>
  <c r="Q177" i="92"/>
  <c r="Q653" i="92"/>
  <c r="Q24" i="92"/>
  <c r="C10" i="98"/>
  <c r="E10" i="98" s="1"/>
  <c r="F10" i="98" s="1"/>
  <c r="I10" i="98" s="1"/>
  <c r="V125" i="92"/>
  <c r="V251" i="92"/>
  <c r="V128" i="92"/>
  <c r="T203" i="92"/>
  <c r="Q8" i="92"/>
  <c r="Q19" i="92"/>
  <c r="V119" i="92"/>
  <c r="V260" i="92"/>
  <c r="V117" i="92"/>
  <c r="V255" i="92"/>
  <c r="V108" i="92"/>
  <c r="V281" i="92"/>
  <c r="Q315" i="92"/>
  <c r="T256" i="92"/>
  <c r="T56" i="92"/>
  <c r="T241" i="92"/>
  <c r="O387" i="92"/>
  <c r="U372" i="92"/>
  <c r="U511" i="92"/>
  <c r="U491" i="92"/>
  <c r="U514" i="92"/>
  <c r="U494" i="92"/>
  <c r="U517" i="92"/>
  <c r="U493" i="92"/>
  <c r="U516" i="92"/>
  <c r="U496" i="92"/>
  <c r="U255" i="92"/>
  <c r="U261" i="92"/>
  <c r="U230" i="92"/>
  <c r="U232" i="92"/>
  <c r="U240" i="92"/>
  <c r="U106" i="92"/>
  <c r="U122" i="92"/>
  <c r="U109" i="92"/>
  <c r="U96" i="92"/>
  <c r="U265" i="92"/>
  <c r="U136" i="92"/>
  <c r="U245" i="92"/>
  <c r="U233" i="92"/>
  <c r="U236" i="92"/>
  <c r="U262" i="92"/>
  <c r="U125" i="92"/>
  <c r="O303" i="92"/>
  <c r="O321" i="92"/>
  <c r="O664" i="92"/>
  <c r="O654" i="92"/>
  <c r="O607" i="92"/>
  <c r="O413" i="92"/>
  <c r="O385" i="92"/>
  <c r="O523" i="92"/>
  <c r="O507" i="92"/>
  <c r="O522" i="92"/>
  <c r="O506" i="92"/>
  <c r="O490" i="92"/>
  <c r="O517" i="92"/>
  <c r="O501" i="92"/>
  <c r="O485" i="92"/>
  <c r="O512" i="92"/>
  <c r="O496" i="92"/>
  <c r="O480" i="92"/>
  <c r="O479" i="92"/>
  <c r="O194" i="92"/>
  <c r="O113" i="92"/>
  <c r="O243" i="92"/>
  <c r="O270" i="92"/>
  <c r="O183" i="92"/>
  <c r="O187" i="92"/>
  <c r="O223" i="92"/>
  <c r="O198" i="92"/>
  <c r="O133" i="92"/>
  <c r="O248" i="92"/>
  <c r="O255" i="92"/>
  <c r="O228" i="92"/>
  <c r="O207" i="92"/>
  <c r="O100" i="92"/>
  <c r="O106" i="92"/>
  <c r="O124" i="92"/>
  <c r="O115" i="92"/>
  <c r="O89" i="92"/>
  <c r="O70" i="92"/>
  <c r="O85" i="92"/>
  <c r="O67" i="92"/>
  <c r="O88" i="92"/>
  <c r="O75" i="92"/>
  <c r="O50" i="92"/>
  <c r="O265" i="92"/>
  <c r="O224" i="92"/>
  <c r="O134" i="92"/>
  <c r="O290" i="92"/>
  <c r="O643" i="92"/>
  <c r="O616" i="92"/>
  <c r="O594" i="92"/>
  <c r="O403" i="92"/>
  <c r="O375" i="92"/>
  <c r="V123" i="92"/>
  <c r="V127" i="92"/>
  <c r="V114" i="92"/>
  <c r="V121" i="92"/>
  <c r="V253" i="92"/>
  <c r="V241" i="92"/>
  <c r="V231" i="92"/>
  <c r="V247" i="92"/>
  <c r="V136" i="92"/>
  <c r="V271" i="92"/>
  <c r="V102" i="92"/>
  <c r="V257" i="92"/>
  <c r="V270" i="92"/>
  <c r="V237" i="92"/>
  <c r="V287" i="92"/>
  <c r="V110" i="92"/>
  <c r="V116" i="92"/>
  <c r="V105" i="92"/>
  <c r="V256" i="92"/>
  <c r="V236" i="92"/>
  <c r="V254" i="92"/>
  <c r="V245" i="92"/>
  <c r="V262" i="92"/>
  <c r="V109" i="92"/>
  <c r="V93" i="92"/>
  <c r="V248" i="92"/>
  <c r="V228" i="92"/>
  <c r="V243" i="92"/>
  <c r="T71" i="92"/>
  <c r="T121" i="92"/>
  <c r="T217" i="92"/>
  <c r="V276" i="92"/>
  <c r="V101" i="92"/>
  <c r="V112" i="92"/>
  <c r="V118" i="92"/>
  <c r="V107" i="92"/>
  <c r="V238" i="92"/>
  <c r="V227" i="92"/>
  <c r="V258" i="92"/>
  <c r="V233" i="92"/>
  <c r="V249" i="92"/>
  <c r="V132" i="92"/>
  <c r="V267" i="92"/>
  <c r="V98" i="92"/>
  <c r="V124" i="92"/>
  <c r="V120" i="92"/>
  <c r="V126" i="92"/>
  <c r="V252" i="92"/>
  <c r="V234" i="92"/>
  <c r="T188" i="92"/>
  <c r="O376" i="92"/>
  <c r="O404" i="92"/>
  <c r="O398" i="92"/>
  <c r="O603" i="92"/>
  <c r="O609" i="92"/>
  <c r="O623" i="92"/>
  <c r="O369" i="92"/>
  <c r="T316" i="92"/>
  <c r="T81" i="92"/>
  <c r="T79" i="92"/>
  <c r="T77" i="92"/>
  <c r="T75" i="92"/>
  <c r="T72" i="92"/>
  <c r="T70" i="92"/>
  <c r="T67" i="92"/>
  <c r="T66" i="92"/>
  <c r="T63" i="92"/>
  <c r="T61" i="92"/>
  <c r="T59" i="92"/>
  <c r="T57" i="92"/>
  <c r="T54" i="92"/>
  <c r="T254" i="92"/>
  <c r="T238" i="92"/>
  <c r="T215" i="92"/>
  <c r="T200" i="92"/>
  <c r="T186" i="92"/>
  <c r="T119" i="92"/>
  <c r="T103" i="92"/>
  <c r="T69" i="92"/>
  <c r="T55" i="92"/>
  <c r="T357" i="92"/>
  <c r="T262" i="92"/>
  <c r="T247" i="92"/>
  <c r="T231" i="92"/>
  <c r="T208" i="92"/>
  <c r="T193" i="92"/>
  <c r="T127" i="92"/>
  <c r="T112" i="92"/>
  <c r="T76" i="92"/>
  <c r="T62" i="92"/>
  <c r="T47" i="92"/>
  <c r="Q586" i="92"/>
  <c r="Q601" i="92"/>
  <c r="Q39" i="92"/>
  <c r="Q45" i="92"/>
  <c r="Q25" i="92"/>
  <c r="Q4" i="92"/>
  <c r="Q38" i="92"/>
  <c r="Q35" i="92"/>
  <c r="Q20" i="92"/>
  <c r="Q5" i="92"/>
  <c r="Q627" i="92"/>
  <c r="Q152" i="92"/>
  <c r="Q3" i="92"/>
  <c r="Q40" i="92"/>
  <c r="Q15" i="92"/>
  <c r="Q46" i="92"/>
  <c r="Q28" i="92"/>
  <c r="Q11" i="92"/>
  <c r="T49" i="92"/>
  <c r="T78" i="92"/>
  <c r="T114" i="92"/>
  <c r="T195" i="92"/>
  <c r="T233" i="92"/>
  <c r="Q16" i="92"/>
  <c r="Q9" i="92"/>
  <c r="T331" i="92"/>
  <c r="V309" i="92"/>
  <c r="V313" i="92"/>
  <c r="V283" i="92"/>
  <c r="V280" i="92"/>
  <c r="V239" i="92"/>
  <c r="V131" i="92"/>
  <c r="V246" i="92"/>
  <c r="V268" i="92"/>
  <c r="V129" i="92"/>
  <c r="V232" i="92"/>
  <c r="V259" i="92"/>
  <c r="V100" i="92"/>
  <c r="V122" i="92"/>
  <c r="V104" i="92"/>
  <c r="V95" i="92"/>
  <c r="V96" i="92"/>
  <c r="V265" i="92"/>
  <c r="V134" i="92"/>
  <c r="V307" i="92"/>
  <c r="V99" i="92"/>
  <c r="V261" i="92"/>
  <c r="V250" i="92"/>
  <c r="V266" i="92"/>
  <c r="V242" i="92"/>
  <c r="V264" i="92"/>
  <c r="V240" i="92"/>
  <c r="V230" i="92"/>
  <c r="V111" i="92"/>
  <c r="V115" i="92"/>
  <c r="V97" i="92"/>
  <c r="V92" i="92"/>
  <c r="V269" i="92"/>
  <c r="V130" i="92"/>
  <c r="Q575" i="92"/>
  <c r="Q611" i="92"/>
  <c r="T64" i="92"/>
  <c r="T209" i="92"/>
  <c r="T249" i="92"/>
  <c r="Q31" i="92"/>
  <c r="Q42" i="92"/>
  <c r="Q30" i="92"/>
  <c r="Q32" i="92"/>
  <c r="Q142" i="92"/>
  <c r="Q646" i="92"/>
  <c r="Q626" i="92"/>
  <c r="Q652" i="92"/>
  <c r="Q633" i="92"/>
  <c r="Q171" i="92"/>
  <c r="Q591" i="92"/>
  <c r="Q616" i="92"/>
  <c r="Q157" i="92"/>
  <c r="Q581" i="92"/>
  <c r="Q658" i="92"/>
  <c r="Q639" i="92"/>
  <c r="Q665" i="92"/>
  <c r="Q598" i="92"/>
  <c r="Q139" i="92"/>
  <c r="Q164" i="92"/>
  <c r="Q584" i="92"/>
  <c r="Q613" i="92"/>
  <c r="Q154" i="92"/>
  <c r="Q6" i="92"/>
  <c r="Q14" i="92"/>
  <c r="Q23" i="92"/>
  <c r="Q29" i="92"/>
  <c r="Q37" i="92"/>
  <c r="Q44" i="92"/>
  <c r="Q7" i="92"/>
  <c r="Q17" i="92"/>
  <c r="Q27" i="92"/>
  <c r="Q43" i="92"/>
  <c r="Q21" i="92"/>
  <c r="Q36" i="92"/>
  <c r="O382" i="92"/>
  <c r="O377" i="92"/>
  <c r="O380" i="92"/>
  <c r="O408" i="92"/>
  <c r="O397" i="92"/>
  <c r="O606" i="92"/>
  <c r="O589" i="92"/>
  <c r="O657" i="92"/>
  <c r="O624" i="92"/>
  <c r="O274" i="92"/>
  <c r="U283" i="92"/>
  <c r="U604" i="92"/>
  <c r="U392" i="92"/>
  <c r="Q145" i="92"/>
  <c r="Q579" i="92"/>
  <c r="Q618" i="92"/>
  <c r="Q659" i="92"/>
  <c r="Q347" i="92"/>
  <c r="Q312" i="92"/>
  <c r="Q358" i="92"/>
  <c r="Q333" i="92"/>
  <c r="Q302" i="92"/>
  <c r="Q365" i="92"/>
  <c r="Q292" i="92"/>
  <c r="Q322" i="92"/>
  <c r="Q281" i="92"/>
  <c r="Q295" i="92"/>
  <c r="Q275" i="92"/>
  <c r="Q296" i="92"/>
  <c r="Q351" i="92"/>
  <c r="Q316" i="92"/>
  <c r="Q308" i="92"/>
  <c r="Q366" i="92"/>
  <c r="Q341" i="92"/>
  <c r="Q325" i="92"/>
  <c r="Q286" i="92"/>
  <c r="Q324" i="92"/>
  <c r="Q363" i="92"/>
  <c r="Q299" i="92"/>
  <c r="Q336" i="92"/>
  <c r="Q279" i="92"/>
  <c r="Q284" i="92"/>
  <c r="Q10" i="92"/>
  <c r="Q18" i="92"/>
  <c r="Q26" i="92"/>
  <c r="Q33" i="92"/>
  <c r="Q41" i="92"/>
  <c r="Q13" i="92"/>
  <c r="Q22" i="92"/>
  <c r="Q34" i="92"/>
  <c r="Q12" i="92"/>
  <c r="O353" i="92"/>
  <c r="O289" i="92"/>
  <c r="O356" i="92"/>
  <c r="O628" i="92"/>
  <c r="O627" i="92"/>
  <c r="O630" i="92"/>
  <c r="O645" i="92"/>
  <c r="O593" i="92"/>
  <c r="O600" i="92"/>
  <c r="O614" i="92"/>
  <c r="O610" i="92"/>
  <c r="O586" i="92"/>
  <c r="O400" i="92"/>
  <c r="O407" i="92"/>
  <c r="O410" i="92"/>
  <c r="O412" i="92"/>
  <c r="O371" i="92"/>
  <c r="O393" i="92"/>
  <c r="O391" i="92"/>
  <c r="O389" i="92"/>
  <c r="O299" i="92"/>
  <c r="O370" i="92"/>
  <c r="O323" i="92"/>
  <c r="O648" i="92"/>
  <c r="O651" i="92"/>
  <c r="O642" i="92"/>
  <c r="O625" i="92"/>
  <c r="O617" i="92"/>
  <c r="O620" i="92"/>
  <c r="O615" i="92"/>
  <c r="O619" i="92"/>
  <c r="O618" i="92"/>
  <c r="O399" i="92"/>
  <c r="O395" i="92"/>
  <c r="O401" i="92"/>
  <c r="O396" i="92"/>
  <c r="O372" i="92"/>
  <c r="O394" i="92"/>
  <c r="O384" i="92"/>
  <c r="O374" i="92"/>
  <c r="O381" i="92"/>
  <c r="Q174" i="92"/>
  <c r="Q604" i="92"/>
  <c r="Q159" i="92"/>
  <c r="Q640" i="92"/>
  <c r="U629" i="92"/>
  <c r="U584" i="92"/>
  <c r="U577" i="92"/>
  <c r="U659" i="92"/>
  <c r="U644" i="92"/>
  <c r="U595" i="92"/>
  <c r="U598" i="92"/>
  <c r="U639" i="92"/>
  <c r="U579" i="92"/>
  <c r="U387" i="92"/>
  <c r="U407" i="92"/>
  <c r="U594" i="92"/>
  <c r="U402" i="92"/>
  <c r="U385" i="92"/>
  <c r="U519" i="92"/>
  <c r="U503" i="92"/>
  <c r="U487" i="92"/>
  <c r="U518" i="92"/>
  <c r="U502" i="92"/>
  <c r="U486" i="92"/>
  <c r="U513" i="92"/>
  <c r="U497" i="92"/>
  <c r="U481" i="92"/>
  <c r="U508" i="92"/>
  <c r="U488" i="92"/>
  <c r="U113" i="92"/>
  <c r="U268" i="92"/>
  <c r="U129" i="92"/>
  <c r="U270" i="92"/>
  <c r="U135" i="92"/>
  <c r="U126" i="92"/>
  <c r="U250" i="92"/>
  <c r="U252" i="92"/>
  <c r="U117" i="92"/>
  <c r="U120" i="92"/>
  <c r="U102" i="92"/>
  <c r="U104" i="92"/>
  <c r="U92" i="92"/>
  <c r="U269" i="92"/>
  <c r="U132" i="92"/>
  <c r="U258" i="92"/>
  <c r="U241" i="92"/>
  <c r="U247" i="92"/>
  <c r="U256" i="92"/>
  <c r="U229" i="92"/>
  <c r="U107" i="92"/>
  <c r="U119" i="92"/>
  <c r="U116" i="92"/>
  <c r="U622" i="92"/>
  <c r="U621" i="92"/>
  <c r="U404" i="92"/>
  <c r="U415" i="92"/>
  <c r="P19" i="97"/>
  <c r="V278" i="92"/>
  <c r="V289" i="92"/>
  <c r="O347" i="92"/>
  <c r="O340" i="92"/>
  <c r="O283" i="92"/>
  <c r="O360" i="92"/>
  <c r="O366" i="92"/>
  <c r="O281" i="92"/>
  <c r="O293" i="92"/>
  <c r="O660" i="92"/>
  <c r="O640" i="92"/>
  <c r="O659" i="92"/>
  <c r="O639" i="92"/>
  <c r="O666" i="92"/>
  <c r="O662" i="92"/>
  <c r="O649" i="92"/>
  <c r="O638" i="92"/>
  <c r="O629" i="92"/>
  <c r="O605" i="92"/>
  <c r="O585" i="92"/>
  <c r="O608" i="92"/>
  <c r="O588" i="92"/>
  <c r="O599" i="92"/>
  <c r="O590" i="92"/>
  <c r="O595" i="92"/>
  <c r="O308" i="92"/>
  <c r="O328" i="92"/>
  <c r="O337" i="92"/>
  <c r="O343" i="92"/>
  <c r="O325" i="92"/>
  <c r="O302" i="92"/>
  <c r="O656" i="92"/>
  <c r="O632" i="92"/>
  <c r="O655" i="92"/>
  <c r="O635" i="92"/>
  <c r="O650" i="92"/>
  <c r="O646" i="92"/>
  <c r="O641" i="92"/>
  <c r="O653" i="92"/>
  <c r="O621" i="92"/>
  <c r="O601" i="92"/>
  <c r="O577" i="92"/>
  <c r="O604" i="92"/>
  <c r="O584" i="92"/>
  <c r="O583" i="92"/>
  <c r="O582" i="92"/>
  <c r="O587" i="92"/>
  <c r="Q352" i="92"/>
  <c r="Q348" i="92"/>
  <c r="Q344" i="92"/>
  <c r="Q313" i="92"/>
  <c r="Q309" i="92"/>
  <c r="Q370" i="92"/>
  <c r="Q362" i="92"/>
  <c r="Q354" i="92"/>
  <c r="Q337" i="92"/>
  <c r="Q329" i="92"/>
  <c r="Q321" i="92"/>
  <c r="Q294" i="92"/>
  <c r="Q278" i="92"/>
  <c r="Q340" i="92"/>
  <c r="Q303" i="92"/>
  <c r="Q285" i="92"/>
  <c r="Q338" i="92"/>
  <c r="Q317" i="92"/>
  <c r="Q288" i="92"/>
  <c r="Q361" i="92"/>
  <c r="Q320" i="92"/>
  <c r="Q334" i="92"/>
  <c r="Q367" i="92"/>
  <c r="Q359" i="92"/>
  <c r="Q342" i="92"/>
  <c r="Q280" i="92"/>
  <c r="Q349" i="92"/>
  <c r="Q345" i="92"/>
  <c r="Q314" i="92"/>
  <c r="Q310" i="92"/>
  <c r="Q368" i="92"/>
  <c r="Q360" i="92"/>
  <c r="Q343" i="92"/>
  <c r="Q335" i="92"/>
  <c r="Q327" i="92"/>
  <c r="Q306" i="92"/>
  <c r="Q290" i="92"/>
  <c r="Q274" i="92"/>
  <c r="Q332" i="92"/>
  <c r="Q301" i="92"/>
  <c r="Q276" i="92"/>
  <c r="Q330" i="92"/>
  <c r="Q304" i="92"/>
  <c r="Q283" i="92"/>
  <c r="Q353" i="92"/>
  <c r="Q300" i="92"/>
  <c r="Q291" i="92"/>
  <c r="Q326" i="92"/>
  <c r="Q305" i="92"/>
  <c r="Q307" i="92"/>
  <c r="V316" i="92"/>
  <c r="V305" i="92"/>
  <c r="V273" i="92"/>
  <c r="V295" i="92"/>
  <c r="V300" i="92"/>
  <c r="V296" i="92"/>
  <c r="V297" i="92"/>
  <c r="V298" i="92"/>
  <c r="V288" i="92"/>
  <c r="V290" i="92"/>
  <c r="V303" i="92"/>
  <c r="Q642" i="92"/>
  <c r="Q655" i="92"/>
  <c r="Q623" i="92"/>
  <c r="Q636" i="92"/>
  <c r="Q649" i="92"/>
  <c r="Q614" i="92"/>
  <c r="Q582" i="92"/>
  <c r="Q155" i="92"/>
  <c r="Q607" i="92"/>
  <c r="Q180" i="92"/>
  <c r="Q148" i="92"/>
  <c r="Q600" i="92"/>
  <c r="Q173" i="92"/>
  <c r="Q141" i="92"/>
  <c r="Q597" i="92"/>
  <c r="Q170" i="92"/>
  <c r="Q138" i="92"/>
  <c r="Q576" i="92"/>
  <c r="Q662" i="92"/>
  <c r="Q630" i="92"/>
  <c r="Q643" i="92"/>
  <c r="Q656" i="92"/>
  <c r="Q624" i="92"/>
  <c r="Q637" i="92"/>
  <c r="Q602" i="92"/>
  <c r="Q175" i="92"/>
  <c r="Q143" i="92"/>
  <c r="Q595" i="92"/>
  <c r="Q168" i="92"/>
  <c r="Q620" i="92"/>
  <c r="Q588" i="92"/>
  <c r="Q161" i="92"/>
  <c r="Q617" i="92"/>
  <c r="Q585" i="92"/>
  <c r="Q158" i="92"/>
  <c r="C15" i="98"/>
  <c r="E15" i="98" s="1"/>
  <c r="F15" i="98" s="1"/>
  <c r="I15" i="98" s="1"/>
  <c r="T51" i="92"/>
  <c r="T58" i="92"/>
  <c r="T65" i="92"/>
  <c r="T73" i="92"/>
  <c r="T80" i="92"/>
  <c r="T101" i="92"/>
  <c r="T110" i="92"/>
  <c r="T118" i="92"/>
  <c r="T125" i="92"/>
  <c r="T184" i="92"/>
  <c r="T191" i="92"/>
  <c r="T199" i="92"/>
  <c r="T206" i="92"/>
  <c r="T213" i="92"/>
  <c r="T229" i="92"/>
  <c r="T236" i="92"/>
  <c r="T245" i="92"/>
  <c r="T253" i="92"/>
  <c r="T260" i="92"/>
  <c r="T83" i="92"/>
  <c r="T84" i="92"/>
  <c r="T128" i="92"/>
  <c r="T130" i="92"/>
  <c r="T132" i="92"/>
  <c r="T134" i="92"/>
  <c r="T136" i="92"/>
  <c r="T218" i="92"/>
  <c r="T221" i="92"/>
  <c r="T224" i="92"/>
  <c r="T226" i="92"/>
  <c r="T263" i="92"/>
  <c r="T265" i="92"/>
  <c r="T267" i="92"/>
  <c r="T269" i="92"/>
  <c r="T271" i="92"/>
  <c r="T86" i="92"/>
  <c r="T88" i="92"/>
  <c r="T85" i="92"/>
  <c r="T91" i="92"/>
  <c r="P20" i="97"/>
  <c r="T349" i="92"/>
  <c r="T273" i="92"/>
  <c r="T339" i="92"/>
  <c r="T280" i="92"/>
  <c r="T348" i="92"/>
  <c r="T355" i="92"/>
  <c r="T307" i="92"/>
  <c r="T362" i="92"/>
  <c r="T324" i="92"/>
  <c r="T293" i="92"/>
  <c r="T304" i="92"/>
  <c r="T347" i="92"/>
  <c r="T333" i="92"/>
  <c r="T239" i="92"/>
  <c r="T220" i="92"/>
  <c r="T212" i="92"/>
  <c r="T202" i="92"/>
  <c r="T194" i="92"/>
  <c r="T113" i="92"/>
  <c r="T108" i="92"/>
  <c r="T99" i="92"/>
  <c r="T90" i="92"/>
  <c r="T270" i="92"/>
  <c r="T268" i="92"/>
  <c r="T266" i="92"/>
  <c r="T264" i="92"/>
  <c r="T261" i="92"/>
  <c r="T259" i="92"/>
  <c r="T257" i="92"/>
  <c r="T255" i="92"/>
  <c r="T252" i="92"/>
  <c r="T250" i="92"/>
  <c r="T248" i="92"/>
  <c r="T246" i="92"/>
  <c r="T243" i="92"/>
  <c r="T242" i="92"/>
  <c r="T240" i="92"/>
  <c r="T237" i="92"/>
  <c r="T234" i="92"/>
  <c r="T232" i="92"/>
  <c r="T230" i="92"/>
  <c r="T228" i="92"/>
  <c r="T225" i="92"/>
  <c r="T223" i="92"/>
  <c r="T222" i="92"/>
  <c r="T219" i="92"/>
  <c r="T216" i="92"/>
  <c r="T214" i="92"/>
  <c r="T210" i="92"/>
  <c r="T207" i="92"/>
  <c r="T205" i="92"/>
  <c r="T201" i="92"/>
  <c r="T198" i="92"/>
  <c r="T196" i="92"/>
  <c r="T192" i="92"/>
  <c r="T189" i="92"/>
  <c r="T187" i="92"/>
  <c r="T185" i="92"/>
  <c r="T183" i="92"/>
  <c r="T135" i="92"/>
  <c r="T133" i="92"/>
  <c r="T131" i="92"/>
  <c r="T129" i="92"/>
  <c r="T126" i="92"/>
  <c r="T124" i="92"/>
  <c r="T122" i="92"/>
  <c r="T120" i="92"/>
  <c r="T117" i="92"/>
  <c r="T115" i="92"/>
  <c r="T111" i="92"/>
  <c r="T109" i="92"/>
  <c r="T106" i="92"/>
  <c r="T104" i="92"/>
  <c r="T102" i="92"/>
  <c r="T100" i="92"/>
  <c r="T97" i="92"/>
  <c r="T95" i="92"/>
  <c r="T93" i="92"/>
  <c r="T98" i="92"/>
  <c r="T96" i="92"/>
  <c r="T94" i="92"/>
  <c r="T92" i="92"/>
  <c r="T89" i="92"/>
  <c r="T87" i="92"/>
  <c r="T326" i="92"/>
  <c r="T306" i="92"/>
  <c r="T53" i="92"/>
  <c r="T60" i="92"/>
  <c r="T68" i="92"/>
  <c r="T74" i="92"/>
  <c r="T82" i="92"/>
  <c r="T107" i="92"/>
  <c r="T116" i="92"/>
  <c r="T123" i="92"/>
  <c r="T182" i="92"/>
  <c r="T190" i="92"/>
  <c r="T197" i="92"/>
  <c r="T204" i="92"/>
  <c r="T211" i="92"/>
  <c r="T227" i="92"/>
  <c r="T235" i="92"/>
  <c r="T244" i="92"/>
  <c r="T251" i="92"/>
  <c r="T258" i="92"/>
  <c r="T48" i="92"/>
  <c r="T50" i="92"/>
  <c r="T52" i="92"/>
  <c r="T356" i="92"/>
  <c r="U290" i="92"/>
  <c r="U642" i="92"/>
  <c r="U289" i="92"/>
  <c r="U300" i="92"/>
  <c r="U666" i="92"/>
  <c r="U625" i="92"/>
  <c r="U611" i="92"/>
  <c r="U609" i="92"/>
  <c r="U605" i="92"/>
  <c r="U397" i="92"/>
  <c r="U384" i="92"/>
  <c r="U374" i="92"/>
  <c r="O344" i="92"/>
  <c r="O309" i="92"/>
  <c r="O361" i="92"/>
  <c r="O336" i="92"/>
  <c r="O320" i="92"/>
  <c r="O295" i="92"/>
  <c r="O362" i="92"/>
  <c r="O305" i="92"/>
  <c r="O280" i="92"/>
  <c r="O327" i="92"/>
  <c r="O285" i="92"/>
  <c r="O358" i="92"/>
  <c r="O297" i="92"/>
  <c r="O339" i="92"/>
  <c r="O272" i="92"/>
  <c r="O284" i="92"/>
  <c r="O350" i="92"/>
  <c r="O315" i="92"/>
  <c r="O357" i="92"/>
  <c r="O332" i="92"/>
  <c r="O317" i="92"/>
  <c r="O287" i="92"/>
  <c r="O354" i="92"/>
  <c r="O298" i="92"/>
  <c r="O368" i="92"/>
  <c r="O318" i="92"/>
  <c r="O278" i="92"/>
  <c r="O333" i="92"/>
  <c r="O314" i="92"/>
  <c r="O365" i="92"/>
  <c r="O324" i="92"/>
  <c r="O279" i="92"/>
  <c r="O282" i="92"/>
  <c r="O292" i="92"/>
  <c r="O306" i="92"/>
  <c r="O277" i="92"/>
  <c r="O300" i="92"/>
  <c r="O652" i="92"/>
  <c r="O636" i="92"/>
  <c r="O663" i="92"/>
  <c r="O647" i="92"/>
  <c r="O631" i="92"/>
  <c r="O658" i="92"/>
  <c r="O626" i="92"/>
  <c r="O665" i="92"/>
  <c r="O633" i="92"/>
  <c r="O622" i="92"/>
  <c r="O661" i="92"/>
  <c r="O613" i="92"/>
  <c r="O597" i="92"/>
  <c r="O581" i="92"/>
  <c r="O612" i="92"/>
  <c r="O596" i="92"/>
  <c r="O580" i="92"/>
  <c r="O591" i="92"/>
  <c r="O598" i="92"/>
  <c r="O611" i="92"/>
  <c r="O579" i="92"/>
  <c r="O602" i="92"/>
  <c r="O414" i="92"/>
  <c r="O405" i="92"/>
  <c r="O406" i="92"/>
  <c r="O409" i="92"/>
  <c r="O411" i="92"/>
  <c r="O388" i="92"/>
  <c r="O379" i="92"/>
  <c r="O386" i="92"/>
  <c r="O392" i="92"/>
  <c r="O383" i="92"/>
  <c r="O390" i="92"/>
  <c r="I31" i="98"/>
  <c r="Q2" i="92"/>
  <c r="Q654" i="92"/>
  <c r="Q638" i="92"/>
  <c r="Q622" i="92"/>
  <c r="Q651" i="92"/>
  <c r="Q635" i="92"/>
  <c r="Q664" i="92"/>
  <c r="Q648" i="92"/>
  <c r="Q632" i="92"/>
  <c r="Q661" i="92"/>
  <c r="Q645" i="92"/>
  <c r="Q629" i="92"/>
  <c r="Q610" i="92"/>
  <c r="Q594" i="92"/>
  <c r="Q578" i="92"/>
  <c r="Q167" i="92"/>
  <c r="Q151" i="92"/>
  <c r="Q619" i="92"/>
  <c r="Q603" i="92"/>
  <c r="Q587" i="92"/>
  <c r="Q176" i="92"/>
  <c r="Q160" i="92"/>
  <c r="Q144" i="92"/>
  <c r="Q612" i="92"/>
  <c r="Q596" i="92"/>
  <c r="Q580" i="92"/>
  <c r="Q169" i="92"/>
  <c r="Q153" i="92"/>
  <c r="Q137" i="92"/>
  <c r="Q609" i="92"/>
  <c r="Q593" i="92"/>
  <c r="Q577" i="92"/>
  <c r="Q166" i="92"/>
  <c r="Q150" i="92"/>
  <c r="Q573" i="92"/>
  <c r="Q666" i="92"/>
  <c r="Q650" i="92"/>
  <c r="Q634" i="92"/>
  <c r="Q663" i="92"/>
  <c r="Q647" i="92"/>
  <c r="Q631" i="92"/>
  <c r="Q660" i="92"/>
  <c r="Q644" i="92"/>
  <c r="Q628" i="92"/>
  <c r="Q657" i="92"/>
  <c r="Q641" i="92"/>
  <c r="Q625" i="92"/>
  <c r="Q606" i="92"/>
  <c r="Q590" i="92"/>
  <c r="Q179" i="92"/>
  <c r="Q163" i="92"/>
  <c r="Q147" i="92"/>
  <c r="Q615" i="92"/>
  <c r="Q599" i="92"/>
  <c r="Q583" i="92"/>
  <c r="Q172" i="92"/>
  <c r="Q156" i="92"/>
  <c r="Q140" i="92"/>
  <c r="Q608" i="92"/>
  <c r="Q592" i="92"/>
  <c r="Q181" i="92"/>
  <c r="Q165" i="92"/>
  <c r="Q149" i="92"/>
  <c r="Q621" i="92"/>
  <c r="Q605" i="92"/>
  <c r="Q589" i="92"/>
  <c r="Q178" i="92"/>
  <c r="Q162" i="92"/>
  <c r="Q146" i="92"/>
  <c r="Q574" i="92"/>
  <c r="C32" i="98"/>
  <c r="E32" i="98" s="1"/>
  <c r="F32" i="98" s="1"/>
  <c r="F8" i="98"/>
  <c r="I8" i="98" s="1"/>
  <c r="F11" i="98"/>
  <c r="I11" i="98" s="1"/>
  <c r="U312" i="92"/>
  <c r="U313" i="92"/>
  <c r="U310" i="92"/>
  <c r="U315" i="92"/>
  <c r="U294" i="92"/>
  <c r="U278" i="92"/>
  <c r="U296" i="92"/>
  <c r="U273" i="92"/>
  <c r="U285" i="92"/>
  <c r="U297" i="92"/>
  <c r="U307" i="92"/>
  <c r="U288" i="92"/>
  <c r="U275" i="92"/>
  <c r="U663" i="92"/>
  <c r="U647" i="92"/>
  <c r="U631" i="92"/>
  <c r="U662" i="92"/>
  <c r="U646" i="92"/>
  <c r="U630" i="92"/>
  <c r="U653" i="92"/>
  <c r="U665" i="92"/>
  <c r="U652" i="92"/>
  <c r="U657" i="92"/>
  <c r="U648" i="92"/>
  <c r="U624" i="92"/>
  <c r="U608" i="92"/>
  <c r="U592" i="92"/>
  <c r="U308" i="92"/>
  <c r="U309" i="92"/>
  <c r="U302" i="92"/>
  <c r="U286" i="92"/>
  <c r="U305" i="92"/>
  <c r="U287" i="92"/>
  <c r="U299" i="92"/>
  <c r="U276" i="92"/>
  <c r="U284" i="92"/>
  <c r="U293" i="92"/>
  <c r="U279" i="92"/>
  <c r="U316" i="92"/>
  <c r="U282" i="92"/>
  <c r="U280" i="92"/>
  <c r="U304" i="92"/>
  <c r="U291" i="92"/>
  <c r="U655" i="92"/>
  <c r="U635" i="92"/>
  <c r="U658" i="92"/>
  <c r="U638" i="92"/>
  <c r="U661" i="92"/>
  <c r="U649" i="92"/>
  <c r="U636" i="92"/>
  <c r="U640" i="92"/>
  <c r="U620" i="92"/>
  <c r="U600" i="92"/>
  <c r="U580" i="92"/>
  <c r="U607" i="92"/>
  <c r="U591" i="92"/>
  <c r="U618" i="92"/>
  <c r="U586" i="92"/>
  <c r="U601" i="92"/>
  <c r="U492" i="92"/>
  <c r="U590" i="92"/>
  <c r="U589" i="92"/>
  <c r="U389" i="92"/>
  <c r="U386" i="92"/>
  <c r="U396" i="92"/>
  <c r="U410" i="92"/>
  <c r="U411" i="92"/>
  <c r="U379" i="92"/>
  <c r="U409" i="92"/>
  <c r="U377" i="92"/>
  <c r="U398" i="92"/>
  <c r="U383" i="92"/>
  <c r="U375" i="92"/>
  <c r="U314" i="92"/>
  <c r="U298" i="92"/>
  <c r="U303" i="92"/>
  <c r="U292" i="92"/>
  <c r="U272" i="92"/>
  <c r="U277" i="92"/>
  <c r="U643" i="92"/>
  <c r="U623" i="92"/>
  <c r="U650" i="92"/>
  <c r="U626" i="92"/>
  <c r="U637" i="92"/>
  <c r="U660" i="92"/>
  <c r="U641" i="92"/>
  <c r="U632" i="92"/>
  <c r="U612" i="92"/>
  <c r="U588" i="92"/>
  <c r="U615" i="92"/>
  <c r="U599" i="92"/>
  <c r="U583" i="92"/>
  <c r="U602" i="92"/>
  <c r="U617" i="92"/>
  <c r="U585" i="92"/>
  <c r="U606" i="92"/>
  <c r="U597" i="92"/>
  <c r="U581" i="92"/>
  <c r="U405" i="92"/>
  <c r="U373" i="92"/>
  <c r="U412" i="92"/>
  <c r="U380" i="92"/>
  <c r="U400" i="92"/>
  <c r="U395" i="92"/>
  <c r="U394" i="92"/>
  <c r="U393" i="92"/>
  <c r="U399" i="92"/>
  <c r="U391" i="92"/>
  <c r="U382" i="92"/>
  <c r="U306" i="92"/>
  <c r="U301" i="92"/>
  <c r="U281" i="92"/>
  <c r="U627" i="92"/>
  <c r="U634" i="92"/>
  <c r="U633" i="92"/>
  <c r="U664" i="92"/>
  <c r="U596" i="92"/>
  <c r="U603" i="92"/>
  <c r="U610" i="92"/>
  <c r="U593" i="92"/>
  <c r="U582" i="92"/>
  <c r="U413" i="92"/>
  <c r="U376" i="92"/>
  <c r="U378" i="92"/>
  <c r="U371" i="92"/>
  <c r="U408" i="92"/>
  <c r="U414" i="92"/>
  <c r="U311" i="92"/>
  <c r="U274" i="92"/>
  <c r="U295" i="92"/>
  <c r="U651" i="92"/>
  <c r="U654" i="92"/>
  <c r="U645" i="92"/>
  <c r="U628" i="92"/>
  <c r="U616" i="92"/>
  <c r="U619" i="92"/>
  <c r="U587" i="92"/>
  <c r="U578" i="92"/>
  <c r="U614" i="92"/>
  <c r="U613" i="92"/>
  <c r="U381" i="92"/>
  <c r="U388" i="92"/>
  <c r="U403" i="92"/>
  <c r="U401" i="92"/>
  <c r="U390" i="92"/>
  <c r="U406" i="92"/>
  <c r="T272" i="92"/>
  <c r="T350" i="92"/>
  <c r="T314" i="92"/>
  <c r="T344" i="92"/>
  <c r="T352" i="92"/>
  <c r="T363" i="92"/>
  <c r="T338" i="92"/>
  <c r="T322" i="92"/>
  <c r="T297" i="92"/>
  <c r="T281" i="92"/>
  <c r="T353" i="92"/>
  <c r="T295" i="92"/>
  <c r="T343" i="92"/>
  <c r="T290" i="92"/>
  <c r="T291" i="92"/>
  <c r="T319" i="92"/>
  <c r="T366" i="92"/>
  <c r="T341" i="92"/>
  <c r="T325" i="92"/>
  <c r="T300" i="92"/>
  <c r="T284" i="92"/>
  <c r="T340" i="92"/>
  <c r="T287" i="92"/>
  <c r="T345" i="92"/>
  <c r="T311" i="92"/>
  <c r="T310" i="92"/>
  <c r="T359" i="92"/>
  <c r="T330" i="92"/>
  <c r="T301" i="92"/>
  <c r="T277" i="92"/>
  <c r="T328" i="92"/>
  <c r="T360" i="92"/>
  <c r="T274" i="92"/>
  <c r="T364" i="92"/>
  <c r="T370" i="92"/>
  <c r="T337" i="92"/>
  <c r="T317" i="92"/>
  <c r="T288" i="92"/>
  <c r="T332" i="92"/>
  <c r="T335" i="92"/>
  <c r="T299" i="92"/>
  <c r="T282" i="92"/>
  <c r="T313" i="92"/>
  <c r="T308" i="92"/>
  <c r="T309" i="92"/>
  <c r="T315" i="92"/>
  <c r="T342" i="92"/>
  <c r="T318" i="92"/>
  <c r="T289" i="92"/>
  <c r="T365" i="92"/>
  <c r="T283" i="92"/>
  <c r="T323" i="92"/>
  <c r="T320" i="92"/>
  <c r="T294" i="92"/>
  <c r="T358" i="92"/>
  <c r="T329" i="92"/>
  <c r="T296" i="92"/>
  <c r="T276" i="92"/>
  <c r="T303" i="92"/>
  <c r="T286" i="92"/>
  <c r="T327" i="92"/>
  <c r="T346" i="92"/>
  <c r="T351" i="92"/>
  <c r="T334" i="92"/>
  <c r="T285" i="92"/>
  <c r="T275" i="92"/>
  <c r="T279" i="92"/>
  <c r="T354" i="92"/>
  <c r="T292" i="92"/>
  <c r="T368" i="92"/>
  <c r="T298" i="92"/>
  <c r="T312" i="92"/>
  <c r="T367" i="92"/>
  <c r="T305" i="92"/>
  <c r="T336" i="92"/>
  <c r="T302" i="92"/>
  <c r="T278" i="92"/>
  <c r="T321" i="92"/>
  <c r="T369" i="92"/>
  <c r="T361" i="92"/>
  <c r="V315" i="92"/>
  <c r="V314" i="92"/>
  <c r="V311" i="92"/>
  <c r="V310" i="92"/>
  <c r="V293" i="92"/>
  <c r="V277" i="92"/>
  <c r="V292" i="92"/>
  <c r="V304" i="92"/>
  <c r="V279" i="92"/>
  <c r="V306" i="92"/>
  <c r="V302" i="92"/>
  <c r="V274" i="92"/>
  <c r="V284" i="92"/>
  <c r="V312" i="92"/>
  <c r="V308" i="92"/>
  <c r="V301" i="92"/>
  <c r="V285" i="92"/>
  <c r="V299" i="92"/>
  <c r="V282" i="92"/>
  <c r="V294" i="92"/>
  <c r="V272" i="92"/>
  <c r="V291" i="92"/>
  <c r="V286" i="92"/>
  <c r="V275" i="92"/>
  <c r="I7" i="98"/>
  <c r="O348" i="92"/>
  <c r="O346" i="92"/>
  <c r="O310" i="92"/>
  <c r="O345" i="92"/>
  <c r="O351" i="92"/>
  <c r="O311" i="92"/>
  <c r="O312" i="92"/>
  <c r="O352" i="92"/>
  <c r="O363" i="92"/>
  <c r="O355" i="92"/>
  <c r="O338" i="92"/>
  <c r="O330" i="92"/>
  <c r="O322" i="92"/>
  <c r="O307" i="92"/>
  <c r="O291" i="92"/>
  <c r="O275" i="92"/>
  <c r="O329" i="92"/>
  <c r="O296" i="92"/>
  <c r="O273" i="92"/>
  <c r="O335" i="92"/>
  <c r="O294" i="92"/>
  <c r="O276" i="92"/>
  <c r="O341" i="92"/>
  <c r="O304" i="92"/>
  <c r="O288" i="92"/>
  <c r="O331" i="92"/>
  <c r="O364" i="92"/>
  <c r="O286" i="92"/>
  <c r="O349" i="92"/>
  <c r="O316" i="92"/>
  <c r="O313" i="92"/>
  <c r="O367" i="92"/>
  <c r="O359" i="92"/>
  <c r="O342" i="92"/>
  <c r="O334" i="92"/>
  <c r="O326" i="92"/>
  <c r="O319" i="92"/>
  <c r="J68" i="112" l="1"/>
  <c r="J67" i="112"/>
  <c r="J46" i="72"/>
  <c r="K52" i="112"/>
  <c r="K46" i="72"/>
  <c r="K43" i="72" s="1"/>
  <c r="H43" i="72" s="1"/>
  <c r="J13" i="101"/>
  <c r="L44" i="101"/>
  <c r="K13" i="95"/>
  <c r="J33" i="95"/>
  <c r="K53" i="101"/>
  <c r="K52" i="101" s="1"/>
  <c r="G9" i="95"/>
  <c r="S20" i="104" s="1"/>
  <c r="H13" i="101"/>
  <c r="K68" i="96"/>
  <c r="J68" i="96"/>
  <c r="J51" i="112"/>
  <c r="K33" i="95"/>
  <c r="L15" i="101"/>
  <c r="K14" i="72"/>
  <c r="J18" i="72"/>
  <c r="I22" i="72"/>
  <c r="I10" i="72" s="1"/>
  <c r="G10" i="72"/>
  <c r="S19" i="104" s="1"/>
  <c r="O30" i="97"/>
  <c r="P30" i="97"/>
  <c r="P28" i="97"/>
  <c r="O28" i="97"/>
  <c r="N14" i="97"/>
  <c r="L12" i="97"/>
  <c r="R71" i="111"/>
  <c r="R71" i="115"/>
  <c r="R94" i="111"/>
  <c r="K65" i="112"/>
  <c r="K37" i="112"/>
  <c r="J66" i="96"/>
  <c r="K93" i="96"/>
  <c r="J38" i="96"/>
  <c r="K38" i="96"/>
  <c r="J100" i="96"/>
  <c r="J66" i="112"/>
  <c r="O12" i="71"/>
  <c r="C71" i="71" s="1"/>
  <c r="J16" i="96"/>
  <c r="J61" i="96"/>
  <c r="G81" i="112"/>
  <c r="H81" i="112" s="1"/>
  <c r="J26" i="96"/>
  <c r="K30" i="96"/>
  <c r="J77" i="96"/>
  <c r="J74" i="96"/>
  <c r="K57" i="96"/>
  <c r="K91" i="96"/>
  <c r="I84" i="96"/>
  <c r="G56" i="112"/>
  <c r="H56" i="112" s="1"/>
  <c r="J82" i="96"/>
  <c r="J62" i="96"/>
  <c r="K54" i="112"/>
  <c r="J18" i="96"/>
  <c r="AD386" i="92"/>
  <c r="AD284" i="92"/>
  <c r="L332" i="92"/>
  <c r="H408" i="92"/>
  <c r="AD343" i="92"/>
  <c r="H411" i="92"/>
  <c r="AD381" i="92"/>
  <c r="H575" i="92"/>
  <c r="H398" i="92"/>
  <c r="K17" i="112"/>
  <c r="R24" i="111"/>
  <c r="R25" i="111" s="1"/>
  <c r="R3" i="111" s="1"/>
  <c r="V5" i="111" s="1"/>
  <c r="R47" i="115"/>
  <c r="R48" i="115" s="1"/>
  <c r="K45" i="72"/>
  <c r="K15" i="96"/>
  <c r="R47" i="111"/>
  <c r="R48" i="111" s="1"/>
  <c r="R24" i="115"/>
  <c r="R25" i="115" s="1"/>
  <c r="J19" i="96"/>
  <c r="K21" i="101"/>
  <c r="K13" i="101" s="1"/>
  <c r="J65" i="96"/>
  <c r="I70" i="112"/>
  <c r="G70" i="112"/>
  <c r="H70" i="112" s="1"/>
  <c r="J22" i="96"/>
  <c r="J27" i="96"/>
  <c r="K88" i="96"/>
  <c r="J71" i="112"/>
  <c r="J76" i="96"/>
  <c r="J86" i="96"/>
  <c r="K72" i="96"/>
  <c r="K59" i="96"/>
  <c r="J92" i="96"/>
  <c r="K63" i="96"/>
  <c r="K23" i="96"/>
  <c r="K39" i="96"/>
  <c r="G33" i="112"/>
  <c r="H33" i="112" s="1"/>
  <c r="K28" i="96"/>
  <c r="J67" i="96"/>
  <c r="K31" i="96"/>
  <c r="K32" i="96"/>
  <c r="K78" i="96"/>
  <c r="J78" i="96"/>
  <c r="K20" i="96"/>
  <c r="J20" i="96"/>
  <c r="K64" i="96"/>
  <c r="J64" i="96"/>
  <c r="K81" i="96"/>
  <c r="K90" i="96"/>
  <c r="J75" i="96"/>
  <c r="K75" i="96"/>
  <c r="J75" i="112"/>
  <c r="K75" i="112"/>
  <c r="K70" i="112" s="1"/>
  <c r="J73" i="96"/>
  <c r="K73" i="96"/>
  <c r="K21" i="96"/>
  <c r="J21" i="96"/>
  <c r="J42" i="112"/>
  <c r="K42" i="112"/>
  <c r="K24" i="112"/>
  <c r="J24" i="112"/>
  <c r="G13" i="96"/>
  <c r="I14" i="96"/>
  <c r="J60" i="96"/>
  <c r="K60" i="96"/>
  <c r="J101" i="96"/>
  <c r="K101" i="96"/>
  <c r="I13" i="112"/>
  <c r="J14" i="112"/>
  <c r="K14" i="112"/>
  <c r="I33" i="112"/>
  <c r="K58" i="96"/>
  <c r="J58" i="96"/>
  <c r="K71" i="96"/>
  <c r="J71" i="96"/>
  <c r="I70" i="96"/>
  <c r="K46" i="112"/>
  <c r="J46" i="112"/>
  <c r="J87" i="112"/>
  <c r="K87" i="112"/>
  <c r="K81" i="112" s="1"/>
  <c r="G13" i="112"/>
  <c r="H13" i="112" s="1"/>
  <c r="G84" i="96"/>
  <c r="J24" i="95"/>
  <c r="J23" i="95" s="1"/>
  <c r="I23" i="95"/>
  <c r="K24" i="95"/>
  <c r="K23" i="95" s="1"/>
  <c r="J14" i="95"/>
  <c r="K14" i="95"/>
  <c r="I12" i="95"/>
  <c r="J45" i="95"/>
  <c r="J44" i="95" s="1"/>
  <c r="I44" i="95"/>
  <c r="K45" i="95"/>
  <c r="K44" i="95" s="1"/>
  <c r="H44" i="95" s="1"/>
  <c r="G34" i="96"/>
  <c r="J29" i="96"/>
  <c r="K29" i="96"/>
  <c r="I95" i="96"/>
  <c r="G95" i="96"/>
  <c r="K89" i="96"/>
  <c r="J89" i="96"/>
  <c r="K87" i="96"/>
  <c r="J87" i="96"/>
  <c r="K57" i="112"/>
  <c r="J57" i="112"/>
  <c r="I56" i="112"/>
  <c r="J24" i="96"/>
  <c r="K24" i="96"/>
  <c r="K28" i="112"/>
  <c r="J28" i="112"/>
  <c r="G70" i="96"/>
  <c r="H33" i="95"/>
  <c r="I81" i="112"/>
  <c r="K97" i="96"/>
  <c r="J97" i="96"/>
  <c r="J83" i="112"/>
  <c r="C93" i="112" s="1"/>
  <c r="I53" i="95"/>
  <c r="K54" i="95"/>
  <c r="K53" i="95" s="1"/>
  <c r="J54" i="95"/>
  <c r="J53" i="95" s="1"/>
  <c r="J52" i="101"/>
  <c r="L54" i="101"/>
  <c r="L52" i="101" s="1"/>
  <c r="J45" i="72"/>
  <c r="P35" i="97"/>
  <c r="O35" i="97"/>
  <c r="K58" i="71"/>
  <c r="K56" i="71" s="1"/>
  <c r="I56" i="71"/>
  <c r="J58" i="71"/>
  <c r="J56" i="71" s="1"/>
  <c r="AD346" i="92"/>
  <c r="AD300" i="92"/>
  <c r="AD347" i="92"/>
  <c r="AD260" i="92"/>
  <c r="J539" i="92"/>
  <c r="E539" i="92" s="1"/>
  <c r="AD314" i="92"/>
  <c r="I411" i="92"/>
  <c r="H391" i="92"/>
  <c r="H392" i="92"/>
  <c r="AD344" i="92"/>
  <c r="AD311" i="92"/>
  <c r="K504" i="92"/>
  <c r="AD214" i="92"/>
  <c r="AD350" i="92"/>
  <c r="AD355" i="92"/>
  <c r="J547" i="92"/>
  <c r="E547" i="92" s="1"/>
  <c r="J544" i="92"/>
  <c r="E544" i="92" s="1"/>
  <c r="H390" i="92"/>
  <c r="K484" i="92"/>
  <c r="AD82" i="92"/>
  <c r="AD352" i="92"/>
  <c r="AD313" i="92"/>
  <c r="I375" i="92"/>
  <c r="J543" i="92"/>
  <c r="E543" i="92" s="1"/>
  <c r="H393" i="92"/>
  <c r="AD126" i="92"/>
  <c r="AD339" i="92"/>
  <c r="K485" i="92"/>
  <c r="I388" i="92"/>
  <c r="AD297" i="92"/>
  <c r="K456" i="92"/>
  <c r="E456" i="92" s="1"/>
  <c r="K505" i="92"/>
  <c r="AD336" i="92"/>
  <c r="I384" i="92"/>
  <c r="AB570" i="92"/>
  <c r="AD293" i="92"/>
  <c r="K440" i="92"/>
  <c r="E440" i="92" s="1"/>
  <c r="I385" i="92"/>
  <c r="K454" i="92"/>
  <c r="E454" i="92" s="1"/>
  <c r="K499" i="92"/>
  <c r="I373" i="92"/>
  <c r="AD367" i="92"/>
  <c r="H386" i="92"/>
  <c r="AD117" i="92"/>
  <c r="AD73" i="92"/>
  <c r="I412" i="92"/>
  <c r="AD337" i="92"/>
  <c r="AD304" i="92"/>
  <c r="I409" i="92"/>
  <c r="I394" i="92"/>
  <c r="K500" i="92"/>
  <c r="K502" i="92"/>
  <c r="J545" i="92"/>
  <c r="E545" i="92" s="1"/>
  <c r="AD601" i="92"/>
  <c r="K503" i="92"/>
  <c r="H377" i="92"/>
  <c r="H582" i="92"/>
  <c r="H383" i="92"/>
  <c r="AD130" i="92"/>
  <c r="AD596" i="92"/>
  <c r="AD157" i="92"/>
  <c r="L72" i="92"/>
  <c r="H337" i="92"/>
  <c r="K450" i="92"/>
  <c r="E450" i="92" s="1"/>
  <c r="AD382" i="92"/>
  <c r="H199" i="92"/>
  <c r="H399" i="92"/>
  <c r="H308" i="92"/>
  <c r="AD20" i="92"/>
  <c r="AD598" i="92"/>
  <c r="AD22" i="92"/>
  <c r="AD220" i="92"/>
  <c r="H591" i="92"/>
  <c r="H376" i="92"/>
  <c r="K489" i="92"/>
  <c r="AD225" i="92"/>
  <c r="K451" i="92"/>
  <c r="E451" i="92" s="1"/>
  <c r="K510" i="92"/>
  <c r="AD385" i="92"/>
  <c r="AD163" i="92"/>
  <c r="AD160" i="92"/>
  <c r="H295" i="92"/>
  <c r="H607" i="92"/>
  <c r="AD222" i="92"/>
  <c r="H413" i="92"/>
  <c r="AD363" i="92"/>
  <c r="W69" i="92"/>
  <c r="H348" i="92"/>
  <c r="K488" i="92"/>
  <c r="AD25" i="92"/>
  <c r="AD159" i="92"/>
  <c r="AD155" i="92"/>
  <c r="AD26" i="92"/>
  <c r="AD156" i="92"/>
  <c r="AD27" i="92"/>
  <c r="AD645" i="92"/>
  <c r="L344" i="92"/>
  <c r="K492" i="92"/>
  <c r="H165" i="92"/>
  <c r="H610" i="92"/>
  <c r="K476" i="92"/>
  <c r="E476" i="92" s="1"/>
  <c r="H372" i="92"/>
  <c r="H378" i="92"/>
  <c r="H402" i="92"/>
  <c r="H305" i="92"/>
  <c r="H288" i="92"/>
  <c r="AD63" i="92"/>
  <c r="AD365" i="92"/>
  <c r="AD388" i="92"/>
  <c r="AD646" i="92"/>
  <c r="AD162" i="92"/>
  <c r="AD384" i="92"/>
  <c r="AD648" i="92"/>
  <c r="H593" i="92"/>
  <c r="H248" i="92"/>
  <c r="H361" i="92"/>
  <c r="H588" i="92"/>
  <c r="H400" i="92"/>
  <c r="H407" i="92"/>
  <c r="W26" i="92"/>
  <c r="W646" i="92"/>
  <c r="L109" i="92"/>
  <c r="AD291" i="92"/>
  <c r="K435" i="92"/>
  <c r="E435" i="92" s="1"/>
  <c r="K480" i="92"/>
  <c r="I392" i="92"/>
  <c r="I414" i="92"/>
  <c r="AD341" i="92"/>
  <c r="W602" i="92"/>
  <c r="K458" i="92"/>
  <c r="E458" i="92" s="1"/>
  <c r="K460" i="92"/>
  <c r="E460" i="92" s="1"/>
  <c r="K453" i="92"/>
  <c r="E453" i="92" s="1"/>
  <c r="K497" i="92"/>
  <c r="W647" i="92"/>
  <c r="K459" i="92"/>
  <c r="E459" i="92" s="1"/>
  <c r="K498" i="92"/>
  <c r="K481" i="92"/>
  <c r="L302" i="92"/>
  <c r="H384" i="92"/>
  <c r="AD247" i="92"/>
  <c r="I413" i="92"/>
  <c r="L107" i="92"/>
  <c r="AD70" i="92"/>
  <c r="I391" i="92"/>
  <c r="AD205" i="92"/>
  <c r="W342" i="92"/>
  <c r="W115" i="92"/>
  <c r="AD338" i="92"/>
  <c r="K482" i="92"/>
  <c r="I398" i="92"/>
  <c r="I371" i="92"/>
  <c r="I415" i="92"/>
  <c r="AD335" i="92"/>
  <c r="K452" i="92"/>
  <c r="E452" i="92" s="1"/>
  <c r="K455" i="92"/>
  <c r="E455" i="92" s="1"/>
  <c r="I378" i="92"/>
  <c r="K501" i="92"/>
  <c r="AD68" i="92"/>
  <c r="AD246" i="92"/>
  <c r="I34" i="98"/>
  <c r="AD390" i="92" s="1"/>
  <c r="J568" i="92"/>
  <c r="E568" i="92" s="1"/>
  <c r="J561" i="92"/>
  <c r="E561" i="92" s="1"/>
  <c r="J567" i="92"/>
  <c r="E567" i="92" s="1"/>
  <c r="J563" i="92"/>
  <c r="E563" i="92" s="1"/>
  <c r="J560" i="92"/>
  <c r="E560" i="92" s="1"/>
  <c r="J565" i="92"/>
  <c r="E565" i="92" s="1"/>
  <c r="J562" i="92"/>
  <c r="E562" i="92" s="1"/>
  <c r="J566" i="92"/>
  <c r="E566" i="92" s="1"/>
  <c r="F42" i="98"/>
  <c r="I42" i="98" s="1"/>
  <c r="J558" i="92"/>
  <c r="E558" i="92" s="1"/>
  <c r="J557" i="92"/>
  <c r="E557" i="92" s="1"/>
  <c r="J551" i="92"/>
  <c r="E551" i="92" s="1"/>
  <c r="J555" i="92"/>
  <c r="E555" i="92" s="1"/>
  <c r="J554" i="92"/>
  <c r="E554" i="92" s="1"/>
  <c r="W290" i="92"/>
  <c r="W341" i="92"/>
  <c r="W382" i="92"/>
  <c r="W381" i="92"/>
  <c r="W643" i="92"/>
  <c r="J556" i="92"/>
  <c r="E556" i="92" s="1"/>
  <c r="W163" i="92"/>
  <c r="W343" i="92"/>
  <c r="L252" i="92"/>
  <c r="L308" i="92"/>
  <c r="W251" i="92"/>
  <c r="W25" i="92"/>
  <c r="L272" i="92"/>
  <c r="L282" i="92"/>
  <c r="L135" i="92"/>
  <c r="L248" i="92"/>
  <c r="W162" i="92"/>
  <c r="W28" i="92"/>
  <c r="L256" i="92"/>
  <c r="L92" i="92"/>
  <c r="W337" i="92"/>
  <c r="W155" i="92"/>
  <c r="W388" i="92"/>
  <c r="W293" i="92"/>
  <c r="J559" i="92"/>
  <c r="E559" i="92" s="1"/>
  <c r="W384" i="92"/>
  <c r="L276" i="92"/>
  <c r="L283" i="92"/>
  <c r="L263" i="92"/>
  <c r="W383" i="92"/>
  <c r="L130" i="92"/>
  <c r="L265" i="92"/>
  <c r="L105" i="92"/>
  <c r="L101" i="92"/>
  <c r="L243" i="92"/>
  <c r="L264" i="92"/>
  <c r="L258" i="92"/>
  <c r="L269" i="92"/>
  <c r="L278" i="92"/>
  <c r="L253" i="92"/>
  <c r="L230" i="92"/>
  <c r="L235" i="92"/>
  <c r="L111" i="92"/>
  <c r="L99" i="92"/>
  <c r="L236" i="92"/>
  <c r="L262" i="92"/>
  <c r="L100" i="92"/>
  <c r="L266" i="92"/>
  <c r="L127" i="92"/>
  <c r="L249" i="92"/>
  <c r="L271" i="92"/>
  <c r="L232" i="92"/>
  <c r="L234" i="92"/>
  <c r="L297" i="92"/>
  <c r="L279" i="92"/>
  <c r="L273" i="92"/>
  <c r="L285" i="92"/>
  <c r="L280" i="92"/>
  <c r="L316" i="92"/>
  <c r="L286" i="92"/>
  <c r="L108" i="92"/>
  <c r="L228" i="92"/>
  <c r="L97" i="92"/>
  <c r="L313" i="92"/>
  <c r="L307" i="92"/>
  <c r="L125" i="92"/>
  <c r="L117" i="92"/>
  <c r="L311" i="92"/>
  <c r="L96" i="92"/>
  <c r="L112" i="92"/>
  <c r="L95" i="92"/>
  <c r="L227" i="92"/>
  <c r="L267" i="92"/>
  <c r="L240" i="92"/>
  <c r="L118" i="92"/>
  <c r="L231" i="92"/>
  <c r="L102" i="92"/>
  <c r="L255" i="92"/>
  <c r="L312" i="92"/>
  <c r="L314" i="92"/>
  <c r="L301" i="92"/>
  <c r="L292" i="92"/>
  <c r="L300" i="92"/>
  <c r="L239" i="92"/>
  <c r="L131" i="92"/>
  <c r="L93" i="92"/>
  <c r="L295" i="92"/>
  <c r="L310" i="92"/>
  <c r="L120" i="92"/>
  <c r="L270" i="92"/>
  <c r="L268" i="92"/>
  <c r="L123" i="92"/>
  <c r="L104" i="92"/>
  <c r="L241" i="92"/>
  <c r="L259" i="92"/>
  <c r="L116" i="92"/>
  <c r="L245" i="92"/>
  <c r="L94" i="92"/>
  <c r="L250" i="92"/>
  <c r="L290" i="92"/>
  <c r="L110" i="92"/>
  <c r="L251" i="92"/>
  <c r="L106" i="92"/>
  <c r="L237" i="92"/>
  <c r="L293" i="92"/>
  <c r="L291" i="92"/>
  <c r="L306" i="92"/>
  <c r="L304" i="92"/>
  <c r="L274" i="92"/>
  <c r="L126" i="92"/>
  <c r="L257" i="92"/>
  <c r="L98" i="92"/>
  <c r="L275" i="92"/>
  <c r="L315" i="92"/>
  <c r="L229" i="92"/>
  <c r="L114" i="92"/>
  <c r="L277" i="92"/>
  <c r="L247" i="92"/>
  <c r="L242" i="92"/>
  <c r="L303" i="92"/>
  <c r="L132" i="92"/>
  <c r="L133" i="92"/>
  <c r="L119" i="92"/>
  <c r="L233" i="92"/>
  <c r="L122" i="92"/>
  <c r="L113" i="92"/>
  <c r="L260" i="92"/>
  <c r="L134" i="92"/>
  <c r="L124" i="92"/>
  <c r="L298" i="92"/>
  <c r="L288" i="92"/>
  <c r="L284" i="92"/>
  <c r="L294" i="92"/>
  <c r="L299" i="92"/>
  <c r="L246" i="92"/>
  <c r="L115" i="92"/>
  <c r="L305" i="92"/>
  <c r="L287" i="92"/>
  <c r="K463" i="92"/>
  <c r="E463" i="92" s="1"/>
  <c r="K467" i="92"/>
  <c r="E467" i="92" s="1"/>
  <c r="K469" i="92"/>
  <c r="E469" i="92" s="1"/>
  <c r="K461" i="92"/>
  <c r="E461" i="92" s="1"/>
  <c r="F43" i="98"/>
  <c r="I43" i="98" s="1"/>
  <c r="W20" i="92"/>
  <c r="W208" i="92"/>
  <c r="W160" i="92"/>
  <c r="W245" i="92"/>
  <c r="W112" i="92"/>
  <c r="W157" i="92"/>
  <c r="W72" i="92"/>
  <c r="W201" i="92"/>
  <c r="W250" i="92"/>
  <c r="W603" i="92"/>
  <c r="W247" i="92"/>
  <c r="W205" i="92"/>
  <c r="W596" i="92"/>
  <c r="W253" i="92"/>
  <c r="W21" i="92"/>
  <c r="W207" i="92"/>
  <c r="W158" i="92"/>
  <c r="W202" i="92"/>
  <c r="W645" i="92"/>
  <c r="W204" i="92"/>
  <c r="W597" i="92"/>
  <c r="W65" i="92"/>
  <c r="W110" i="92"/>
  <c r="W66" i="92"/>
  <c r="W380" i="92"/>
  <c r="W206" i="92"/>
  <c r="W385" i="92"/>
  <c r="W161" i="92"/>
  <c r="W291" i="92"/>
  <c r="W640" i="92"/>
  <c r="W156" i="92"/>
  <c r="W336" i="92"/>
  <c r="W598" i="92"/>
  <c r="W387" i="92"/>
  <c r="W296" i="92"/>
  <c r="W338" i="92"/>
  <c r="W117" i="92"/>
  <c r="W73" i="92"/>
  <c r="W70" i="92"/>
  <c r="W386" i="92"/>
  <c r="W116" i="92"/>
  <c r="W292" i="92"/>
  <c r="W23" i="92"/>
  <c r="W118" i="92"/>
  <c r="W111" i="92"/>
  <c r="W642" i="92"/>
  <c r="W27" i="92"/>
  <c r="W248" i="92"/>
  <c r="W644" i="92"/>
  <c r="W335" i="92"/>
  <c r="W599" i="92"/>
  <c r="W159" i="92"/>
  <c r="W641" i="92"/>
  <c r="W600" i="92"/>
  <c r="W297" i="92"/>
  <c r="W295" i="92"/>
  <c r="W252" i="92"/>
  <c r="W246" i="92"/>
  <c r="W200" i="92"/>
  <c r="W24" i="92"/>
  <c r="W648" i="92"/>
  <c r="W68" i="92"/>
  <c r="W203" i="92"/>
  <c r="W113" i="92"/>
  <c r="W339" i="92"/>
  <c r="W71" i="92"/>
  <c r="W114" i="92"/>
  <c r="W67" i="92"/>
  <c r="W294" i="92"/>
  <c r="L309" i="92"/>
  <c r="W298" i="92"/>
  <c r="W595" i="92"/>
  <c r="W601" i="92"/>
  <c r="W340" i="92"/>
  <c r="K513" i="92"/>
  <c r="J552" i="92"/>
  <c r="E552" i="92" s="1"/>
  <c r="L281" i="92"/>
  <c r="L289" i="92"/>
  <c r="L254" i="92"/>
  <c r="L121" i="92"/>
  <c r="L103" i="92"/>
  <c r="L244" i="92"/>
  <c r="W249" i="92"/>
  <c r="J532" i="92"/>
  <c r="E532" i="92" s="1"/>
  <c r="J526" i="92"/>
  <c r="E526" i="92" s="1"/>
  <c r="J524" i="92"/>
  <c r="E524" i="92" s="1"/>
  <c r="AD134" i="92"/>
  <c r="AD88" i="92"/>
  <c r="K445" i="92"/>
  <c r="E445" i="92" s="1"/>
  <c r="K494" i="92"/>
  <c r="AD21" i="92"/>
  <c r="AD640" i="92"/>
  <c r="AD600" i="92"/>
  <c r="AD387" i="92"/>
  <c r="AD642" i="92"/>
  <c r="AD158" i="92"/>
  <c r="AD383" i="92"/>
  <c r="AD599" i="92"/>
  <c r="AD641" i="92"/>
  <c r="AD603" i="92"/>
  <c r="AD28" i="92"/>
  <c r="AD602" i="92"/>
  <c r="H409" i="92"/>
  <c r="H410" i="92"/>
  <c r="H374" i="92"/>
  <c r="H415" i="92"/>
  <c r="H404" i="92"/>
  <c r="H403" i="92"/>
  <c r="H406" i="92"/>
  <c r="H401" i="92"/>
  <c r="H231" i="92"/>
  <c r="H287" i="92"/>
  <c r="H214" i="92"/>
  <c r="H164" i="92"/>
  <c r="H206" i="92"/>
  <c r="AD229" i="92"/>
  <c r="AD231" i="92"/>
  <c r="L57" i="92"/>
  <c r="L369" i="92"/>
  <c r="L355" i="92"/>
  <c r="L358" i="92"/>
  <c r="AB572" i="92"/>
  <c r="K443" i="92"/>
  <c r="E443" i="92" s="1"/>
  <c r="L343" i="92"/>
  <c r="AD597" i="92"/>
  <c r="AD647" i="92"/>
  <c r="AD380" i="92"/>
  <c r="AD644" i="92"/>
  <c r="AD23" i="92"/>
  <c r="AD643" i="92"/>
  <c r="AD24" i="92"/>
  <c r="AD161" i="92"/>
  <c r="L90" i="92"/>
  <c r="H373" i="92"/>
  <c r="AD224" i="92"/>
  <c r="H339" i="92"/>
  <c r="H281" i="92"/>
  <c r="AD91" i="92"/>
  <c r="AD362" i="92"/>
  <c r="H371" i="92"/>
  <c r="H414" i="92"/>
  <c r="H412" i="92"/>
  <c r="H379" i="92"/>
  <c r="AD278" i="92"/>
  <c r="H405" i="92"/>
  <c r="L363" i="92"/>
  <c r="L364" i="92"/>
  <c r="L78" i="92"/>
  <c r="L194" i="92"/>
  <c r="H203" i="92"/>
  <c r="AD237" i="92"/>
  <c r="AD238" i="92"/>
  <c r="AD53" i="92"/>
  <c r="AD98" i="92"/>
  <c r="AD228" i="92"/>
  <c r="AD60" i="92"/>
  <c r="AD234" i="92"/>
  <c r="AD187" i="92"/>
  <c r="AD241" i="92"/>
  <c r="AD51" i="92"/>
  <c r="AD106" i="92"/>
  <c r="AD190" i="92"/>
  <c r="AD54" i="92"/>
  <c r="AD64" i="92"/>
  <c r="AD50" i="92"/>
  <c r="AD96" i="92"/>
  <c r="AD325" i="92"/>
  <c r="AD93" i="92"/>
  <c r="AD320" i="92"/>
  <c r="AD101" i="92"/>
  <c r="AD333" i="92"/>
  <c r="AD285" i="92"/>
  <c r="AD280" i="92"/>
  <c r="AD329" i="92"/>
  <c r="AD331" i="92"/>
  <c r="AD274" i="92"/>
  <c r="AD282" i="92"/>
  <c r="AD199" i="92"/>
  <c r="AD281" i="92"/>
  <c r="AD276" i="92"/>
  <c r="AD288" i="92"/>
  <c r="AD318" i="92"/>
  <c r="AD323" i="92"/>
  <c r="AD103" i="92"/>
  <c r="AD62" i="92"/>
  <c r="AD239" i="92"/>
  <c r="AD196" i="92"/>
  <c r="AD104" i="92"/>
  <c r="AD286" i="92"/>
  <c r="AD275" i="92"/>
  <c r="L219" i="92"/>
  <c r="L87" i="92"/>
  <c r="L214" i="92"/>
  <c r="L55" i="92"/>
  <c r="L203" i="92"/>
  <c r="L59" i="92"/>
  <c r="L53" i="92"/>
  <c r="L190" i="92"/>
  <c r="L221" i="92"/>
  <c r="L71" i="92"/>
  <c r="L195" i="92"/>
  <c r="L226" i="92"/>
  <c r="L70" i="92"/>
  <c r="L222" i="92"/>
  <c r="L66" i="92"/>
  <c r="L224" i="92"/>
  <c r="L49" i="92"/>
  <c r="L200" i="92"/>
  <c r="L89" i="92"/>
  <c r="L201" i="92"/>
  <c r="L318" i="92"/>
  <c r="L209" i="92"/>
  <c r="L64" i="92"/>
  <c r="L225" i="92"/>
  <c r="L217" i="92"/>
  <c r="L80" i="92"/>
  <c r="L81" i="92"/>
  <c r="L60" i="92"/>
  <c r="L69" i="92"/>
  <c r="L186" i="92"/>
  <c r="L52" i="92"/>
  <c r="L220" i="92"/>
  <c r="L51" i="92"/>
  <c r="L199" i="92"/>
  <c r="L207" i="92"/>
  <c r="L67" i="92"/>
  <c r="L65" i="92"/>
  <c r="L213" i="92"/>
  <c r="L77" i="92"/>
  <c r="L189" i="92"/>
  <c r="L329" i="92"/>
  <c r="L370" i="92"/>
  <c r="L182" i="92"/>
  <c r="L193" i="92"/>
  <c r="L84" i="92"/>
  <c r="L185" i="92"/>
  <c r="L215" i="92"/>
  <c r="L183" i="92"/>
  <c r="L205" i="92"/>
  <c r="L58" i="92"/>
  <c r="L197" i="92"/>
  <c r="L75" i="92"/>
  <c r="L341" i="92"/>
  <c r="L328" i="92"/>
  <c r="L345" i="92"/>
  <c r="L326" i="92"/>
  <c r="L325" i="92"/>
  <c r="L361" i="92"/>
  <c r="L339" i="92"/>
  <c r="L198" i="92"/>
  <c r="L79" i="92"/>
  <c r="L91" i="92"/>
  <c r="L334" i="92"/>
  <c r="L321" i="92"/>
  <c r="L62" i="92"/>
  <c r="L208" i="92"/>
  <c r="L76" i="92"/>
  <c r="L206" i="92"/>
  <c r="L85" i="92"/>
  <c r="L56" i="92"/>
  <c r="L184" i="92"/>
  <c r="L88" i="92"/>
  <c r="L192" i="92"/>
  <c r="L47" i="92"/>
  <c r="L191" i="92"/>
  <c r="L342" i="92"/>
  <c r="L367" i="92"/>
  <c r="L366" i="92"/>
  <c r="L317" i="92"/>
  <c r="L338" i="92"/>
  <c r="L323" i="92"/>
  <c r="L196" i="92"/>
  <c r="L61" i="92"/>
  <c r="L50" i="92"/>
  <c r="L320" i="92"/>
  <c r="H312" i="92"/>
  <c r="L365" i="92"/>
  <c r="L359" i="92"/>
  <c r="L362" i="92"/>
  <c r="L337" i="92"/>
  <c r="L351" i="92"/>
  <c r="H336" i="92"/>
  <c r="H144" i="92"/>
  <c r="H196" i="92"/>
  <c r="H204" i="92"/>
  <c r="H152" i="92"/>
  <c r="H601" i="92"/>
  <c r="H592" i="92"/>
  <c r="H277" i="92"/>
  <c r="H306" i="92"/>
  <c r="H183" i="92"/>
  <c r="H168" i="92"/>
  <c r="H589" i="92"/>
  <c r="H181" i="92"/>
  <c r="H327" i="92"/>
  <c r="H290" i="92"/>
  <c r="H285" i="92"/>
  <c r="H370" i="92"/>
  <c r="K470" i="92"/>
  <c r="E470" i="92" s="1"/>
  <c r="L331" i="92"/>
  <c r="AD330" i="92"/>
  <c r="L353" i="92"/>
  <c r="H330" i="92"/>
  <c r="L330" i="92"/>
  <c r="AD240" i="92"/>
  <c r="L204" i="92"/>
  <c r="L48" i="92"/>
  <c r="L211" i="92"/>
  <c r="AD188" i="92"/>
  <c r="L218" i="92"/>
  <c r="L83" i="92"/>
  <c r="H188" i="92"/>
  <c r="H268" i="92"/>
  <c r="K508" i="92"/>
  <c r="K512" i="92"/>
  <c r="K507" i="92"/>
  <c r="K511" i="92"/>
  <c r="AD255" i="92"/>
  <c r="AD216" i="92"/>
  <c r="AD353" i="92"/>
  <c r="AD81" i="92"/>
  <c r="AD121" i="92"/>
  <c r="AD210" i="92"/>
  <c r="AD209" i="92"/>
  <c r="AD74" i="92"/>
  <c r="AD259" i="92"/>
  <c r="AD315" i="92"/>
  <c r="AD306" i="92"/>
  <c r="AD79" i="92"/>
  <c r="AD78" i="92"/>
  <c r="AD257" i="92"/>
  <c r="AD302" i="92"/>
  <c r="AD261" i="92"/>
  <c r="AD256" i="92"/>
  <c r="AD76" i="92"/>
  <c r="AD120" i="92"/>
  <c r="AD125" i="92"/>
  <c r="AD127" i="92"/>
  <c r="AD310" i="92"/>
  <c r="AD262" i="92"/>
  <c r="AD258" i="92"/>
  <c r="AD122" i="92"/>
  <c r="AD211" i="92"/>
  <c r="AD75" i="92"/>
  <c r="AD217" i="92"/>
  <c r="AD312" i="92"/>
  <c r="AD254" i="92"/>
  <c r="AD212" i="92"/>
  <c r="AD215" i="92"/>
  <c r="AD213" i="92"/>
  <c r="AD77" i="92"/>
  <c r="AD358" i="92"/>
  <c r="AD349" i="92"/>
  <c r="J541" i="92"/>
  <c r="E541" i="92" s="1"/>
  <c r="J538" i="92"/>
  <c r="E538" i="92" s="1"/>
  <c r="J536" i="92"/>
  <c r="E536" i="92" s="1"/>
  <c r="J534" i="92"/>
  <c r="E534" i="92" s="1"/>
  <c r="J535" i="92"/>
  <c r="E535" i="92" s="1"/>
  <c r="H315" i="92"/>
  <c r="H309" i="92"/>
  <c r="AD316" i="92"/>
  <c r="AD299" i="92"/>
  <c r="AD345" i="92"/>
  <c r="AD354" i="92"/>
  <c r="AD309" i="92"/>
  <c r="L352" i="92"/>
  <c r="AD359" i="92"/>
  <c r="L357" i="92"/>
  <c r="L368" i="92"/>
  <c r="L327" i="92"/>
  <c r="K462" i="92"/>
  <c r="E462" i="92" s="1"/>
  <c r="K514" i="92"/>
  <c r="K466" i="92"/>
  <c r="E466" i="92" s="1"/>
  <c r="AD361" i="92"/>
  <c r="L348" i="92"/>
  <c r="L216" i="92"/>
  <c r="L322" i="92"/>
  <c r="L356" i="92"/>
  <c r="H345" i="92"/>
  <c r="H580" i="92"/>
  <c r="H140" i="92"/>
  <c r="K515" i="92"/>
  <c r="H271" i="92"/>
  <c r="H215" i="92"/>
  <c r="H137" i="92"/>
  <c r="H617" i="92"/>
  <c r="H612" i="92"/>
  <c r="H300" i="92"/>
  <c r="H347" i="92"/>
  <c r="H257" i="92"/>
  <c r="H156" i="92"/>
  <c r="H605" i="92"/>
  <c r="H596" i="92"/>
  <c r="H355" i="92"/>
  <c r="H318" i="92"/>
  <c r="H291" i="92"/>
  <c r="H286" i="92"/>
  <c r="H600" i="92"/>
  <c r="J540" i="92"/>
  <c r="E540" i="92" s="1"/>
  <c r="AD277" i="92"/>
  <c r="AD283" i="92"/>
  <c r="AD289" i="92"/>
  <c r="AD303" i="92"/>
  <c r="H274" i="92"/>
  <c r="AD119" i="92"/>
  <c r="AD279" i="92"/>
  <c r="AD189" i="92"/>
  <c r="L82" i="92"/>
  <c r="L54" i="92"/>
  <c r="AD59" i="92"/>
  <c r="L68" i="92"/>
  <c r="AD58" i="92"/>
  <c r="AD242" i="92"/>
  <c r="H265" i="92"/>
  <c r="H244" i="92"/>
  <c r="H210" i="92"/>
  <c r="H247" i="92"/>
  <c r="H201" i="92"/>
  <c r="H217" i="92"/>
  <c r="H223" i="92"/>
  <c r="H586" i="92"/>
  <c r="H175" i="92"/>
  <c r="H350" i="92"/>
  <c r="H149" i="92"/>
  <c r="H579" i="92"/>
  <c r="H219" i="92"/>
  <c r="H191" i="92"/>
  <c r="H239" i="92"/>
  <c r="H224" i="92"/>
  <c r="H146" i="92"/>
  <c r="H221" i="92"/>
  <c r="H208" i="92"/>
  <c r="H326" i="92"/>
  <c r="H357" i="92"/>
  <c r="H296" i="92"/>
  <c r="H294" i="92"/>
  <c r="H143" i="92"/>
  <c r="H160" i="92"/>
  <c r="H162" i="92"/>
  <c r="H332" i="92"/>
  <c r="H302" i="92"/>
  <c r="H304" i="92"/>
  <c r="H284" i="92"/>
  <c r="H280" i="92"/>
  <c r="H604" i="92"/>
  <c r="H603" i="92"/>
  <c r="H369" i="92"/>
  <c r="H251" i="92"/>
  <c r="H186" i="92"/>
  <c r="H198" i="92"/>
  <c r="H246" i="92"/>
  <c r="H226" i="92"/>
  <c r="H166" i="92"/>
  <c r="H618" i="92"/>
  <c r="H301" i="92"/>
  <c r="H609" i="92"/>
  <c r="H328" i="92"/>
  <c r="H364" i="92"/>
  <c r="H352" i="92"/>
  <c r="H334" i="92"/>
  <c r="H338" i="92"/>
  <c r="H275" i="92"/>
  <c r="H619" i="92"/>
  <c r="H342" i="92"/>
  <c r="H324" i="92"/>
  <c r="H366" i="92"/>
  <c r="H276" i="92"/>
  <c r="H155" i="92"/>
  <c r="H158" i="92"/>
  <c r="H178" i="92"/>
  <c r="H578" i="92"/>
  <c r="H172" i="92"/>
  <c r="H228" i="92"/>
  <c r="H216" i="92"/>
  <c r="H189" i="92"/>
  <c r="H282" i="92"/>
  <c r="H272" i="92"/>
  <c r="H343" i="92"/>
  <c r="H341" i="92"/>
  <c r="H170" i="92"/>
  <c r="H173" i="92"/>
  <c r="H585" i="92"/>
  <c r="H590" i="92"/>
  <c r="H153" i="92"/>
  <c r="H245" i="92"/>
  <c r="H253" i="92"/>
  <c r="H218" i="92"/>
  <c r="H252" i="92"/>
  <c r="H222" i="92"/>
  <c r="H574" i="92"/>
  <c r="H598" i="92"/>
  <c r="H180" i="92"/>
  <c r="H325" i="92"/>
  <c r="H331" i="92"/>
  <c r="H237" i="92"/>
  <c r="H264" i="92"/>
  <c r="H229" i="92"/>
  <c r="H213" i="92"/>
  <c r="H576" i="92"/>
  <c r="H138" i="92"/>
  <c r="H139" i="92"/>
  <c r="H163" i="92"/>
  <c r="H358" i="92"/>
  <c r="H344" i="92"/>
  <c r="H283" i="92"/>
  <c r="H322" i="92"/>
  <c r="H620" i="92"/>
  <c r="H311" i="92"/>
  <c r="H323" i="92"/>
  <c r="H279" i="92"/>
  <c r="H292" i="92"/>
  <c r="H616" i="92"/>
  <c r="H611" i="92"/>
  <c r="H621" i="92"/>
  <c r="H167" i="92"/>
  <c r="H141" i="92"/>
  <c r="H142" i="92"/>
  <c r="H234" i="92"/>
  <c r="H250" i="92"/>
  <c r="H346" i="92"/>
  <c r="H367" i="92"/>
  <c r="H340" i="92"/>
  <c r="H307" i="92"/>
  <c r="H333" i="92"/>
  <c r="H151" i="92"/>
  <c r="H154" i="92"/>
  <c r="H145" i="92"/>
  <c r="H179" i="92"/>
  <c r="H157" i="92"/>
  <c r="H233" i="92"/>
  <c r="H254" i="92"/>
  <c r="H263" i="92"/>
  <c r="H243" i="92"/>
  <c r="H242" i="92"/>
  <c r="H161" i="92"/>
  <c r="H171" i="92"/>
  <c r="H615" i="92"/>
  <c r="H335" i="92"/>
  <c r="H278" i="92"/>
  <c r="K471" i="92"/>
  <c r="E471" i="92" s="1"/>
  <c r="K474" i="92"/>
  <c r="E474" i="92" s="1"/>
  <c r="K517" i="92"/>
  <c r="K521" i="92"/>
  <c r="K477" i="92"/>
  <c r="E477" i="92" s="1"/>
  <c r="K472" i="92"/>
  <c r="E472" i="92" s="1"/>
  <c r="H349" i="92"/>
  <c r="L324" i="92"/>
  <c r="L335" i="92"/>
  <c r="L223" i="92"/>
  <c r="H316" i="92"/>
  <c r="L347" i="92"/>
  <c r="H351" i="92"/>
  <c r="AD301" i="92"/>
  <c r="AD308" i="92"/>
  <c r="AD356" i="92"/>
  <c r="AD307" i="92"/>
  <c r="AD348" i="92"/>
  <c r="L350" i="92"/>
  <c r="AD351" i="92"/>
  <c r="L340" i="92"/>
  <c r="L360" i="92"/>
  <c r="L319" i="92"/>
  <c r="K464" i="92"/>
  <c r="E464" i="92" s="1"/>
  <c r="K465" i="92"/>
  <c r="E465" i="92" s="1"/>
  <c r="AD360" i="92"/>
  <c r="L333" i="92"/>
  <c r="L86" i="92"/>
  <c r="L202" i="92"/>
  <c r="L349" i="92"/>
  <c r="L336" i="92"/>
  <c r="H365" i="92"/>
  <c r="H147" i="92"/>
  <c r="H225" i="92"/>
  <c r="H258" i="92"/>
  <c r="H182" i="92"/>
  <c r="H573" i="92"/>
  <c r="H606" i="92"/>
  <c r="H583" i="92"/>
  <c r="H289" i="92"/>
  <c r="H299" i="92"/>
  <c r="H266" i="92"/>
  <c r="H220" i="92"/>
  <c r="H594" i="92"/>
  <c r="H177" i="92"/>
  <c r="H273" i="92"/>
  <c r="H354" i="92"/>
  <c r="H159" i="92"/>
  <c r="H321" i="92"/>
  <c r="H297" i="92"/>
  <c r="H577" i="92"/>
  <c r="J533" i="92"/>
  <c r="E533" i="92" s="1"/>
  <c r="AD324" i="92"/>
  <c r="L354" i="92"/>
  <c r="AD305" i="92"/>
  <c r="H584" i="92"/>
  <c r="AD80" i="92"/>
  <c r="AD124" i="92"/>
  <c r="AD123" i="92"/>
  <c r="AD233" i="92"/>
  <c r="AD244" i="92"/>
  <c r="L212" i="92"/>
  <c r="L63" i="92"/>
  <c r="L74" i="92"/>
  <c r="L187" i="92"/>
  <c r="L188" i="92"/>
  <c r="L210" i="92"/>
  <c r="L73" i="92"/>
  <c r="H194" i="92"/>
  <c r="AD223" i="92"/>
  <c r="AD85" i="92"/>
  <c r="AD263" i="92"/>
  <c r="AD221" i="92"/>
  <c r="AD204" i="92"/>
  <c r="AD110" i="92"/>
  <c r="AD252" i="92"/>
  <c r="AD69" i="92"/>
  <c r="AD251" i="92"/>
  <c r="AD66" i="92"/>
  <c r="AD111" i="92"/>
  <c r="AD72" i="92"/>
  <c r="AD249" i="92"/>
  <c r="AD201" i="92"/>
  <c r="AD113" i="92"/>
  <c r="I387" i="92"/>
  <c r="I374" i="92"/>
  <c r="I406" i="92"/>
  <c r="I402" i="92"/>
  <c r="I410" i="92"/>
  <c r="K483" i="92"/>
  <c r="K437" i="92"/>
  <c r="E437" i="92" s="1"/>
  <c r="H387" i="92"/>
  <c r="H382" i="92"/>
  <c r="K490" i="92"/>
  <c r="K449" i="92"/>
  <c r="E449" i="92" s="1"/>
  <c r="AD370" i="92"/>
  <c r="K439" i="92"/>
  <c r="E439" i="92" s="1"/>
  <c r="K487" i="92"/>
  <c r="K486" i="92"/>
  <c r="AD266" i="92"/>
  <c r="K441" i="92"/>
  <c r="E441" i="92" s="1"/>
  <c r="AD267" i="92"/>
  <c r="AD268" i="92"/>
  <c r="AD84" i="92"/>
  <c r="AD133" i="92"/>
  <c r="K495" i="92"/>
  <c r="H381" i="92"/>
  <c r="H380" i="92"/>
  <c r="AD128" i="92"/>
  <c r="J525" i="92"/>
  <c r="E525" i="92" s="1"/>
  <c r="J528" i="92"/>
  <c r="E528" i="92" s="1"/>
  <c r="J529" i="92"/>
  <c r="E529" i="92" s="1"/>
  <c r="K468" i="92"/>
  <c r="E468" i="92" s="1"/>
  <c r="K509" i="92"/>
  <c r="H212" i="92"/>
  <c r="H232" i="92"/>
  <c r="H193" i="92"/>
  <c r="H235" i="92"/>
  <c r="H207" i="92"/>
  <c r="H262" i="92"/>
  <c r="H230" i="92"/>
  <c r="H209" i="92"/>
  <c r="H293" i="92"/>
  <c r="H261" i="92"/>
  <c r="H187" i="92"/>
  <c r="H227" i="92"/>
  <c r="H200" i="92"/>
  <c r="H255" i="92"/>
  <c r="H259" i="92"/>
  <c r="H241" i="92"/>
  <c r="H197" i="92"/>
  <c r="H190" i="92"/>
  <c r="H192" i="92"/>
  <c r="H310" i="92"/>
  <c r="H169" i="92"/>
  <c r="H608" i="92"/>
  <c r="H303" i="92"/>
  <c r="H356" i="92"/>
  <c r="H148" i="92"/>
  <c r="H176" i="92"/>
  <c r="H360" i="92"/>
  <c r="H597" i="92"/>
  <c r="H184" i="92"/>
  <c r="H195" i="92"/>
  <c r="H202" i="92"/>
  <c r="H240" i="92"/>
  <c r="H581" i="92"/>
  <c r="H205" i="92"/>
  <c r="H269" i="92"/>
  <c r="H238" i="92"/>
  <c r="H236" i="92"/>
  <c r="H270" i="92"/>
  <c r="H267" i="92"/>
  <c r="H249" i="92"/>
  <c r="H211" i="92"/>
  <c r="H256" i="92"/>
  <c r="H185" i="92"/>
  <c r="H319" i="92"/>
  <c r="H613" i="92"/>
  <c r="H599" i="92"/>
  <c r="H329" i="92"/>
  <c r="H150" i="92"/>
  <c r="H313" i="92"/>
  <c r="H353" i="92"/>
  <c r="H602" i="92"/>
  <c r="H614" i="92"/>
  <c r="H595" i="92"/>
  <c r="H368" i="92"/>
  <c r="H298" i="92"/>
  <c r="H314" i="92"/>
  <c r="H359" i="92"/>
  <c r="H362" i="92"/>
  <c r="H363" i="92"/>
  <c r="H320" i="92"/>
  <c r="H317" i="92"/>
  <c r="H174" i="92"/>
  <c r="H587" i="92"/>
  <c r="AD194" i="92"/>
  <c r="AD193" i="92"/>
  <c r="AD236" i="92"/>
  <c r="AD56" i="92"/>
  <c r="AD105" i="92"/>
  <c r="AD182" i="92"/>
  <c r="AD97" i="92"/>
  <c r="AD243" i="92"/>
  <c r="AD107" i="92"/>
  <c r="AD195" i="92"/>
  <c r="AD102" i="92"/>
  <c r="AD232" i="92"/>
  <c r="AD327" i="92"/>
  <c r="AD183" i="92"/>
  <c r="AD57" i="92"/>
  <c r="AD186" i="92"/>
  <c r="AD55" i="92"/>
  <c r="AD48" i="92"/>
  <c r="AD94" i="92"/>
  <c r="AD99" i="92"/>
  <c r="AD287" i="92"/>
  <c r="AD272" i="92"/>
  <c r="AD326" i="92"/>
  <c r="AD319" i="92"/>
  <c r="AD185" i="92"/>
  <c r="AD92" i="92"/>
  <c r="AD191" i="92"/>
  <c r="AD235" i="92"/>
  <c r="AD230" i="92"/>
  <c r="AD47" i="92"/>
  <c r="AD184" i="92"/>
  <c r="AD95" i="92"/>
  <c r="AD108" i="92"/>
  <c r="AD198" i="92"/>
  <c r="AD100" i="92"/>
  <c r="AD61" i="92"/>
  <c r="AD197" i="92"/>
  <c r="AD49" i="92"/>
  <c r="AD227" i="92"/>
  <c r="AD109" i="92"/>
  <c r="AD192" i="92"/>
  <c r="AD334" i="92"/>
  <c r="AD328" i="92"/>
  <c r="AD317" i="92"/>
  <c r="AD332" i="92"/>
  <c r="AD273" i="92"/>
  <c r="AD321" i="92"/>
  <c r="AD322" i="92"/>
  <c r="K520" i="92"/>
  <c r="K516" i="92"/>
  <c r="K475" i="92"/>
  <c r="E475" i="92" s="1"/>
  <c r="K478" i="92"/>
  <c r="E478" i="92" s="1"/>
  <c r="K473" i="92"/>
  <c r="E473" i="92" s="1"/>
  <c r="K522" i="92"/>
  <c r="K518" i="92"/>
  <c r="K519" i="92"/>
  <c r="AD218" i="92"/>
  <c r="AD270" i="92"/>
  <c r="AD135" i="92"/>
  <c r="AD219" i="92"/>
  <c r="AD226" i="92"/>
  <c r="AD89" i="92"/>
  <c r="AD366" i="92"/>
  <c r="AD87" i="92"/>
  <c r="AD269" i="92"/>
  <c r="AD369" i="92"/>
  <c r="AD264" i="92"/>
  <c r="AD83" i="92"/>
  <c r="AD368" i="92"/>
  <c r="AD129" i="92"/>
  <c r="AD136" i="92"/>
  <c r="K448" i="92"/>
  <c r="E448" i="92" s="1"/>
  <c r="K447" i="92"/>
  <c r="E447" i="92" s="1"/>
  <c r="K444" i="92"/>
  <c r="E444" i="92" s="1"/>
  <c r="K493" i="92"/>
  <c r="K491" i="92"/>
  <c r="K442" i="92"/>
  <c r="E442" i="92" s="1"/>
  <c r="K436" i="92"/>
  <c r="E436" i="92" s="1"/>
  <c r="J546" i="92"/>
  <c r="E546" i="92" s="1"/>
  <c r="AD132" i="92"/>
  <c r="K434" i="92"/>
  <c r="E434" i="92" s="1"/>
  <c r="AD265" i="92"/>
  <c r="AD90" i="92"/>
  <c r="AD86" i="92"/>
  <c r="AD364" i="92"/>
  <c r="K446" i="92"/>
  <c r="E446" i="92" s="1"/>
  <c r="H385" i="92"/>
  <c r="AD271" i="92"/>
  <c r="K438" i="92"/>
  <c r="E438" i="92" s="1"/>
  <c r="L128" i="92"/>
  <c r="L261" i="92"/>
  <c r="L238" i="92"/>
  <c r="AD342" i="92"/>
  <c r="AD208" i="92"/>
  <c r="AB571" i="92"/>
  <c r="AD290" i="92"/>
  <c r="AD340" i="92"/>
  <c r="I405" i="92"/>
  <c r="I407" i="92"/>
  <c r="I403" i="92"/>
  <c r="I390" i="92"/>
  <c r="I400" i="92"/>
  <c r="I396" i="92"/>
  <c r="AD298" i="92"/>
  <c r="I399" i="92"/>
  <c r="J550" i="92"/>
  <c r="E550" i="92" s="1"/>
  <c r="J530" i="92"/>
  <c r="E530" i="92" s="1"/>
  <c r="H397" i="92"/>
  <c r="AD116" i="92"/>
  <c r="AD248" i="92"/>
  <c r="AD67" i="92"/>
  <c r="AD200" i="92"/>
  <c r="AD202" i="92"/>
  <c r="I376" i="92"/>
  <c r="I397" i="92"/>
  <c r="I380" i="92"/>
  <c r="AD245" i="92"/>
  <c r="AD114" i="92"/>
  <c r="AD65" i="92"/>
  <c r="L296" i="92"/>
  <c r="L136" i="92"/>
  <c r="AD296" i="92"/>
  <c r="AD294" i="92"/>
  <c r="I393" i="92"/>
  <c r="I386" i="92"/>
  <c r="I381" i="92"/>
  <c r="I383" i="92"/>
  <c r="I379" i="92"/>
  <c r="AD295" i="92"/>
  <c r="J548" i="92"/>
  <c r="E548" i="92" s="1"/>
  <c r="I9" i="98"/>
  <c r="P657" i="92" s="1"/>
  <c r="I395" i="92"/>
  <c r="I382" i="92"/>
  <c r="J542" i="92"/>
  <c r="E542" i="92" s="1"/>
  <c r="AD292" i="92"/>
  <c r="J527" i="92"/>
  <c r="E527" i="92" s="1"/>
  <c r="J531" i="92"/>
  <c r="E531" i="92" s="1"/>
  <c r="H394" i="92"/>
  <c r="AD207" i="92"/>
  <c r="AD253" i="92"/>
  <c r="H395" i="92"/>
  <c r="AD115" i="92"/>
  <c r="AD112" i="92"/>
  <c r="AD250" i="92"/>
  <c r="I377" i="92"/>
  <c r="I404" i="92"/>
  <c r="I372" i="92"/>
  <c r="H396" i="92"/>
  <c r="AD206" i="92"/>
  <c r="I401" i="92"/>
  <c r="AD118" i="92"/>
  <c r="I389" i="92"/>
  <c r="AD203" i="92"/>
  <c r="P40" i="71"/>
  <c r="P12" i="71" s="1"/>
  <c r="I32" i="98"/>
  <c r="AD626" i="92" s="1"/>
  <c r="AD658" i="92"/>
  <c r="AD666" i="92"/>
  <c r="AD179" i="92"/>
  <c r="AD613" i="92"/>
  <c r="AD615" i="92"/>
  <c r="AD173" i="92"/>
  <c r="AD664" i="92"/>
  <c r="AD659" i="92"/>
  <c r="AD661" i="92"/>
  <c r="AD176" i="92"/>
  <c r="AD178" i="92"/>
  <c r="AD180" i="92"/>
  <c r="AD620" i="92"/>
  <c r="AD660" i="92"/>
  <c r="AD614" i="92"/>
  <c r="AD619" i="92"/>
  <c r="AD181" i="92"/>
  <c r="AD46" i="92"/>
  <c r="AD41" i="92"/>
  <c r="AD617" i="92"/>
  <c r="AD44" i="92"/>
  <c r="AD662" i="92"/>
  <c r="AD175" i="92"/>
  <c r="AD663" i="92"/>
  <c r="AD621" i="92"/>
  <c r="AD174" i="92"/>
  <c r="AD38" i="92"/>
  <c r="AD665" i="92"/>
  <c r="AD616" i="92"/>
  <c r="AD45" i="92"/>
  <c r="AD43" i="92"/>
  <c r="AD618" i="92"/>
  <c r="AD177" i="92"/>
  <c r="AD42" i="92"/>
  <c r="AD39" i="92"/>
  <c r="AD40" i="92"/>
  <c r="R2" i="92"/>
  <c r="R345" i="92"/>
  <c r="R314" i="92"/>
  <c r="R308" i="92"/>
  <c r="R316" i="92"/>
  <c r="R313" i="92"/>
  <c r="R352" i="92"/>
  <c r="R348" i="92"/>
  <c r="R301" i="92"/>
  <c r="R285" i="92"/>
  <c r="R368" i="92"/>
  <c r="R343" i="92"/>
  <c r="R327" i="92"/>
  <c r="R304" i="92"/>
  <c r="R283" i="92"/>
  <c r="R366" i="92"/>
  <c r="R341" i="92"/>
  <c r="R325" i="92"/>
  <c r="R295" i="92"/>
  <c r="R274" i="92"/>
  <c r="R359" i="92"/>
  <c r="R310" i="92"/>
  <c r="R311" i="92"/>
  <c r="R305" i="92"/>
  <c r="R281" i="92"/>
  <c r="R360" i="92"/>
  <c r="R330" i="92"/>
  <c r="R299" i="92"/>
  <c r="R272" i="92"/>
  <c r="R353" i="92"/>
  <c r="R320" i="92"/>
  <c r="R284" i="92"/>
  <c r="R364" i="92"/>
  <c r="R334" i="92"/>
  <c r="R307" i="92"/>
  <c r="R362" i="92"/>
  <c r="R275" i="92"/>
  <c r="R276" i="92"/>
  <c r="R280" i="92"/>
  <c r="R292" i="92"/>
  <c r="R293" i="92"/>
  <c r="R273" i="92"/>
  <c r="R338" i="92"/>
  <c r="R319" i="92"/>
  <c r="R288" i="92"/>
  <c r="R361" i="92"/>
  <c r="R333" i="92"/>
  <c r="R300" i="92"/>
  <c r="R369" i="92"/>
  <c r="R342" i="92"/>
  <c r="R326" i="92"/>
  <c r="R296" i="92"/>
  <c r="R321" i="92"/>
  <c r="R340" i="92"/>
  <c r="R332" i="92"/>
  <c r="R329" i="92"/>
  <c r="R282" i="92"/>
  <c r="R652" i="92"/>
  <c r="R309" i="92"/>
  <c r="R347" i="92"/>
  <c r="R351" i="92"/>
  <c r="R277" i="92"/>
  <c r="R322" i="92"/>
  <c r="R370" i="92"/>
  <c r="R306" i="92"/>
  <c r="R356" i="92"/>
  <c r="R302" i="92"/>
  <c r="R354" i="92"/>
  <c r="R365" i="92"/>
  <c r="R648" i="92"/>
  <c r="R665" i="92"/>
  <c r="R657" i="92"/>
  <c r="R647" i="92"/>
  <c r="R633" i="92"/>
  <c r="R625" i="92"/>
  <c r="R645" i="92"/>
  <c r="R636" i="92"/>
  <c r="R643" i="92"/>
  <c r="R634" i="92"/>
  <c r="R630" i="92"/>
  <c r="R609" i="92"/>
  <c r="R593" i="92"/>
  <c r="R577" i="92"/>
  <c r="R167" i="92"/>
  <c r="R152" i="92"/>
  <c r="R612" i="92"/>
  <c r="R596" i="92"/>
  <c r="R580" i="92"/>
  <c r="R166" i="92"/>
  <c r="R151" i="92"/>
  <c r="R169" i="92"/>
  <c r="R150" i="92"/>
  <c r="R139" i="92"/>
  <c r="R579" i="92"/>
  <c r="R165" i="92"/>
  <c r="R145" i="92"/>
  <c r="R611" i="92"/>
  <c r="R587" i="92"/>
  <c r="R618" i="92"/>
  <c r="R614" i="92"/>
  <c r="R140" i="92"/>
  <c r="R137" i="92"/>
  <c r="R573" i="92"/>
  <c r="R414" i="92"/>
  <c r="R382" i="92"/>
  <c r="R397" i="92"/>
  <c r="R411" i="92"/>
  <c r="R404" i="92"/>
  <c r="R372" i="92"/>
  <c r="R410" i="92"/>
  <c r="R378" i="92"/>
  <c r="R385" i="92"/>
  <c r="R407" i="92"/>
  <c r="R400" i="92"/>
  <c r="R383" i="92"/>
  <c r="R344" i="92"/>
  <c r="R350" i="92"/>
  <c r="R312" i="92"/>
  <c r="R297" i="92"/>
  <c r="R355" i="92"/>
  <c r="R294" i="92"/>
  <c r="R336" i="92"/>
  <c r="R279" i="92"/>
  <c r="R331" i="92"/>
  <c r="R357" i="92"/>
  <c r="R337" i="92"/>
  <c r="R287" i="92"/>
  <c r="R654" i="92"/>
  <c r="R644" i="92"/>
  <c r="R661" i="92"/>
  <c r="R664" i="92"/>
  <c r="R637" i="92"/>
  <c r="R629" i="92"/>
  <c r="R662" i="92"/>
  <c r="R623" i="92"/>
  <c r="R622" i="92"/>
  <c r="R624" i="92"/>
  <c r="R640" i="92"/>
  <c r="R617" i="92"/>
  <c r="R601" i="92"/>
  <c r="R585" i="92"/>
  <c r="R175" i="92"/>
  <c r="R160" i="92"/>
  <c r="R620" i="92"/>
  <c r="R604" i="92"/>
  <c r="R588" i="92"/>
  <c r="R174" i="92"/>
  <c r="R159" i="92"/>
  <c r="R177" i="92"/>
  <c r="R158" i="92"/>
  <c r="R146" i="92"/>
  <c r="R591" i="92"/>
  <c r="R172" i="92"/>
  <c r="R157" i="92"/>
  <c r="R619" i="92"/>
  <c r="R603" i="92"/>
  <c r="R144" i="92"/>
  <c r="R586" i="92"/>
  <c r="R590" i="92"/>
  <c r="R594" i="92"/>
  <c r="R582" i="92"/>
  <c r="R576" i="92"/>
  <c r="R398" i="92"/>
  <c r="R413" i="92"/>
  <c r="R381" i="92"/>
  <c r="R371" i="92"/>
  <c r="R388" i="92"/>
  <c r="R395" i="92"/>
  <c r="R394" i="92"/>
  <c r="R401" i="92"/>
  <c r="R408" i="92"/>
  <c r="R399" i="92"/>
  <c r="R391" i="92"/>
  <c r="R289" i="92"/>
  <c r="R278" i="92"/>
  <c r="R367" i="92"/>
  <c r="R298" i="92"/>
  <c r="R646" i="92"/>
  <c r="R666" i="92"/>
  <c r="R631" i="92"/>
  <c r="R641" i="92"/>
  <c r="R638" i="92"/>
  <c r="R621" i="92"/>
  <c r="R589" i="92"/>
  <c r="R164" i="92"/>
  <c r="R608" i="92"/>
  <c r="R181" i="92"/>
  <c r="R148" i="92"/>
  <c r="R147" i="92"/>
  <c r="R176" i="92"/>
  <c r="R138" i="92"/>
  <c r="R180" i="92"/>
  <c r="R606" i="92"/>
  <c r="R598" i="92"/>
  <c r="R390" i="92"/>
  <c r="R373" i="92"/>
  <c r="R380" i="92"/>
  <c r="R386" i="92"/>
  <c r="R376" i="92"/>
  <c r="R384" i="92"/>
  <c r="R39" i="92"/>
  <c r="R220" i="92"/>
  <c r="R90" i="92"/>
  <c r="R210" i="92"/>
  <c r="R232" i="92"/>
  <c r="R255" i="92"/>
  <c r="R185" i="92"/>
  <c r="R222" i="92"/>
  <c r="R196" i="92"/>
  <c r="R243" i="92"/>
  <c r="R225" i="92"/>
  <c r="R270" i="92"/>
  <c r="R216" i="92"/>
  <c r="R122" i="92"/>
  <c r="R117" i="92"/>
  <c r="R95" i="92"/>
  <c r="R104" i="92"/>
  <c r="R66" i="92"/>
  <c r="R94" i="92"/>
  <c r="R91" i="92"/>
  <c r="R75" i="92"/>
  <c r="R59" i="92"/>
  <c r="R89" i="92"/>
  <c r="R21" i="92"/>
  <c r="R50" i="92"/>
  <c r="R40" i="92"/>
  <c r="R48" i="92"/>
  <c r="R15" i="92"/>
  <c r="R13" i="92"/>
  <c r="R265" i="92"/>
  <c r="R224" i="92"/>
  <c r="R136" i="92"/>
  <c r="R128" i="92"/>
  <c r="R84" i="92"/>
  <c r="R41" i="92"/>
  <c r="R215" i="92"/>
  <c r="R254" i="92"/>
  <c r="R186" i="92"/>
  <c r="R244" i="92"/>
  <c r="R249" i="92"/>
  <c r="R204" i="92"/>
  <c r="R191" i="92"/>
  <c r="R188" i="92"/>
  <c r="R231" i="92"/>
  <c r="R213" i="92"/>
  <c r="R123" i="92"/>
  <c r="R116" i="92"/>
  <c r="R107" i="92"/>
  <c r="R62" i="92"/>
  <c r="R55" i="92"/>
  <c r="R69" i="92"/>
  <c r="R56" i="92"/>
  <c r="R60" i="92"/>
  <c r="R5" i="92"/>
  <c r="R31" i="92"/>
  <c r="R346" i="92"/>
  <c r="R315" i="92"/>
  <c r="R335" i="92"/>
  <c r="R328" i="92"/>
  <c r="R323" i="92"/>
  <c r="R286" i="92"/>
  <c r="R656" i="92"/>
  <c r="R663" i="92"/>
  <c r="R639" i="92"/>
  <c r="R660" i="92"/>
  <c r="R628" i="92"/>
  <c r="R626" i="92"/>
  <c r="R605" i="92"/>
  <c r="R178" i="92"/>
  <c r="R149" i="92"/>
  <c r="R592" i="92"/>
  <c r="R163" i="92"/>
  <c r="R162" i="92"/>
  <c r="R595" i="92"/>
  <c r="R161" i="92"/>
  <c r="R607" i="92"/>
  <c r="R602" i="92"/>
  <c r="R610" i="92"/>
  <c r="R574" i="92"/>
  <c r="R405" i="92"/>
  <c r="R412" i="92"/>
  <c r="R379" i="92"/>
  <c r="R393" i="92"/>
  <c r="R415" i="92"/>
  <c r="R194" i="92"/>
  <c r="R108" i="92"/>
  <c r="R266" i="92"/>
  <c r="R259" i="92"/>
  <c r="R201" i="92"/>
  <c r="R228" i="92"/>
  <c r="R261" i="92"/>
  <c r="R237" i="92"/>
  <c r="R183" i="92"/>
  <c r="R126" i="92"/>
  <c r="R135" i="92"/>
  <c r="R198" i="92"/>
  <c r="R250" i="92"/>
  <c r="R111" i="92"/>
  <c r="R124" i="92"/>
  <c r="R97" i="92"/>
  <c r="R77" i="92"/>
  <c r="R63" i="92"/>
  <c r="R45" i="92"/>
  <c r="R96" i="92"/>
  <c r="R85" i="92"/>
  <c r="R67" i="92"/>
  <c r="R36" i="92"/>
  <c r="R19" i="92"/>
  <c r="R7" i="92"/>
  <c r="R27" i="92"/>
  <c r="R22" i="92"/>
  <c r="R269" i="92"/>
  <c r="R218" i="92"/>
  <c r="R349" i="92"/>
  <c r="R317" i="92"/>
  <c r="R291" i="92"/>
  <c r="R650" i="92"/>
  <c r="R635" i="92"/>
  <c r="R632" i="92"/>
  <c r="R597" i="92"/>
  <c r="R616" i="92"/>
  <c r="R155" i="92"/>
  <c r="R583" i="92"/>
  <c r="R599" i="92"/>
  <c r="R578" i="92"/>
  <c r="R374" i="92"/>
  <c r="R403" i="92"/>
  <c r="R375" i="92"/>
  <c r="R239" i="92"/>
  <c r="R202" i="92"/>
  <c r="R99" i="92"/>
  <c r="R252" i="92"/>
  <c r="R268" i="92"/>
  <c r="R234" i="92"/>
  <c r="R131" i="92"/>
  <c r="R214" i="92"/>
  <c r="R248" i="92"/>
  <c r="R100" i="92"/>
  <c r="R70" i="92"/>
  <c r="R92" i="92"/>
  <c r="R72" i="92"/>
  <c r="R3" i="92"/>
  <c r="R30" i="92"/>
  <c r="R25" i="92"/>
  <c r="R267" i="92"/>
  <c r="R221" i="92"/>
  <c r="R134" i="92"/>
  <c r="R38" i="92"/>
  <c r="R260" i="92"/>
  <c r="R253" i="92"/>
  <c r="R262" i="92"/>
  <c r="R217" i="92"/>
  <c r="R184" i="92"/>
  <c r="R203" i="92"/>
  <c r="R182" i="92"/>
  <c r="R121" i="92"/>
  <c r="R112" i="92"/>
  <c r="R101" i="92"/>
  <c r="R80" i="92"/>
  <c r="R65" i="92"/>
  <c r="R53" i="92"/>
  <c r="R74" i="92"/>
  <c r="R8" i="92"/>
  <c r="R35" i="92"/>
  <c r="R28" i="92"/>
  <c r="R14" i="92"/>
  <c r="R358" i="92"/>
  <c r="R303" i="92"/>
  <c r="R642" i="92"/>
  <c r="R627" i="92"/>
  <c r="R651" i="92"/>
  <c r="R581" i="92"/>
  <c r="R600" i="92"/>
  <c r="R173" i="92"/>
  <c r="R168" i="92"/>
  <c r="R141" i="92"/>
  <c r="R389" i="92"/>
  <c r="R402" i="92"/>
  <c r="R392" i="92"/>
  <c r="R212" i="92"/>
  <c r="R187" i="92"/>
  <c r="R242" i="92"/>
  <c r="R246" i="92"/>
  <c r="R192" i="92"/>
  <c r="R264" i="92"/>
  <c r="R109" i="92"/>
  <c r="R115" i="92"/>
  <c r="R61" i="92"/>
  <c r="R88" i="92"/>
  <c r="R98" i="92"/>
  <c r="R32" i="92"/>
  <c r="R9" i="92"/>
  <c r="R34" i="92"/>
  <c r="R263" i="92"/>
  <c r="R132" i="92"/>
  <c r="R46" i="92"/>
  <c r="R235" i="92"/>
  <c r="R241" i="92"/>
  <c r="R245" i="92"/>
  <c r="R256" i="92"/>
  <c r="R193" i="92"/>
  <c r="R208" i="92"/>
  <c r="R195" i="92"/>
  <c r="R199" i="92"/>
  <c r="R119" i="92"/>
  <c r="R110" i="92"/>
  <c r="R64" i="92"/>
  <c r="R51" i="92"/>
  <c r="R78" i="92"/>
  <c r="R58" i="92"/>
  <c r="R6" i="92"/>
  <c r="R33" i="92"/>
  <c r="R24" i="92"/>
  <c r="R16" i="92"/>
  <c r="R318" i="92"/>
  <c r="R290" i="92"/>
  <c r="R324" i="92"/>
  <c r="R659" i="92"/>
  <c r="R653" i="92"/>
  <c r="R658" i="92"/>
  <c r="R171" i="92"/>
  <c r="R584" i="92"/>
  <c r="R154" i="92"/>
  <c r="R153" i="92"/>
  <c r="R143" i="92"/>
  <c r="R575" i="92"/>
  <c r="R387" i="92"/>
  <c r="R409" i="92"/>
  <c r="R240" i="92"/>
  <c r="R207" i="92"/>
  <c r="R219" i="92"/>
  <c r="R230" i="92"/>
  <c r="R205" i="92"/>
  <c r="R102" i="92"/>
  <c r="R106" i="92"/>
  <c r="R54" i="92"/>
  <c r="R79" i="92"/>
  <c r="R86" i="92"/>
  <c r="R17" i="92"/>
  <c r="R4" i="92"/>
  <c r="R130" i="92"/>
  <c r="R42" i="92"/>
  <c r="R200" i="92"/>
  <c r="R233" i="92"/>
  <c r="R251" i="92"/>
  <c r="R236" i="92"/>
  <c r="R258" i="92"/>
  <c r="R247" i="92"/>
  <c r="R238" i="92"/>
  <c r="R127" i="92"/>
  <c r="R118" i="92"/>
  <c r="R105" i="92"/>
  <c r="R49" i="92"/>
  <c r="R47" i="92"/>
  <c r="R73" i="92"/>
  <c r="R76" i="92"/>
  <c r="R29" i="92"/>
  <c r="R23" i="92"/>
  <c r="R363" i="92"/>
  <c r="R339" i="92"/>
  <c r="R655" i="92"/>
  <c r="R649" i="92"/>
  <c r="R613" i="92"/>
  <c r="R156" i="92"/>
  <c r="R170" i="92"/>
  <c r="R142" i="92"/>
  <c r="R615" i="92"/>
  <c r="R179" i="92"/>
  <c r="R406" i="92"/>
  <c r="R396" i="92"/>
  <c r="R377" i="92"/>
  <c r="R113" i="92"/>
  <c r="R223" i="92"/>
  <c r="R129" i="92"/>
  <c r="R257" i="92"/>
  <c r="R189" i="92"/>
  <c r="R133" i="92"/>
  <c r="R93" i="92"/>
  <c r="R120" i="92"/>
  <c r="R87" i="92"/>
  <c r="R57" i="92"/>
  <c r="R81" i="92"/>
  <c r="R12" i="92"/>
  <c r="R52" i="92"/>
  <c r="R43" i="92"/>
  <c r="R271" i="92"/>
  <c r="R226" i="92"/>
  <c r="R83" i="92"/>
  <c r="R44" i="92"/>
  <c r="R190" i="92"/>
  <c r="R211" i="92"/>
  <c r="R206" i="92"/>
  <c r="R229" i="92"/>
  <c r="R227" i="92"/>
  <c r="R209" i="92"/>
  <c r="R197" i="92"/>
  <c r="R125" i="92"/>
  <c r="R114" i="92"/>
  <c r="R103" i="92"/>
  <c r="R82" i="92"/>
  <c r="R68" i="92"/>
  <c r="R71" i="92"/>
  <c r="R10" i="92"/>
  <c r="R37" i="92"/>
  <c r="R26" i="92"/>
  <c r="R20" i="92"/>
  <c r="R11" i="92"/>
  <c r="R18" i="92"/>
  <c r="H2" i="92"/>
  <c r="H650" i="92"/>
  <c r="H642" i="92"/>
  <c r="H659" i="92"/>
  <c r="H643" i="92"/>
  <c r="H635" i="92"/>
  <c r="H627" i="92"/>
  <c r="H660" i="92"/>
  <c r="H653" i="92"/>
  <c r="H628" i="92"/>
  <c r="H664" i="92"/>
  <c r="H636" i="92"/>
  <c r="H654" i="92"/>
  <c r="H646" i="92"/>
  <c r="H663" i="92"/>
  <c r="H662" i="92"/>
  <c r="H639" i="92"/>
  <c r="H631" i="92"/>
  <c r="H666" i="92"/>
  <c r="H623" i="92"/>
  <c r="H632" i="92"/>
  <c r="H634" i="92"/>
  <c r="H630" i="92"/>
  <c r="H39" i="92"/>
  <c r="H644" i="92"/>
  <c r="H651" i="92"/>
  <c r="H629" i="92"/>
  <c r="H655" i="92"/>
  <c r="H622" i="92"/>
  <c r="H113" i="92"/>
  <c r="H126" i="92"/>
  <c r="H129" i="92"/>
  <c r="H93" i="92"/>
  <c r="H95" i="92"/>
  <c r="H97" i="92"/>
  <c r="H124" i="92"/>
  <c r="H86" i="92"/>
  <c r="H75" i="92"/>
  <c r="H57" i="92"/>
  <c r="H94" i="92"/>
  <c r="H81" i="92"/>
  <c r="H63" i="92"/>
  <c r="H21" i="92"/>
  <c r="H25" i="92"/>
  <c r="H48" i="92"/>
  <c r="H22" i="92"/>
  <c r="H40" i="92"/>
  <c r="H134" i="92"/>
  <c r="H44" i="92"/>
  <c r="H41" i="92"/>
  <c r="H103" i="92"/>
  <c r="H118" i="92"/>
  <c r="H125" i="92"/>
  <c r="H76" i="92"/>
  <c r="H78" i="92"/>
  <c r="H64" i="92"/>
  <c r="H68" i="92"/>
  <c r="H71" i="92"/>
  <c r="H5" i="92"/>
  <c r="H35" i="92"/>
  <c r="H652" i="92"/>
  <c r="H661" i="92"/>
  <c r="H637" i="92"/>
  <c r="H658" i="92"/>
  <c r="H645" i="92"/>
  <c r="H647" i="92"/>
  <c r="H108" i="92"/>
  <c r="H135" i="92"/>
  <c r="H102" i="92"/>
  <c r="H106" i="92"/>
  <c r="H104" i="92"/>
  <c r="H87" i="92"/>
  <c r="H66" i="92"/>
  <c r="H88" i="92"/>
  <c r="H91" i="92"/>
  <c r="H72" i="92"/>
  <c r="H54" i="92"/>
  <c r="H3" i="92"/>
  <c r="H17" i="92"/>
  <c r="H13" i="92"/>
  <c r="H15" i="92"/>
  <c r="H19" i="92"/>
  <c r="H27" i="92"/>
  <c r="H657" i="92"/>
  <c r="H649" i="92"/>
  <c r="H626" i="92"/>
  <c r="H120" i="92"/>
  <c r="H100" i="92"/>
  <c r="H85" i="92"/>
  <c r="H61" i="92"/>
  <c r="H89" i="92"/>
  <c r="H7" i="92"/>
  <c r="H4" i="92"/>
  <c r="H136" i="92"/>
  <c r="H84" i="92"/>
  <c r="H42" i="92"/>
  <c r="H114" i="92"/>
  <c r="H107" i="92"/>
  <c r="H119" i="92"/>
  <c r="H58" i="92"/>
  <c r="H62" i="92"/>
  <c r="H65" i="92"/>
  <c r="H55" i="92"/>
  <c r="H37" i="92"/>
  <c r="H24" i="92"/>
  <c r="H23" i="92"/>
  <c r="H11" i="92"/>
  <c r="H18" i="92"/>
  <c r="H656" i="92"/>
  <c r="H641" i="92"/>
  <c r="H640" i="92"/>
  <c r="H90" i="92"/>
  <c r="H131" i="92"/>
  <c r="H115" i="92"/>
  <c r="H109" i="92"/>
  <c r="H92" i="92"/>
  <c r="H96" i="92"/>
  <c r="H77" i="92"/>
  <c r="H36" i="92"/>
  <c r="H43" i="92"/>
  <c r="H30" i="92"/>
  <c r="H132" i="92"/>
  <c r="H83" i="92"/>
  <c r="H105" i="92"/>
  <c r="H121" i="92"/>
  <c r="H60" i="92"/>
  <c r="H47" i="92"/>
  <c r="H51" i="92"/>
  <c r="H10" i="92"/>
  <c r="H33" i="92"/>
  <c r="H26" i="92"/>
  <c r="H16" i="92"/>
  <c r="H648" i="92"/>
  <c r="H633" i="92"/>
  <c r="H624" i="92"/>
  <c r="H99" i="92"/>
  <c r="H133" i="92"/>
  <c r="H122" i="92"/>
  <c r="H79" i="92"/>
  <c r="H45" i="92"/>
  <c r="H67" i="92"/>
  <c r="H12" i="92"/>
  <c r="H52" i="92"/>
  <c r="H50" i="92"/>
  <c r="H128" i="92"/>
  <c r="H38" i="92"/>
  <c r="H112" i="92"/>
  <c r="H101" i="92"/>
  <c r="H123" i="92"/>
  <c r="H74" i="92"/>
  <c r="H49" i="92"/>
  <c r="H80" i="92"/>
  <c r="H53" i="92"/>
  <c r="H8" i="92"/>
  <c r="H31" i="92"/>
  <c r="H20" i="92"/>
  <c r="H14" i="92"/>
  <c r="H665" i="92"/>
  <c r="H625" i="92"/>
  <c r="H638" i="92"/>
  <c r="H111" i="92"/>
  <c r="H117" i="92"/>
  <c r="H70" i="92"/>
  <c r="H98" i="92"/>
  <c r="H59" i="92"/>
  <c r="H32" i="92"/>
  <c r="H34" i="92"/>
  <c r="H9" i="92"/>
  <c r="H130" i="92"/>
  <c r="H46" i="92"/>
  <c r="H127" i="92"/>
  <c r="H116" i="92"/>
  <c r="H110" i="92"/>
  <c r="H73" i="92"/>
  <c r="H56" i="92"/>
  <c r="H82" i="92"/>
  <c r="H69" i="92"/>
  <c r="H6" i="92"/>
  <c r="H29" i="92"/>
  <c r="H28" i="92"/>
  <c r="P2" i="92"/>
  <c r="P651" i="92"/>
  <c r="P660" i="92"/>
  <c r="P632" i="92"/>
  <c r="P659" i="92"/>
  <c r="P625" i="92"/>
  <c r="P643" i="92"/>
  <c r="P640" i="92"/>
  <c r="P624" i="92"/>
  <c r="P642" i="92"/>
  <c r="P650" i="92"/>
  <c r="P641" i="92"/>
  <c r="P622" i="92"/>
  <c r="P4" i="92"/>
  <c r="P40" i="92"/>
  <c r="P13" i="92"/>
  <c r="P128" i="92"/>
  <c r="P130" i="92"/>
  <c r="P38" i="92"/>
  <c r="P110" i="92"/>
  <c r="P119" i="92"/>
  <c r="P101" i="92"/>
  <c r="P47" i="92"/>
  <c r="P65" i="92"/>
  <c r="P68" i="92"/>
  <c r="P74" i="92"/>
  <c r="P29" i="92"/>
  <c r="P14" i="92"/>
  <c r="P20" i="92"/>
  <c r="P658" i="92"/>
  <c r="P623" i="92"/>
  <c r="P39" i="92"/>
  <c r="P111" i="92"/>
  <c r="P120" i="92"/>
  <c r="P85" i="92"/>
  <c r="P94" i="92"/>
  <c r="P66" i="92"/>
  <c r="P21" i="92"/>
  <c r="P3" i="92"/>
  <c r="P634" i="92"/>
  <c r="P633" i="92"/>
  <c r="P30" i="92"/>
  <c r="P22" i="92"/>
  <c r="P48" i="92"/>
  <c r="P84" i="92"/>
  <c r="P83" i="92"/>
  <c r="P41" i="92"/>
  <c r="P121" i="92"/>
  <c r="P103" i="92"/>
  <c r="P112" i="92"/>
  <c r="P76" i="92"/>
  <c r="P49" i="92"/>
  <c r="P58" i="92"/>
  <c r="P56" i="92"/>
  <c r="P5" i="92"/>
  <c r="P31" i="92"/>
  <c r="P11" i="92"/>
  <c r="P23" i="92"/>
  <c r="P649" i="92"/>
  <c r="P661" i="92"/>
  <c r="P631" i="92"/>
  <c r="P129" i="92"/>
  <c r="P102" i="92"/>
  <c r="P93" i="92"/>
  <c r="P92" i="92"/>
  <c r="P75" i="92"/>
  <c r="P57" i="92"/>
  <c r="P12" i="92"/>
  <c r="W329" i="92"/>
  <c r="W321" i="92"/>
  <c r="W330" i="92"/>
  <c r="W322" i="92"/>
  <c r="W280" i="92"/>
  <c r="W279" i="92"/>
  <c r="W281" i="92"/>
  <c r="W289" i="92"/>
  <c r="W287" i="92"/>
  <c r="W333" i="92"/>
  <c r="W325" i="92"/>
  <c r="W334" i="92"/>
  <c r="W326" i="92"/>
  <c r="W288" i="92"/>
  <c r="W272" i="92"/>
  <c r="W318" i="92"/>
  <c r="W274" i="92"/>
  <c r="W277" i="92"/>
  <c r="W327" i="92"/>
  <c r="W328" i="92"/>
  <c r="W276" i="92"/>
  <c r="W275" i="92"/>
  <c r="W286" i="92"/>
  <c r="W636" i="92"/>
  <c r="W628" i="92"/>
  <c r="W637" i="92"/>
  <c r="W639" i="92"/>
  <c r="W633" i="92"/>
  <c r="W579" i="92"/>
  <c r="W590" i="92"/>
  <c r="W153" i="92"/>
  <c r="W588" i="92"/>
  <c r="W580" i="92"/>
  <c r="W137" i="92"/>
  <c r="W143" i="92"/>
  <c r="W142" i="92"/>
  <c r="W145" i="92"/>
  <c r="W375" i="92"/>
  <c r="W406" i="92"/>
  <c r="W413" i="92"/>
  <c r="W410" i="92"/>
  <c r="W379" i="92"/>
  <c r="W409" i="92"/>
  <c r="W319" i="92"/>
  <c r="W320" i="92"/>
  <c r="W278" i="92"/>
  <c r="W283" i="92"/>
  <c r="W632" i="92"/>
  <c r="W624" i="92"/>
  <c r="W625" i="92"/>
  <c r="W635" i="92"/>
  <c r="W587" i="92"/>
  <c r="W150" i="92"/>
  <c r="W582" i="92"/>
  <c r="W592" i="92"/>
  <c r="W584" i="92"/>
  <c r="W144" i="92"/>
  <c r="W149" i="92"/>
  <c r="W152" i="92"/>
  <c r="W138" i="92"/>
  <c r="W407" i="92"/>
  <c r="W402" i="92"/>
  <c r="W374" i="92"/>
  <c r="W373" i="92"/>
  <c r="W411" i="92"/>
  <c r="W401" i="92"/>
  <c r="W408" i="92"/>
  <c r="W331" i="92"/>
  <c r="W284" i="92"/>
  <c r="W273" i="92"/>
  <c r="W626" i="92"/>
  <c r="W631" i="92"/>
  <c r="W154" i="92"/>
  <c r="W593" i="92"/>
  <c r="W577" i="92"/>
  <c r="W140" i="92"/>
  <c r="W414" i="92"/>
  <c r="W372" i="92"/>
  <c r="W400" i="92"/>
  <c r="W185" i="92"/>
  <c r="W240" i="92"/>
  <c r="W228" i="92"/>
  <c r="W242" i="92"/>
  <c r="W95" i="92"/>
  <c r="W106" i="92"/>
  <c r="W61" i="92"/>
  <c r="W54" i="92"/>
  <c r="W52" i="92"/>
  <c r="W4" i="92"/>
  <c r="W9" i="92"/>
  <c r="W197" i="92"/>
  <c r="W227" i="92"/>
  <c r="W199" i="92"/>
  <c r="W186" i="92"/>
  <c r="W195" i="92"/>
  <c r="W101" i="92"/>
  <c r="W49" i="92"/>
  <c r="W58" i="92"/>
  <c r="W64" i="92"/>
  <c r="W5" i="92"/>
  <c r="W332" i="92"/>
  <c r="W317" i="92"/>
  <c r="W634" i="92"/>
  <c r="W629" i="92"/>
  <c r="W591" i="92"/>
  <c r="W586" i="92"/>
  <c r="W585" i="92"/>
  <c r="W146" i="92"/>
  <c r="W139" i="92"/>
  <c r="W399" i="92"/>
  <c r="W404" i="92"/>
  <c r="W403" i="92"/>
  <c r="W376" i="92"/>
  <c r="W239" i="92"/>
  <c r="W99" i="92"/>
  <c r="W198" i="92"/>
  <c r="W234" i="92"/>
  <c r="W196" i="92"/>
  <c r="W109" i="92"/>
  <c r="W100" i="92"/>
  <c r="W63" i="92"/>
  <c r="W94" i="92"/>
  <c r="W3" i="92"/>
  <c r="W17" i="92"/>
  <c r="W13" i="92"/>
  <c r="W323" i="92"/>
  <c r="W622" i="92"/>
  <c r="W594" i="92"/>
  <c r="W141" i="92"/>
  <c r="W415" i="92"/>
  <c r="W378" i="92"/>
  <c r="W243" i="92"/>
  <c r="W192" i="92"/>
  <c r="W102" i="92"/>
  <c r="W98" i="92"/>
  <c r="W96" i="92"/>
  <c r="W15" i="92"/>
  <c r="W19" i="92"/>
  <c r="W236" i="92"/>
  <c r="W233" i="92"/>
  <c r="W244" i="92"/>
  <c r="W105" i="92"/>
  <c r="W56" i="92"/>
  <c r="W10" i="92"/>
  <c r="W14" i="92"/>
  <c r="W2" i="92"/>
  <c r="W324" i="92"/>
  <c r="W623" i="92"/>
  <c r="W578" i="92"/>
  <c r="W148" i="92"/>
  <c r="W412" i="92"/>
  <c r="W371" i="92"/>
  <c r="W194" i="92"/>
  <c r="W230" i="92"/>
  <c r="W187" i="92"/>
  <c r="W104" i="92"/>
  <c r="W57" i="92"/>
  <c r="W48" i="92"/>
  <c r="W238" i="92"/>
  <c r="W229" i="92"/>
  <c r="W188" i="92"/>
  <c r="W182" i="92"/>
  <c r="W103" i="92"/>
  <c r="W53" i="92"/>
  <c r="W60" i="92"/>
  <c r="W8" i="92"/>
  <c r="W11" i="92"/>
  <c r="W285" i="92"/>
  <c r="W638" i="92"/>
  <c r="W627" i="92"/>
  <c r="W589" i="92"/>
  <c r="W151" i="92"/>
  <c r="W398" i="92"/>
  <c r="W377" i="92"/>
  <c r="W108" i="92"/>
  <c r="W183" i="92"/>
  <c r="W237" i="92"/>
  <c r="W97" i="92"/>
  <c r="W59" i="92"/>
  <c r="W12" i="92"/>
  <c r="W7" i="92"/>
  <c r="W231" i="92"/>
  <c r="W190" i="92"/>
  <c r="W235" i="92"/>
  <c r="W191" i="92"/>
  <c r="W51" i="92"/>
  <c r="W62" i="92"/>
  <c r="W6" i="92"/>
  <c r="W18" i="92"/>
  <c r="W282" i="92"/>
  <c r="W630" i="92"/>
  <c r="W583" i="92"/>
  <c r="W581" i="92"/>
  <c r="W147" i="92"/>
  <c r="W405" i="92"/>
  <c r="W232" i="92"/>
  <c r="W189" i="92"/>
  <c r="W93" i="92"/>
  <c r="W92" i="92"/>
  <c r="W50" i="92"/>
  <c r="W184" i="92"/>
  <c r="W241" i="92"/>
  <c r="W193" i="92"/>
  <c r="W107" i="92"/>
  <c r="W55" i="92"/>
  <c r="W47" i="92"/>
  <c r="W16" i="92"/>
  <c r="S2" i="92"/>
  <c r="S345" i="92"/>
  <c r="S352" i="92"/>
  <c r="S313" i="92"/>
  <c r="S347" i="92"/>
  <c r="S312" i="92"/>
  <c r="S344" i="92"/>
  <c r="S351" i="92"/>
  <c r="S367" i="92"/>
  <c r="S359" i="92"/>
  <c r="S342" i="92"/>
  <c r="S334" i="92"/>
  <c r="S326" i="92"/>
  <c r="S304" i="92"/>
  <c r="S288" i="92"/>
  <c r="S272" i="92"/>
  <c r="S341" i="92"/>
  <c r="S297" i="92"/>
  <c r="S279" i="92"/>
  <c r="S339" i="92"/>
  <c r="S302" i="92"/>
  <c r="S277" i="92"/>
  <c r="S337" i="92"/>
  <c r="S303" i="92"/>
  <c r="S273" i="92"/>
  <c r="S327" i="92"/>
  <c r="S287" i="92"/>
  <c r="S318" i="92"/>
  <c r="S308" i="92"/>
  <c r="S310" i="92"/>
  <c r="S311" i="92"/>
  <c r="S346" i="92"/>
  <c r="S363" i="92"/>
  <c r="S355" i="92"/>
  <c r="S338" i="92"/>
  <c r="S330" i="92"/>
  <c r="S322" i="92"/>
  <c r="S296" i="92"/>
  <c r="S280" i="92"/>
  <c r="S366" i="92"/>
  <c r="S325" i="92"/>
  <c r="S290" i="92"/>
  <c r="S364" i="92"/>
  <c r="S323" i="92"/>
  <c r="S291" i="92"/>
  <c r="S362" i="92"/>
  <c r="S321" i="92"/>
  <c r="S289" i="92"/>
  <c r="S278" i="92"/>
  <c r="S301" i="92"/>
  <c r="S360" i="92"/>
  <c r="S285" i="92"/>
  <c r="S348" i="92"/>
  <c r="S316" i="92"/>
  <c r="S357" i="92"/>
  <c r="S332" i="92"/>
  <c r="S300" i="92"/>
  <c r="S370" i="92"/>
  <c r="S295" i="92"/>
  <c r="S331" i="92"/>
  <c r="S275" i="92"/>
  <c r="S298" i="92"/>
  <c r="S317" i="92"/>
  <c r="S299" i="92"/>
  <c r="S665" i="92"/>
  <c r="S657" i="92"/>
  <c r="S651" i="92"/>
  <c r="S643" i="92"/>
  <c r="S623" i="92"/>
  <c r="S642" i="92"/>
  <c r="S634" i="92"/>
  <c r="S626" i="92"/>
  <c r="S631" i="92"/>
  <c r="S637" i="92"/>
  <c r="S664" i="92"/>
  <c r="S622" i="92"/>
  <c r="S608" i="92"/>
  <c r="S592" i="92"/>
  <c r="S181" i="92"/>
  <c r="S163" i="92"/>
  <c r="S148" i="92"/>
  <c r="S607" i="92"/>
  <c r="S591" i="92"/>
  <c r="S180" i="92"/>
  <c r="S162" i="92"/>
  <c r="S147" i="92"/>
  <c r="S165" i="92"/>
  <c r="S145" i="92"/>
  <c r="S594" i="92"/>
  <c r="S149" i="92"/>
  <c r="S609" i="92"/>
  <c r="S593" i="92"/>
  <c r="S577" i="92"/>
  <c r="S137" i="92"/>
  <c r="S602" i="92"/>
  <c r="S140" i="92"/>
  <c r="S164" i="92"/>
  <c r="S139" i="92"/>
  <c r="S576" i="92"/>
  <c r="S412" i="92"/>
  <c r="S404" i="92"/>
  <c r="S399" i="92"/>
  <c r="S408" i="92"/>
  <c r="S391" i="92"/>
  <c r="S382" i="92"/>
  <c r="S381" i="92"/>
  <c r="S380" i="92"/>
  <c r="S379" i="92"/>
  <c r="S385" i="92"/>
  <c r="S349" i="92"/>
  <c r="S309" i="92"/>
  <c r="S365" i="92"/>
  <c r="S340" i="92"/>
  <c r="S324" i="92"/>
  <c r="S284" i="92"/>
  <c r="S333" i="92"/>
  <c r="S274" i="92"/>
  <c r="S293" i="92"/>
  <c r="S329" i="92"/>
  <c r="S335" i="92"/>
  <c r="S282" i="92"/>
  <c r="S661" i="92"/>
  <c r="S655" i="92"/>
  <c r="S647" i="92"/>
  <c r="S650" i="92"/>
  <c r="S656" i="92"/>
  <c r="S638" i="92"/>
  <c r="S630" i="92"/>
  <c r="S652" i="92"/>
  <c r="S624" i="92"/>
  <c r="S644" i="92"/>
  <c r="S633" i="92"/>
  <c r="S616" i="92"/>
  <c r="S600" i="92"/>
  <c r="S584" i="92"/>
  <c r="S170" i="92"/>
  <c r="S155" i="92"/>
  <c r="S615" i="92"/>
  <c r="S599" i="92"/>
  <c r="S583" i="92"/>
  <c r="S173" i="92"/>
  <c r="S154" i="92"/>
  <c r="S172" i="92"/>
  <c r="S157" i="92"/>
  <c r="S610" i="92"/>
  <c r="S582" i="92"/>
  <c r="S617" i="92"/>
  <c r="S601" i="92"/>
  <c r="S585" i="92"/>
  <c r="S144" i="92"/>
  <c r="S614" i="92"/>
  <c r="S578" i="92"/>
  <c r="S156" i="92"/>
  <c r="S175" i="92"/>
  <c r="S167" i="92"/>
  <c r="S575" i="92"/>
  <c r="S411" i="92"/>
  <c r="S402" i="92"/>
  <c r="S406" i="92"/>
  <c r="S415" i="92"/>
  <c r="S401" i="92"/>
  <c r="S384" i="92"/>
  <c r="S375" i="92"/>
  <c r="S397" i="92"/>
  <c r="S396" i="92"/>
  <c r="S395" i="92"/>
  <c r="S393" i="92"/>
  <c r="S377" i="92"/>
  <c r="S353" i="92"/>
  <c r="S292" i="92"/>
  <c r="S281" i="92"/>
  <c r="S354" i="92"/>
  <c r="S294" i="92"/>
  <c r="S663" i="92"/>
  <c r="S649" i="92"/>
  <c r="S660" i="92"/>
  <c r="S632" i="92"/>
  <c r="S627" i="92"/>
  <c r="S654" i="92"/>
  <c r="S604" i="92"/>
  <c r="S174" i="92"/>
  <c r="S619" i="92"/>
  <c r="S587" i="92"/>
  <c r="S158" i="92"/>
  <c r="S161" i="92"/>
  <c r="S586" i="92"/>
  <c r="S605" i="92"/>
  <c r="S178" i="92"/>
  <c r="S590" i="92"/>
  <c r="S152" i="92"/>
  <c r="S573" i="92"/>
  <c r="S403" i="92"/>
  <c r="S400" i="92"/>
  <c r="S383" i="92"/>
  <c r="S373" i="92"/>
  <c r="S371" i="92"/>
  <c r="S202" i="92"/>
  <c r="S90" i="92"/>
  <c r="S259" i="92"/>
  <c r="S201" i="92"/>
  <c r="S234" i="92"/>
  <c r="S250" i="92"/>
  <c r="S210" i="92"/>
  <c r="S255" i="92"/>
  <c r="S196" i="92"/>
  <c r="S264" i="92"/>
  <c r="S205" i="92"/>
  <c r="S219" i="92"/>
  <c r="S129" i="92"/>
  <c r="S102" i="92"/>
  <c r="S117" i="92"/>
  <c r="S120" i="92"/>
  <c r="S91" i="92"/>
  <c r="S75" i="92"/>
  <c r="S57" i="92"/>
  <c r="S81" i="92"/>
  <c r="S63" i="92"/>
  <c r="S86" i="92"/>
  <c r="S12" i="92"/>
  <c r="S21" i="92"/>
  <c r="S9" i="92"/>
  <c r="S15" i="92"/>
  <c r="S52" i="92"/>
  <c r="S13" i="92"/>
  <c r="S269" i="92"/>
  <c r="S224" i="92"/>
  <c r="S132" i="92"/>
  <c r="S38" i="92"/>
  <c r="S260" i="92"/>
  <c r="S213" i="92"/>
  <c r="S245" i="92"/>
  <c r="S258" i="92"/>
  <c r="S204" i="92"/>
  <c r="S262" i="92"/>
  <c r="S191" i="92"/>
  <c r="S195" i="92"/>
  <c r="S182" i="92"/>
  <c r="S241" i="92"/>
  <c r="S119" i="92"/>
  <c r="S103" i="92"/>
  <c r="S101" i="92"/>
  <c r="S107" i="92"/>
  <c r="S68" i="92"/>
  <c r="S69" i="92"/>
  <c r="S56" i="92"/>
  <c r="S58" i="92"/>
  <c r="S80" i="92"/>
  <c r="S5" i="92"/>
  <c r="S31" i="92"/>
  <c r="S315" i="92"/>
  <c r="S369" i="92"/>
  <c r="S328" i="92"/>
  <c r="S358" i="92"/>
  <c r="S307" i="92"/>
  <c r="S343" i="92"/>
  <c r="S283" i="92"/>
  <c r="S666" i="92"/>
  <c r="S662" i="92"/>
  <c r="S640" i="92"/>
  <c r="S658" i="92"/>
  <c r="S629" i="92"/>
  <c r="S620" i="92"/>
  <c r="S588" i="92"/>
  <c r="S159" i="92"/>
  <c r="S603" i="92"/>
  <c r="S177" i="92"/>
  <c r="S176" i="92"/>
  <c r="S138" i="92"/>
  <c r="S621" i="92"/>
  <c r="S589" i="92"/>
  <c r="S618" i="92"/>
  <c r="S171" i="92"/>
  <c r="S146" i="92"/>
  <c r="S410" i="92"/>
  <c r="S414" i="92"/>
  <c r="S409" i="92"/>
  <c r="S392" i="92"/>
  <c r="S374" i="92"/>
  <c r="S372" i="92"/>
  <c r="S378" i="92"/>
  <c r="S39" i="92"/>
  <c r="S220" i="92"/>
  <c r="S108" i="92"/>
  <c r="S232" i="92"/>
  <c r="S216" i="92"/>
  <c r="S198" i="92"/>
  <c r="S266" i="92"/>
  <c r="S192" i="92"/>
  <c r="S230" i="92"/>
  <c r="S135" i="92"/>
  <c r="S257" i="92"/>
  <c r="S133" i="92"/>
  <c r="S246" i="92"/>
  <c r="S93" i="92"/>
  <c r="S95" i="92"/>
  <c r="S122" i="92"/>
  <c r="S106" i="92"/>
  <c r="S92" i="92"/>
  <c r="S87" i="92"/>
  <c r="S66" i="92"/>
  <c r="S88" i="92"/>
  <c r="S72" i="92"/>
  <c r="S54" i="92"/>
  <c r="S36" i="92"/>
  <c r="S25" i="92"/>
  <c r="S17" i="92"/>
  <c r="S22" i="92"/>
  <c r="S30" i="92"/>
  <c r="S265" i="92"/>
  <c r="S218" i="92"/>
  <c r="S276" i="92"/>
  <c r="S305" i="92"/>
  <c r="S645" i="92"/>
  <c r="S628" i="92"/>
  <c r="S625" i="92"/>
  <c r="S166" i="92"/>
  <c r="S579" i="92"/>
  <c r="S153" i="92"/>
  <c r="S597" i="92"/>
  <c r="S143" i="92"/>
  <c r="S413" i="92"/>
  <c r="S376" i="92"/>
  <c r="S387" i="92"/>
  <c r="S248" i="92"/>
  <c r="S243" i="92"/>
  <c r="S185" i="92"/>
  <c r="S228" i="92"/>
  <c r="S214" i="92"/>
  <c r="S111" i="92"/>
  <c r="S97" i="92"/>
  <c r="S94" i="92"/>
  <c r="S96" i="92"/>
  <c r="S59" i="92"/>
  <c r="S27" i="92"/>
  <c r="S48" i="92"/>
  <c r="S267" i="92"/>
  <c r="S136" i="92"/>
  <c r="S84" i="92"/>
  <c r="S42" i="92"/>
  <c r="S199" i="92"/>
  <c r="S197" i="92"/>
  <c r="S217" i="92"/>
  <c r="S256" i="92"/>
  <c r="S200" i="92"/>
  <c r="S238" i="92"/>
  <c r="S251" i="92"/>
  <c r="S110" i="92"/>
  <c r="S116" i="92"/>
  <c r="S51" i="92"/>
  <c r="S55" i="92"/>
  <c r="S49" i="92"/>
  <c r="S78" i="92"/>
  <c r="S37" i="92"/>
  <c r="S24" i="92"/>
  <c r="S18" i="92"/>
  <c r="S314" i="92"/>
  <c r="S361" i="92"/>
  <c r="S306" i="92"/>
  <c r="S368" i="92"/>
  <c r="S641" i="92"/>
  <c r="S639" i="92"/>
  <c r="S612" i="92"/>
  <c r="S151" i="92"/>
  <c r="S169" i="92"/>
  <c r="S598" i="92"/>
  <c r="S581" i="92"/>
  <c r="S142" i="92"/>
  <c r="S405" i="92"/>
  <c r="S390" i="92"/>
  <c r="S386" i="92"/>
  <c r="S239" i="92"/>
  <c r="S113" i="92"/>
  <c r="S261" i="92"/>
  <c r="S252" i="92"/>
  <c r="S225" i="92"/>
  <c r="S268" i="92"/>
  <c r="S242" i="92"/>
  <c r="S100" i="92"/>
  <c r="S109" i="92"/>
  <c r="S79" i="92"/>
  <c r="S89" i="92"/>
  <c r="S85" i="92"/>
  <c r="S32" i="92"/>
  <c r="S34" i="92"/>
  <c r="S43" i="92"/>
  <c r="S263" i="92"/>
  <c r="S226" i="92"/>
  <c r="S134" i="92"/>
  <c r="S83" i="92"/>
  <c r="S41" i="92"/>
  <c r="S254" i="92"/>
  <c r="S188" i="92"/>
  <c r="S184" i="92"/>
  <c r="S193" i="92"/>
  <c r="S249" i="92"/>
  <c r="S186" i="92"/>
  <c r="S233" i="92"/>
  <c r="S208" i="92"/>
  <c r="S105" i="92"/>
  <c r="S123" i="92"/>
  <c r="S53" i="92"/>
  <c r="S73" i="92"/>
  <c r="S74" i="92"/>
  <c r="S10" i="92"/>
  <c r="S35" i="92"/>
  <c r="S23" i="92"/>
  <c r="S16" i="92"/>
  <c r="S350" i="92"/>
  <c r="S336" i="92"/>
  <c r="S356" i="92"/>
  <c r="S319" i="92"/>
  <c r="S659" i="92"/>
  <c r="S648" i="92"/>
  <c r="S646" i="92"/>
  <c r="S596" i="92"/>
  <c r="S611" i="92"/>
  <c r="S150" i="92"/>
  <c r="S179" i="92"/>
  <c r="S141" i="92"/>
  <c r="S160" i="92"/>
  <c r="S407" i="92"/>
  <c r="S389" i="92"/>
  <c r="S394" i="92"/>
  <c r="S194" i="92"/>
  <c r="S99" i="92"/>
  <c r="S240" i="92"/>
  <c r="S222" i="92"/>
  <c r="S187" i="92"/>
  <c r="S189" i="92"/>
  <c r="S207" i="92"/>
  <c r="S183" i="92"/>
  <c r="S115" i="92"/>
  <c r="S104" i="92"/>
  <c r="S98" i="92"/>
  <c r="S70" i="92"/>
  <c r="S77" i="92"/>
  <c r="S3" i="92"/>
  <c r="S4" i="92"/>
  <c r="S50" i="92"/>
  <c r="S221" i="92"/>
  <c r="S130" i="92"/>
  <c r="S44" i="92"/>
  <c r="S247" i="92"/>
  <c r="S253" i="92"/>
  <c r="S236" i="92"/>
  <c r="S235" i="92"/>
  <c r="S203" i="92"/>
  <c r="S244" i="92"/>
  <c r="S211" i="92"/>
  <c r="S125" i="92"/>
  <c r="S127" i="92"/>
  <c r="S118" i="92"/>
  <c r="S82" i="92"/>
  <c r="S47" i="92"/>
  <c r="S71" i="92"/>
  <c r="S76" i="92"/>
  <c r="S8" i="92"/>
  <c r="S33" i="92"/>
  <c r="S28" i="92"/>
  <c r="S20" i="92"/>
  <c r="S14" i="92"/>
  <c r="S320" i="92"/>
  <c r="S286" i="92"/>
  <c r="S653" i="92"/>
  <c r="S636" i="92"/>
  <c r="S635" i="92"/>
  <c r="S580" i="92"/>
  <c r="S595" i="92"/>
  <c r="S168" i="92"/>
  <c r="S613" i="92"/>
  <c r="S606" i="92"/>
  <c r="S574" i="92"/>
  <c r="S398" i="92"/>
  <c r="S388" i="92"/>
  <c r="S212" i="92"/>
  <c r="S223" i="92"/>
  <c r="S131" i="92"/>
  <c r="S126" i="92"/>
  <c r="S270" i="92"/>
  <c r="S237" i="92"/>
  <c r="S124" i="92"/>
  <c r="S45" i="92"/>
  <c r="S61" i="92"/>
  <c r="S67" i="92"/>
  <c r="S40" i="92"/>
  <c r="S7" i="92"/>
  <c r="S19" i="92"/>
  <c r="S271" i="92"/>
  <c r="S128" i="92"/>
  <c r="S46" i="92"/>
  <c r="S227" i="92"/>
  <c r="S209" i="92"/>
  <c r="S229" i="92"/>
  <c r="S215" i="92"/>
  <c r="S206" i="92"/>
  <c r="S231" i="92"/>
  <c r="S190" i="92"/>
  <c r="S114" i="92"/>
  <c r="S121" i="92"/>
  <c r="S112" i="92"/>
  <c r="S65" i="92"/>
  <c r="S64" i="92"/>
  <c r="S62" i="92"/>
  <c r="S60" i="92"/>
  <c r="S6" i="92"/>
  <c r="S29" i="92"/>
  <c r="S26" i="92"/>
  <c r="S11" i="92"/>
  <c r="M399" i="92"/>
  <c r="M404" i="92"/>
  <c r="M406" i="92"/>
  <c r="M374" i="92"/>
  <c r="M403" i="92"/>
  <c r="M397" i="92"/>
  <c r="M396" i="92"/>
  <c r="M394" i="92"/>
  <c r="M401" i="92"/>
  <c r="M408" i="92"/>
  <c r="M376" i="92"/>
  <c r="M415" i="92"/>
  <c r="M375" i="92"/>
  <c r="M398" i="92"/>
  <c r="M388" i="92"/>
  <c r="M405" i="92"/>
  <c r="M387" i="92"/>
  <c r="M378" i="92"/>
  <c r="M377" i="92"/>
  <c r="M411" i="92"/>
  <c r="M391" i="92"/>
  <c r="M395" i="92"/>
  <c r="M382" i="92"/>
  <c r="M371" i="92"/>
  <c r="M381" i="92"/>
  <c r="M402" i="92"/>
  <c r="M393" i="92"/>
  <c r="M392" i="92"/>
  <c r="M380" i="92"/>
  <c r="M372" i="92"/>
  <c r="M410" i="92"/>
  <c r="M400" i="92"/>
  <c r="M407" i="92"/>
  <c r="M390" i="92"/>
  <c r="M389" i="92"/>
  <c r="M409" i="92"/>
  <c r="M379" i="92"/>
  <c r="M412" i="92"/>
  <c r="M385" i="92"/>
  <c r="M383" i="92"/>
  <c r="M373" i="92"/>
  <c r="M413" i="92"/>
  <c r="M384" i="92"/>
  <c r="M414" i="92"/>
  <c r="M386" i="92"/>
  <c r="M2" i="92"/>
  <c r="M663" i="92"/>
  <c r="M666" i="92"/>
  <c r="M649" i="92"/>
  <c r="M660" i="92"/>
  <c r="M623" i="92"/>
  <c r="M640" i="92"/>
  <c r="M632" i="92"/>
  <c r="M664" i="92"/>
  <c r="M629" i="92"/>
  <c r="M635" i="92"/>
  <c r="M633" i="92"/>
  <c r="M619" i="92"/>
  <c r="M603" i="92"/>
  <c r="M587" i="92"/>
  <c r="M177" i="92"/>
  <c r="M158" i="92"/>
  <c r="M614" i="92"/>
  <c r="M598" i="92"/>
  <c r="M582" i="92"/>
  <c r="M172" i="92"/>
  <c r="M157" i="92"/>
  <c r="M166" i="92"/>
  <c r="M151" i="92"/>
  <c r="M137" i="92"/>
  <c r="M584" i="92"/>
  <c r="M167" i="92"/>
  <c r="M152" i="92"/>
  <c r="M616" i="92"/>
  <c r="M588" i="92"/>
  <c r="M146" i="92"/>
  <c r="M138" i="92"/>
  <c r="M601" i="92"/>
  <c r="M605" i="92"/>
  <c r="M577" i="92"/>
  <c r="M665" i="92"/>
  <c r="M655" i="92"/>
  <c r="M645" i="92"/>
  <c r="M642" i="92"/>
  <c r="M638" i="92"/>
  <c r="M628" i="92"/>
  <c r="M637" i="92"/>
  <c r="M627" i="92"/>
  <c r="M639" i="92"/>
  <c r="M607" i="92"/>
  <c r="M583" i="92"/>
  <c r="M169" i="92"/>
  <c r="M618" i="92"/>
  <c r="M594" i="92"/>
  <c r="M179" i="92"/>
  <c r="M161" i="92"/>
  <c r="M163" i="92"/>
  <c r="M144" i="92"/>
  <c r="M592" i="92"/>
  <c r="M164" i="92"/>
  <c r="M140" i="92"/>
  <c r="M604" i="92"/>
  <c r="M613" i="92"/>
  <c r="M139" i="92"/>
  <c r="M621" i="92"/>
  <c r="M148" i="92"/>
  <c r="M659" i="92"/>
  <c r="M651" i="92"/>
  <c r="M656" i="92"/>
  <c r="M654" i="92"/>
  <c r="M634" i="92"/>
  <c r="M650" i="92"/>
  <c r="M622" i="92"/>
  <c r="M652" i="92"/>
  <c r="M615" i="92"/>
  <c r="M595" i="92"/>
  <c r="M180" i="92"/>
  <c r="M154" i="92"/>
  <c r="M606" i="92"/>
  <c r="M586" i="92"/>
  <c r="M168" i="92"/>
  <c r="M174" i="92"/>
  <c r="M155" i="92"/>
  <c r="M600" i="92"/>
  <c r="M175" i="92"/>
  <c r="M156" i="92"/>
  <c r="M612" i="92"/>
  <c r="M181" i="92"/>
  <c r="M581" i="92"/>
  <c r="M585" i="92"/>
  <c r="M178" i="92"/>
  <c r="M661" i="92"/>
  <c r="M643" i="92"/>
  <c r="M636" i="92"/>
  <c r="M641" i="92"/>
  <c r="M631" i="92"/>
  <c r="M579" i="92"/>
  <c r="M610" i="92"/>
  <c r="M176" i="92"/>
  <c r="M159" i="92"/>
  <c r="M142" i="92"/>
  <c r="M620" i="92"/>
  <c r="M597" i="92"/>
  <c r="M589" i="92"/>
  <c r="M45" i="92"/>
  <c r="M21" i="92"/>
  <c r="M36" i="92"/>
  <c r="M34" i="92"/>
  <c r="M19" i="92"/>
  <c r="M27" i="92"/>
  <c r="M44" i="92"/>
  <c r="M5" i="92"/>
  <c r="M33" i="92"/>
  <c r="M35" i="92"/>
  <c r="M653" i="92"/>
  <c r="M658" i="92"/>
  <c r="M626" i="92"/>
  <c r="M624" i="92"/>
  <c r="M599" i="92"/>
  <c r="M162" i="92"/>
  <c r="M590" i="92"/>
  <c r="M153" i="92"/>
  <c r="M141" i="92"/>
  <c r="M160" i="92"/>
  <c r="M580" i="92"/>
  <c r="M617" i="92"/>
  <c r="M32" i="92"/>
  <c r="M15" i="92"/>
  <c r="M13" i="92"/>
  <c r="M40" i="92"/>
  <c r="M7" i="92"/>
  <c r="M647" i="92"/>
  <c r="M644" i="92"/>
  <c r="M591" i="92"/>
  <c r="M578" i="92"/>
  <c r="M596" i="92"/>
  <c r="M147" i="92"/>
  <c r="M12" i="92"/>
  <c r="M25" i="92"/>
  <c r="M22" i="92"/>
  <c r="M38" i="92"/>
  <c r="M8" i="92"/>
  <c r="M31" i="92"/>
  <c r="M23" i="92"/>
  <c r="M648" i="92"/>
  <c r="M662" i="92"/>
  <c r="M173" i="92"/>
  <c r="M165" i="92"/>
  <c r="M171" i="92"/>
  <c r="M593" i="92"/>
  <c r="M43" i="92"/>
  <c r="M9" i="92"/>
  <c r="M46" i="92"/>
  <c r="M6" i="92"/>
  <c r="M29" i="92"/>
  <c r="M28" i="92"/>
  <c r="M20" i="92"/>
  <c r="M14" i="92"/>
  <c r="M646" i="92"/>
  <c r="M625" i="92"/>
  <c r="M150" i="92"/>
  <c r="M170" i="92"/>
  <c r="M143" i="92"/>
  <c r="M145" i="92"/>
  <c r="M39" i="92"/>
  <c r="M4" i="92"/>
  <c r="M17" i="92"/>
  <c r="M42" i="92"/>
  <c r="M37" i="92"/>
  <c r="M26" i="92"/>
  <c r="M11" i="92"/>
  <c r="M18" i="92"/>
  <c r="M657" i="92"/>
  <c r="M630" i="92"/>
  <c r="M611" i="92"/>
  <c r="M602" i="92"/>
  <c r="M149" i="92"/>
  <c r="M608" i="92"/>
  <c r="M609" i="92"/>
  <c r="M3" i="92"/>
  <c r="M30" i="92"/>
  <c r="M41" i="92"/>
  <c r="M10" i="92"/>
  <c r="M24" i="92"/>
  <c r="M16" i="92"/>
  <c r="N315" i="92"/>
  <c r="N312" i="92"/>
  <c r="N309" i="92"/>
  <c r="N308" i="92"/>
  <c r="N296" i="92"/>
  <c r="N280" i="92"/>
  <c r="N302" i="92"/>
  <c r="N277" i="92"/>
  <c r="N298" i="92"/>
  <c r="N273" i="92"/>
  <c r="N285" i="92"/>
  <c r="N306" i="92"/>
  <c r="N290" i="92"/>
  <c r="N658" i="92"/>
  <c r="N642" i="92"/>
  <c r="N626" i="92"/>
  <c r="N657" i="92"/>
  <c r="N641" i="92"/>
  <c r="N625" i="92"/>
  <c r="N640" i="92"/>
  <c r="N663" i="92"/>
  <c r="N631" i="92"/>
  <c r="N636" i="92"/>
  <c r="N651" i="92"/>
  <c r="N615" i="92"/>
  <c r="N599" i="92"/>
  <c r="N583" i="92"/>
  <c r="N610" i="92"/>
  <c r="N594" i="92"/>
  <c r="N578" i="92"/>
  <c r="N597" i="92"/>
  <c r="N612" i="92"/>
  <c r="N580" i="92"/>
  <c r="N593" i="92"/>
  <c r="N616" i="92"/>
  <c r="N314" i="92"/>
  <c r="N310" i="92"/>
  <c r="N304" i="92"/>
  <c r="N284" i="92"/>
  <c r="N293" i="92"/>
  <c r="N305" i="92"/>
  <c r="N282" i="92"/>
  <c r="N283" i="92"/>
  <c r="N278" i="92"/>
  <c r="N662" i="92"/>
  <c r="N638" i="92"/>
  <c r="N665" i="92"/>
  <c r="N645" i="92"/>
  <c r="N664" i="92"/>
  <c r="N624" i="92"/>
  <c r="N639" i="92"/>
  <c r="N628" i="92"/>
  <c r="N635" i="92"/>
  <c r="N603" i="92"/>
  <c r="N579" i="92"/>
  <c r="N602" i="92"/>
  <c r="N582" i="92"/>
  <c r="N589" i="92"/>
  <c r="N596" i="92"/>
  <c r="N601" i="92"/>
  <c r="N584" i="92"/>
  <c r="N402" i="92"/>
  <c r="N410" i="92"/>
  <c r="N407" i="92"/>
  <c r="N398" i="92"/>
  <c r="N404" i="92"/>
  <c r="N256" i="92"/>
  <c r="N271" i="92"/>
  <c r="N391" i="92"/>
  <c r="N374" i="92"/>
  <c r="N381" i="92"/>
  <c r="N395" i="92"/>
  <c r="N269" i="92"/>
  <c r="N237" i="92"/>
  <c r="N378" i="92"/>
  <c r="N244" i="92"/>
  <c r="N385" i="92"/>
  <c r="N251" i="92"/>
  <c r="N392" i="92"/>
  <c r="N258" i="92"/>
  <c r="N375" i="92"/>
  <c r="N263" i="92"/>
  <c r="N246" i="92"/>
  <c r="N262" i="92"/>
  <c r="N520" i="92"/>
  <c r="N516" i="92"/>
  <c r="N512" i="92"/>
  <c r="N508" i="92"/>
  <c r="N504" i="92"/>
  <c r="N500" i="92"/>
  <c r="N496" i="92"/>
  <c r="E496" i="92" s="1"/>
  <c r="N492" i="92"/>
  <c r="N488" i="92"/>
  <c r="N484" i="92"/>
  <c r="N480" i="92"/>
  <c r="N311" i="92"/>
  <c r="N292" i="92"/>
  <c r="N272" i="92"/>
  <c r="N286" i="92"/>
  <c r="N289" i="92"/>
  <c r="N299" i="92"/>
  <c r="N279" i="92"/>
  <c r="N274" i="92"/>
  <c r="N650" i="92"/>
  <c r="N630" i="92"/>
  <c r="N653" i="92"/>
  <c r="N633" i="92"/>
  <c r="N648" i="92"/>
  <c r="N655" i="92"/>
  <c r="N660" i="92"/>
  <c r="N627" i="92"/>
  <c r="N611" i="92"/>
  <c r="N591" i="92"/>
  <c r="N614" i="92"/>
  <c r="N590" i="92"/>
  <c r="N613" i="92"/>
  <c r="N620" i="92"/>
  <c r="N617" i="92"/>
  <c r="N577" i="92"/>
  <c r="N600" i="92"/>
  <c r="N408" i="92"/>
  <c r="N400" i="92"/>
  <c r="N414" i="92"/>
  <c r="N405" i="92"/>
  <c r="N233" i="92"/>
  <c r="N389" i="92"/>
  <c r="N396" i="92"/>
  <c r="N241" i="92"/>
  <c r="N240" i="92"/>
  <c r="N231" i="92"/>
  <c r="N379" i="92"/>
  <c r="N253" i="92"/>
  <c r="N394" i="92"/>
  <c r="N260" i="92"/>
  <c r="N228" i="92"/>
  <c r="N267" i="92"/>
  <c r="N235" i="92"/>
  <c r="N376" i="92"/>
  <c r="N242" i="92"/>
  <c r="N249" i="92"/>
  <c r="N380" i="92"/>
  <c r="N230" i="92"/>
  <c r="N522" i="92"/>
  <c r="N518" i="92"/>
  <c r="N514" i="92"/>
  <c r="N510" i="92"/>
  <c r="N506" i="92"/>
  <c r="E506" i="92" s="1"/>
  <c r="N502" i="92"/>
  <c r="N498" i="92"/>
  <c r="N494" i="92"/>
  <c r="N490" i="92"/>
  <c r="N316" i="92"/>
  <c r="N276" i="92"/>
  <c r="N303" i="92"/>
  <c r="N281" i="92"/>
  <c r="N654" i="92"/>
  <c r="N661" i="92"/>
  <c r="N656" i="92"/>
  <c r="N623" i="92"/>
  <c r="N619" i="92"/>
  <c r="N618" i="92"/>
  <c r="N621" i="92"/>
  <c r="N588" i="92"/>
  <c r="N608" i="92"/>
  <c r="N401" i="92"/>
  <c r="N399" i="92"/>
  <c r="N234" i="92"/>
  <c r="N247" i="92"/>
  <c r="N264" i="92"/>
  <c r="N387" i="92"/>
  <c r="N229" i="92"/>
  <c r="N236" i="92"/>
  <c r="N243" i="92"/>
  <c r="N250" i="92"/>
  <c r="N239" i="92"/>
  <c r="N517" i="92"/>
  <c r="N509" i="92"/>
  <c r="N501" i="92"/>
  <c r="N493" i="92"/>
  <c r="N486" i="92"/>
  <c r="N481" i="92"/>
  <c r="N300" i="92"/>
  <c r="N291" i="92"/>
  <c r="N301" i="92"/>
  <c r="N297" i="92"/>
  <c r="N634" i="92"/>
  <c r="N637" i="92"/>
  <c r="N652" i="92"/>
  <c r="N659" i="92"/>
  <c r="N595" i="92"/>
  <c r="N598" i="92"/>
  <c r="N581" i="92"/>
  <c r="N585" i="92"/>
  <c r="N409" i="92"/>
  <c r="N413" i="92"/>
  <c r="N232" i="92"/>
  <c r="N265" i="92"/>
  <c r="N255" i="92"/>
  <c r="N261" i="92"/>
  <c r="N268" i="92"/>
  <c r="N377" i="92"/>
  <c r="N384" i="92"/>
  <c r="N257" i="92"/>
  <c r="N238" i="92"/>
  <c r="N521" i="92"/>
  <c r="N513" i="92"/>
  <c r="N505" i="92"/>
  <c r="N497" i="92"/>
  <c r="N489" i="92"/>
  <c r="N483" i="92"/>
  <c r="N288" i="92"/>
  <c r="N294" i="92"/>
  <c r="N622" i="92"/>
  <c r="N647" i="92"/>
  <c r="N587" i="92"/>
  <c r="N604" i="92"/>
  <c r="N415" i="92"/>
  <c r="N373" i="92"/>
  <c r="N388" i="92"/>
  <c r="N252" i="92"/>
  <c r="N266" i="92"/>
  <c r="N270" i="92"/>
  <c r="N511" i="92"/>
  <c r="N495" i="92"/>
  <c r="N482" i="92"/>
  <c r="N108" i="92"/>
  <c r="N131" i="92"/>
  <c r="N122" i="92"/>
  <c r="N111" i="92"/>
  <c r="N102" i="92"/>
  <c r="N93" i="92"/>
  <c r="N92" i="92"/>
  <c r="N136" i="92"/>
  <c r="N128" i="92"/>
  <c r="N127" i="92"/>
  <c r="N119" i="92"/>
  <c r="N112" i="92"/>
  <c r="N103" i="92"/>
  <c r="N275" i="92"/>
  <c r="N666" i="92"/>
  <c r="N629" i="92"/>
  <c r="N643" i="92"/>
  <c r="N586" i="92"/>
  <c r="N592" i="92"/>
  <c r="N411" i="92"/>
  <c r="N412" i="92"/>
  <c r="N390" i="92"/>
  <c r="N245" i="92"/>
  <c r="N259" i="92"/>
  <c r="N248" i="92"/>
  <c r="N519" i="92"/>
  <c r="N503" i="92"/>
  <c r="N487" i="92"/>
  <c r="N135" i="92"/>
  <c r="N126" i="92"/>
  <c r="N117" i="92"/>
  <c r="N106" i="92"/>
  <c r="N97" i="92"/>
  <c r="N96" i="92"/>
  <c r="N132" i="92"/>
  <c r="N123" i="92"/>
  <c r="N116" i="92"/>
  <c r="N107" i="92"/>
  <c r="N646" i="92"/>
  <c r="N607" i="92"/>
  <c r="N406" i="92"/>
  <c r="N371" i="92"/>
  <c r="N383" i="92"/>
  <c r="N507" i="92"/>
  <c r="N479" i="92"/>
  <c r="E479" i="92" s="1"/>
  <c r="N113" i="92"/>
  <c r="N124" i="92"/>
  <c r="N104" i="92"/>
  <c r="N94" i="92"/>
  <c r="N134" i="92"/>
  <c r="N118" i="92"/>
  <c r="N101" i="92"/>
  <c r="N313" i="92"/>
  <c r="N287" i="92"/>
  <c r="N632" i="92"/>
  <c r="N605" i="92"/>
  <c r="N372" i="92"/>
  <c r="N393" i="92"/>
  <c r="N523" i="92"/>
  <c r="E523" i="92" s="1"/>
  <c r="N491" i="92"/>
  <c r="N133" i="92"/>
  <c r="N115" i="92"/>
  <c r="N95" i="92"/>
  <c r="N125" i="92"/>
  <c r="N110" i="92"/>
  <c r="N295" i="92"/>
  <c r="N609" i="92"/>
  <c r="N403" i="92"/>
  <c r="N227" i="92"/>
  <c r="N485" i="92"/>
  <c r="N109" i="92"/>
  <c r="N649" i="92"/>
  <c r="N382" i="92"/>
  <c r="N254" i="92"/>
  <c r="N99" i="92"/>
  <c r="N100" i="92"/>
  <c r="N121" i="92"/>
  <c r="N644" i="92"/>
  <c r="N397" i="92"/>
  <c r="N515" i="92"/>
  <c r="N129" i="92"/>
  <c r="N98" i="92"/>
  <c r="N130" i="92"/>
  <c r="N114" i="92"/>
  <c r="N307" i="92"/>
  <c r="N606" i="92"/>
  <c r="N386" i="92"/>
  <c r="N499" i="92"/>
  <c r="N120" i="92"/>
  <c r="N105" i="92"/>
  <c r="J43" i="72" l="1"/>
  <c r="H9" i="101"/>
  <c r="S23" i="104" s="1"/>
  <c r="K9" i="101"/>
  <c r="T23" i="104" s="1"/>
  <c r="K12" i="95"/>
  <c r="H12" i="95" s="1"/>
  <c r="J9" i="95"/>
  <c r="T20" i="104" s="1"/>
  <c r="J12" i="95"/>
  <c r="K9" i="95"/>
  <c r="J22" i="72"/>
  <c r="J13" i="72" s="1"/>
  <c r="I13" i="72"/>
  <c r="D10" i="72" s="1"/>
  <c r="K22" i="72"/>
  <c r="L9" i="97"/>
  <c r="E497" i="92"/>
  <c r="O14" i="97"/>
  <c r="O12" i="97" s="1"/>
  <c r="O9" i="97" s="1"/>
  <c r="P14" i="97"/>
  <c r="P12" i="97" s="1"/>
  <c r="N12" i="97"/>
  <c r="N9" i="97" s="1"/>
  <c r="F9" i="97" s="1"/>
  <c r="J34" i="96"/>
  <c r="J70" i="96"/>
  <c r="K56" i="112"/>
  <c r="R3" i="115"/>
  <c r="J9" i="101"/>
  <c r="D9" i="101" s="1"/>
  <c r="C107" i="96"/>
  <c r="J56" i="112"/>
  <c r="J33" i="112"/>
  <c r="G16" i="71"/>
  <c r="G10" i="112"/>
  <c r="J70" i="112"/>
  <c r="H56" i="71"/>
  <c r="H53" i="95"/>
  <c r="H23" i="95"/>
  <c r="L21" i="101"/>
  <c r="L13" i="101" s="1"/>
  <c r="L9" i="101" s="1"/>
  <c r="J84" i="96"/>
  <c r="I10" i="112"/>
  <c r="K84" i="96"/>
  <c r="H84" i="96" s="1"/>
  <c r="G10" i="96"/>
  <c r="S18" i="104" s="1"/>
  <c r="K33" i="112"/>
  <c r="J13" i="112"/>
  <c r="C91" i="112" s="1"/>
  <c r="K70" i="96"/>
  <c r="H70" i="96" s="1"/>
  <c r="K95" i="96"/>
  <c r="H95" i="96" s="1"/>
  <c r="K13" i="112"/>
  <c r="J14" i="96"/>
  <c r="J13" i="96" s="1"/>
  <c r="C105" i="96" s="1"/>
  <c r="K14" i="96"/>
  <c r="K13" i="96" s="1"/>
  <c r="I13" i="96"/>
  <c r="K34" i="96"/>
  <c r="I34" i="96"/>
  <c r="I10" i="96" s="1"/>
  <c r="J95" i="96"/>
  <c r="J81" i="112"/>
  <c r="I9" i="95"/>
  <c r="D9" i="95" s="1"/>
  <c r="C72" i="71"/>
  <c r="E512" i="92"/>
  <c r="P87" i="92"/>
  <c r="E504" i="92"/>
  <c r="AD609" i="92"/>
  <c r="E485" i="92"/>
  <c r="E505" i="92"/>
  <c r="P63" i="92"/>
  <c r="E63" i="92" s="1"/>
  <c r="E484" i="92"/>
  <c r="E500" i="92"/>
  <c r="P51" i="92"/>
  <c r="E51" i="92" s="1"/>
  <c r="AD657" i="92"/>
  <c r="AD653" i="92"/>
  <c r="E513" i="92"/>
  <c r="P126" i="92"/>
  <c r="P108" i="92"/>
  <c r="E108" i="92" s="1"/>
  <c r="P654" i="92"/>
  <c r="AD612" i="92"/>
  <c r="AD170" i="92"/>
  <c r="AD33" i="92"/>
  <c r="E499" i="92"/>
  <c r="P35" i="92"/>
  <c r="P113" i="92"/>
  <c r="E113" i="92" s="1"/>
  <c r="P664" i="92"/>
  <c r="AD392" i="92"/>
  <c r="AD649" i="92"/>
  <c r="AD34" i="92"/>
  <c r="E503" i="92"/>
  <c r="E502" i="92"/>
  <c r="P80" i="92"/>
  <c r="P635" i="92"/>
  <c r="AD651" i="92"/>
  <c r="E511" i="92"/>
  <c r="E490" i="92"/>
  <c r="E501" i="92"/>
  <c r="E510" i="92"/>
  <c r="E482" i="92"/>
  <c r="E489" i="92"/>
  <c r="E481" i="92"/>
  <c r="E488" i="92"/>
  <c r="E480" i="92"/>
  <c r="P628" i="92"/>
  <c r="P135" i="92"/>
  <c r="P96" i="92"/>
  <c r="E96" i="92" s="1"/>
  <c r="E492" i="92"/>
  <c r="E508" i="92"/>
  <c r="W660" i="92"/>
  <c r="E660" i="92" s="1"/>
  <c r="W312" i="92"/>
  <c r="E312" i="92" s="1"/>
  <c r="W179" i="92"/>
  <c r="E179" i="92" s="1"/>
  <c r="W46" i="92"/>
  <c r="W271" i="92"/>
  <c r="E271" i="92" s="1"/>
  <c r="W362" i="92"/>
  <c r="E362" i="92" s="1"/>
  <c r="W360" i="92"/>
  <c r="E360" i="92" s="1"/>
  <c r="W91" i="92"/>
  <c r="W265" i="92"/>
  <c r="E265" i="92" s="1"/>
  <c r="W264" i="92"/>
  <c r="E264" i="92" s="1"/>
  <c r="W316" i="92"/>
  <c r="E316" i="92" s="1"/>
  <c r="W353" i="92"/>
  <c r="E353" i="92" s="1"/>
  <c r="W40" i="92"/>
  <c r="E40" i="92" s="1"/>
  <c r="W180" i="92"/>
  <c r="E180" i="92" s="1"/>
  <c r="W136" i="92"/>
  <c r="W661" i="92"/>
  <c r="E661" i="92" s="1"/>
  <c r="W266" i="92"/>
  <c r="E266" i="92" s="1"/>
  <c r="W663" i="92"/>
  <c r="W176" i="92"/>
  <c r="E176" i="92" s="1"/>
  <c r="W614" i="92"/>
  <c r="E614" i="92" s="1"/>
  <c r="W89" i="92"/>
  <c r="W617" i="92"/>
  <c r="E617" i="92" s="1"/>
  <c r="W39" i="92"/>
  <c r="E39" i="92" s="1"/>
  <c r="W309" i="92"/>
  <c r="E309" i="92" s="1"/>
  <c r="W310" i="92"/>
  <c r="E310" i="92" s="1"/>
  <c r="W356" i="92"/>
  <c r="E356" i="92" s="1"/>
  <c r="W43" i="92"/>
  <c r="W134" i="92"/>
  <c r="W86" i="92"/>
  <c r="W38" i="92"/>
  <c r="E38" i="92" s="1"/>
  <c r="W270" i="92"/>
  <c r="E270" i="92" s="1"/>
  <c r="W178" i="92"/>
  <c r="E178" i="92" s="1"/>
  <c r="W666" i="92"/>
  <c r="W313" i="92"/>
  <c r="E313" i="92" s="1"/>
  <c r="W45" i="92"/>
  <c r="W218" i="92"/>
  <c r="E218" i="92" s="1"/>
  <c r="W615" i="92"/>
  <c r="E615" i="92" s="1"/>
  <c r="W311" i="92"/>
  <c r="E311" i="92" s="1"/>
  <c r="W354" i="92"/>
  <c r="E354" i="92" s="1"/>
  <c r="W88" i="92"/>
  <c r="W130" i="92"/>
  <c r="E130" i="92" s="1"/>
  <c r="W358" i="92"/>
  <c r="E358" i="92" s="1"/>
  <c r="W361" i="92"/>
  <c r="E361" i="92" s="1"/>
  <c r="AD389" i="92"/>
  <c r="AD165" i="92"/>
  <c r="AD611" i="92"/>
  <c r="AD30" i="92"/>
  <c r="AD655" i="92"/>
  <c r="AD656" i="92"/>
  <c r="AD396" i="92"/>
  <c r="AD608" i="92"/>
  <c r="AD168" i="92"/>
  <c r="AD167" i="92"/>
  <c r="E498" i="92"/>
  <c r="E514" i="92"/>
  <c r="P16" i="92"/>
  <c r="P70" i="92"/>
  <c r="E70" i="92" s="1"/>
  <c r="P34" i="92"/>
  <c r="P64" i="92"/>
  <c r="E64" i="92" s="1"/>
  <c r="P60" i="92"/>
  <c r="E60" i="92" s="1"/>
  <c r="P99" i="92"/>
  <c r="E99" i="92" s="1"/>
  <c r="P645" i="92"/>
  <c r="E645" i="92" s="1"/>
  <c r="AD391" i="92"/>
  <c r="AD397" i="92"/>
  <c r="AD604" i="92"/>
  <c r="AD29" i="92"/>
  <c r="AD171" i="92"/>
  <c r="AD393" i="92"/>
  <c r="AD166" i="92"/>
  <c r="AD610" i="92"/>
  <c r="AD605" i="92"/>
  <c r="AD394" i="92"/>
  <c r="AD37" i="92"/>
  <c r="E494" i="92"/>
  <c r="AD654" i="92"/>
  <c r="AD606" i="92"/>
  <c r="AD607" i="92"/>
  <c r="P25" i="92"/>
  <c r="E25" i="92" s="1"/>
  <c r="P67" i="92"/>
  <c r="E67" i="92" s="1"/>
  <c r="P91" i="92"/>
  <c r="E91" i="92" s="1"/>
  <c r="P107" i="92"/>
  <c r="E107" i="92" s="1"/>
  <c r="P123" i="92"/>
  <c r="P629" i="92"/>
  <c r="P666" i="92"/>
  <c r="AD164" i="92"/>
  <c r="AD652" i="92"/>
  <c r="AD650" i="92"/>
  <c r="AD35" i="92"/>
  <c r="AD169" i="92"/>
  <c r="AD395" i="92"/>
  <c r="AD36" i="92"/>
  <c r="AD32" i="92"/>
  <c r="AD172" i="92"/>
  <c r="AD31" i="92"/>
  <c r="W172" i="92"/>
  <c r="W397" i="92"/>
  <c r="W391" i="92"/>
  <c r="W348" i="92"/>
  <c r="E348" i="92" s="1"/>
  <c r="W610" i="92"/>
  <c r="W222" i="92"/>
  <c r="E222" i="92" s="1"/>
  <c r="W396" i="92"/>
  <c r="W31" i="92"/>
  <c r="W213" i="92"/>
  <c r="E213" i="92" s="1"/>
  <c r="W166" i="92"/>
  <c r="W612" i="92"/>
  <c r="W345" i="92"/>
  <c r="E345" i="92" s="1"/>
  <c r="W651" i="92"/>
  <c r="W260" i="92"/>
  <c r="E260" i="92" s="1"/>
  <c r="W389" i="92"/>
  <c r="W605" i="92"/>
  <c r="W370" i="92"/>
  <c r="E370" i="92" s="1"/>
  <c r="W121" i="92"/>
  <c r="E121" i="92" s="1"/>
  <c r="W303" i="92"/>
  <c r="E303" i="92" s="1"/>
  <c r="W393" i="92"/>
  <c r="W392" i="92"/>
  <c r="W351" i="92"/>
  <c r="E351" i="92" s="1"/>
  <c r="W30" i="92"/>
  <c r="W219" i="92"/>
  <c r="E219" i="92" s="1"/>
  <c r="W307" i="92"/>
  <c r="E307" i="92" s="1"/>
  <c r="W366" i="92"/>
  <c r="E366" i="92" s="1"/>
  <c r="W255" i="92"/>
  <c r="E255" i="92" s="1"/>
  <c r="W261" i="92"/>
  <c r="E261" i="92" s="1"/>
  <c r="W212" i="92"/>
  <c r="E212" i="92" s="1"/>
  <c r="W306" i="92"/>
  <c r="E306" i="92" s="1"/>
  <c r="W214" i="92"/>
  <c r="E214" i="92" s="1"/>
  <c r="W170" i="92"/>
  <c r="W223" i="92"/>
  <c r="E223" i="92" s="1"/>
  <c r="W305" i="92"/>
  <c r="E305" i="92" s="1"/>
  <c r="W126" i="92"/>
  <c r="W82" i="92"/>
  <c r="W81" i="92"/>
  <c r="W29" i="92"/>
  <c r="W165" i="92"/>
  <c r="E165" i="92" s="1"/>
  <c r="W74" i="92"/>
  <c r="E74" i="92" s="1"/>
  <c r="W171" i="92"/>
  <c r="W363" i="92"/>
  <c r="E363" i="92" s="1"/>
  <c r="W604" i="92"/>
  <c r="W168" i="92"/>
  <c r="W256" i="92"/>
  <c r="E256" i="92" s="1"/>
  <c r="W36" i="92"/>
  <c r="W301" i="92"/>
  <c r="E301" i="92" s="1"/>
  <c r="W32" i="92"/>
  <c r="W215" i="92"/>
  <c r="E215" i="92" s="1"/>
  <c r="W347" i="92"/>
  <c r="E347" i="92" s="1"/>
  <c r="W224" i="92"/>
  <c r="E224" i="92" s="1"/>
  <c r="W390" i="92"/>
  <c r="E390" i="92" s="1"/>
  <c r="W211" i="92"/>
  <c r="E211" i="92" s="1"/>
  <c r="W657" i="92"/>
  <c r="W655" i="92"/>
  <c r="W300" i="92"/>
  <c r="E300" i="92" s="1"/>
  <c r="W346" i="92"/>
  <c r="E346" i="92" s="1"/>
  <c r="W367" i="92"/>
  <c r="E367" i="92" s="1"/>
  <c r="W33" i="92"/>
  <c r="W124" i="92"/>
  <c r="W254" i="92"/>
  <c r="E254" i="92" s="1"/>
  <c r="W609" i="92"/>
  <c r="W299" i="92"/>
  <c r="E299" i="92" s="1"/>
  <c r="W350" i="92"/>
  <c r="E350" i="92" s="1"/>
  <c r="W125" i="92"/>
  <c r="W35" i="92"/>
  <c r="W216" i="92"/>
  <c r="E216" i="92" s="1"/>
  <c r="W37" i="92"/>
  <c r="W225" i="92"/>
  <c r="E225" i="92" s="1"/>
  <c r="W364" i="92"/>
  <c r="E364" i="92" s="1"/>
  <c r="W349" i="92"/>
  <c r="E349" i="92" s="1"/>
  <c r="W395" i="92"/>
  <c r="W78" i="92"/>
  <c r="W606" i="92"/>
  <c r="W656" i="92"/>
  <c r="W169" i="92"/>
  <c r="W368" i="92"/>
  <c r="E368" i="92" s="1"/>
  <c r="W75" i="92"/>
  <c r="E75" i="92" s="1"/>
  <c r="W653" i="92"/>
  <c r="W259" i="92"/>
  <c r="E259" i="92" s="1"/>
  <c r="W217" i="92"/>
  <c r="E217" i="92" s="1"/>
  <c r="W119" i="92"/>
  <c r="E119" i="92" s="1"/>
  <c r="W394" i="92"/>
  <c r="W352" i="92"/>
  <c r="E352" i="92" s="1"/>
  <c r="W209" i="92"/>
  <c r="E209" i="92" s="1"/>
  <c r="W76" i="92"/>
  <c r="E76" i="92" s="1"/>
  <c r="W122" i="92"/>
  <c r="W123" i="92"/>
  <c r="W654" i="92"/>
  <c r="W120" i="92"/>
  <c r="E120" i="92" s="1"/>
  <c r="W77" i="92"/>
  <c r="W226" i="92"/>
  <c r="E226" i="92" s="1"/>
  <c r="W369" i="92"/>
  <c r="E369" i="92" s="1"/>
  <c r="W652" i="92"/>
  <c r="W79" i="92"/>
  <c r="W258" i="92"/>
  <c r="E258" i="92" s="1"/>
  <c r="W221" i="92"/>
  <c r="E221" i="92" s="1"/>
  <c r="W220" i="92"/>
  <c r="E220" i="92" s="1"/>
  <c r="W365" i="92"/>
  <c r="E365" i="92" s="1"/>
  <c r="W257" i="92"/>
  <c r="E257" i="92" s="1"/>
  <c r="W650" i="92"/>
  <c r="W607" i="92"/>
  <c r="W167" i="92"/>
  <c r="E167" i="92" s="1"/>
  <c r="W304" i="92"/>
  <c r="E304" i="92" s="1"/>
  <c r="W80" i="92"/>
  <c r="W302" i="92"/>
  <c r="E302" i="92" s="1"/>
  <c r="W164" i="92"/>
  <c r="W34" i="92"/>
  <c r="W262" i="92"/>
  <c r="E262" i="92" s="1"/>
  <c r="W344" i="92"/>
  <c r="E344" i="92" s="1"/>
  <c r="W127" i="92"/>
  <c r="W649" i="92"/>
  <c r="W210" i="92"/>
  <c r="E210" i="92" s="1"/>
  <c r="W611" i="92"/>
  <c r="W608" i="92"/>
  <c r="E515" i="92"/>
  <c r="W662" i="92"/>
  <c r="W44" i="92"/>
  <c r="W42" i="92"/>
  <c r="W315" i="92"/>
  <c r="E315" i="92" s="1"/>
  <c r="W174" i="92"/>
  <c r="E174" i="92" s="1"/>
  <c r="W177" i="92"/>
  <c r="E177" i="92" s="1"/>
  <c r="W269" i="92"/>
  <c r="E269" i="92" s="1"/>
  <c r="W664" i="92"/>
  <c r="E664" i="92" s="1"/>
  <c r="W135" i="92"/>
  <c r="W267" i="92"/>
  <c r="E267" i="92" s="1"/>
  <c r="W84" i="92"/>
  <c r="E84" i="92" s="1"/>
  <c r="W131" i="92"/>
  <c r="W175" i="92"/>
  <c r="E175" i="92" s="1"/>
  <c r="W314" i="92"/>
  <c r="E314" i="92" s="1"/>
  <c r="W133" i="92"/>
  <c r="W359" i="92"/>
  <c r="E359" i="92" s="1"/>
  <c r="W87" i="92"/>
  <c r="W41" i="92"/>
  <c r="E41" i="92" s="1"/>
  <c r="W619" i="92"/>
  <c r="E619" i="92" s="1"/>
  <c r="W268" i="92"/>
  <c r="E268" i="92" s="1"/>
  <c r="E495" i="92"/>
  <c r="E486" i="92"/>
  <c r="E517" i="92"/>
  <c r="AD400" i="92"/>
  <c r="E400" i="92" s="1"/>
  <c r="W616" i="92"/>
  <c r="E616" i="92" s="1"/>
  <c r="W355" i="92"/>
  <c r="E355" i="92" s="1"/>
  <c r="W621" i="92"/>
  <c r="E621" i="92" s="1"/>
  <c r="W658" i="92"/>
  <c r="E658" i="92" s="1"/>
  <c r="W357" i="92"/>
  <c r="E357" i="92" s="1"/>
  <c r="W85" i="92"/>
  <c r="E85" i="92" s="1"/>
  <c r="W90" i="92"/>
  <c r="W263" i="92"/>
  <c r="E263" i="92" s="1"/>
  <c r="W128" i="92"/>
  <c r="E128" i="92" s="1"/>
  <c r="W181" i="92"/>
  <c r="E181" i="92" s="1"/>
  <c r="W129" i="92"/>
  <c r="E129" i="92" s="1"/>
  <c r="W132" i="92"/>
  <c r="W665" i="92"/>
  <c r="W173" i="92"/>
  <c r="E173" i="92" s="1"/>
  <c r="W618" i="92"/>
  <c r="E618" i="92" s="1"/>
  <c r="W83" i="92"/>
  <c r="E83" i="92" s="1"/>
  <c r="W620" i="92"/>
  <c r="E620" i="92" s="1"/>
  <c r="W613" i="92"/>
  <c r="E613" i="92" s="1"/>
  <c r="W659" i="92"/>
  <c r="E659" i="92" s="1"/>
  <c r="W308" i="92"/>
  <c r="E308" i="92" s="1"/>
  <c r="E483" i="92"/>
  <c r="E516" i="92"/>
  <c r="AD153" i="92"/>
  <c r="E153" i="92" s="1"/>
  <c r="E522" i="92"/>
  <c r="AD138" i="92"/>
  <c r="E138" i="92" s="1"/>
  <c r="E507" i="92"/>
  <c r="E487" i="92"/>
  <c r="E521" i="92"/>
  <c r="E509" i="92"/>
  <c r="E520" i="92"/>
  <c r="E518" i="92"/>
  <c r="P81" i="92"/>
  <c r="P44" i="92"/>
  <c r="P127" i="92"/>
  <c r="P105" i="92"/>
  <c r="E105" i="92" s="1"/>
  <c r="P638" i="92"/>
  <c r="P42" i="92"/>
  <c r="P72" i="92"/>
  <c r="E72" i="92" s="1"/>
  <c r="P653" i="92"/>
  <c r="P88" i="92"/>
  <c r="P28" i="92"/>
  <c r="E28" i="92" s="1"/>
  <c r="P136" i="92"/>
  <c r="P115" i="92"/>
  <c r="E115" i="92" s="1"/>
  <c r="P637" i="92"/>
  <c r="P627" i="92"/>
  <c r="E491" i="92"/>
  <c r="E519" i="92"/>
  <c r="E493" i="92"/>
  <c r="P82" i="92"/>
  <c r="P32" i="92"/>
  <c r="P27" i="92"/>
  <c r="E27" i="92" s="1"/>
  <c r="P18" i="92"/>
  <c r="P37" i="92"/>
  <c r="P132" i="92"/>
  <c r="P117" i="92"/>
  <c r="E117" i="92" s="1"/>
  <c r="P656" i="92"/>
  <c r="P86" i="92"/>
  <c r="P10" i="92"/>
  <c r="P17" i="92"/>
  <c r="P106" i="92"/>
  <c r="E106" i="92" s="1"/>
  <c r="P639" i="92"/>
  <c r="P663" i="92"/>
  <c r="P24" i="92"/>
  <c r="E24" i="92" s="1"/>
  <c r="P125" i="92"/>
  <c r="P33" i="92"/>
  <c r="P89" i="92"/>
  <c r="P109" i="92"/>
  <c r="E109" i="92" s="1"/>
  <c r="P45" i="92"/>
  <c r="P55" i="92"/>
  <c r="E55" i="92" s="1"/>
  <c r="P52" i="92"/>
  <c r="E52" i="92" s="1"/>
  <c r="P100" i="92"/>
  <c r="E100" i="92" s="1"/>
  <c r="P8" i="92"/>
  <c r="P116" i="92"/>
  <c r="E116" i="92" s="1"/>
  <c r="P7" i="92"/>
  <c r="P79" i="92"/>
  <c r="E79" i="92" s="1"/>
  <c r="P95" i="92"/>
  <c r="E95" i="92" s="1"/>
  <c r="P644" i="92"/>
  <c r="E644" i="92" s="1"/>
  <c r="P662" i="92"/>
  <c r="P134" i="92"/>
  <c r="P98" i="92"/>
  <c r="E98" i="92" s="1"/>
  <c r="P647" i="92"/>
  <c r="E647" i="92" s="1"/>
  <c r="P53" i="92"/>
  <c r="E53" i="92" s="1"/>
  <c r="P118" i="92"/>
  <c r="E118" i="92" s="1"/>
  <c r="P9" i="92"/>
  <c r="P59" i="92"/>
  <c r="E59" i="92" s="1"/>
  <c r="P122" i="92"/>
  <c r="P626" i="92"/>
  <c r="E626" i="92" s="1"/>
  <c r="P652" i="92"/>
  <c r="P655" i="92"/>
  <c r="P636" i="92"/>
  <c r="P61" i="92"/>
  <c r="E61" i="92" s="1"/>
  <c r="P19" i="92"/>
  <c r="P78" i="92"/>
  <c r="P90" i="92"/>
  <c r="P73" i="92"/>
  <c r="E73" i="92" s="1"/>
  <c r="P97" i="92"/>
  <c r="E97" i="92" s="1"/>
  <c r="P71" i="92"/>
  <c r="E71" i="92" s="1"/>
  <c r="P15" i="92"/>
  <c r="P131" i="92"/>
  <c r="P69" i="92"/>
  <c r="E69" i="92" s="1"/>
  <c r="P114" i="92"/>
  <c r="E114" i="92" s="1"/>
  <c r="P43" i="92"/>
  <c r="P54" i="92"/>
  <c r="E54" i="92" s="1"/>
  <c r="P124" i="92"/>
  <c r="P646" i="92"/>
  <c r="E646" i="92" s="1"/>
  <c r="P6" i="92"/>
  <c r="P50" i="92"/>
  <c r="E50" i="92" s="1"/>
  <c r="P104" i="92"/>
  <c r="E104" i="92" s="1"/>
  <c r="P26" i="92"/>
  <c r="E26" i="92" s="1"/>
  <c r="P62" i="92"/>
  <c r="E62" i="92" s="1"/>
  <c r="P46" i="92"/>
  <c r="P36" i="92"/>
  <c r="P77" i="92"/>
  <c r="P133" i="92"/>
  <c r="P665" i="92"/>
  <c r="P630" i="92"/>
  <c r="P648" i="92"/>
  <c r="E648" i="92" s="1"/>
  <c r="AD149" i="92"/>
  <c r="E149" i="92" s="1"/>
  <c r="AD582" i="92"/>
  <c r="E582" i="92" s="1"/>
  <c r="AD592" i="92"/>
  <c r="E592" i="92" s="1"/>
  <c r="AD4" i="92"/>
  <c r="E4" i="92" s="1"/>
  <c r="AD378" i="92"/>
  <c r="E378" i="92" s="1"/>
  <c r="AD635" i="92"/>
  <c r="AD412" i="92"/>
  <c r="E412" i="92" s="1"/>
  <c r="AD143" i="92"/>
  <c r="E143" i="92" s="1"/>
  <c r="AD407" i="92"/>
  <c r="E407" i="92" s="1"/>
  <c r="AD16" i="92"/>
  <c r="AD631" i="92"/>
  <c r="E631" i="92" s="1"/>
  <c r="AD591" i="92"/>
  <c r="E591" i="92" s="1"/>
  <c r="AD624" i="92"/>
  <c r="E624" i="92" s="1"/>
  <c r="AD587" i="92"/>
  <c r="E587" i="92" s="1"/>
  <c r="AD374" i="92"/>
  <c r="E374" i="92" s="1"/>
  <c r="AD629" i="92"/>
  <c r="AD402" i="92"/>
  <c r="E402" i="92" s="1"/>
  <c r="AD3" i="92"/>
  <c r="E3" i="92" s="1"/>
  <c r="AD414" i="92"/>
  <c r="E414" i="92" s="1"/>
  <c r="AD376" i="92"/>
  <c r="E376" i="92" s="1"/>
  <c r="AD633" i="92"/>
  <c r="E633" i="92" s="1"/>
  <c r="AD579" i="92"/>
  <c r="E579" i="92" s="1"/>
  <c r="E338" i="92"/>
  <c r="E248" i="92"/>
  <c r="E272" i="92"/>
  <c r="E388" i="92"/>
  <c r="E252" i="92"/>
  <c r="E160" i="92"/>
  <c r="E251" i="92"/>
  <c r="E237" i="92"/>
  <c r="E282" i="92"/>
  <c r="E273" i="92"/>
  <c r="E280" i="92"/>
  <c r="E326" i="92"/>
  <c r="E207" i="92"/>
  <c r="E208" i="92"/>
  <c r="E335" i="92"/>
  <c r="E342" i="92"/>
  <c r="E227" i="92"/>
  <c r="E250" i="92"/>
  <c r="E230" i="92"/>
  <c r="E231" i="92"/>
  <c r="E279" i="92"/>
  <c r="E297" i="92"/>
  <c r="E298" i="92"/>
  <c r="E341" i="92"/>
  <c r="E575" i="92"/>
  <c r="AD413" i="92"/>
  <c r="E413" i="92" s="1"/>
  <c r="AD142" i="92"/>
  <c r="E142" i="92" s="1"/>
  <c r="AD19" i="92"/>
  <c r="AD12" i="92"/>
  <c r="E12" i="92" s="1"/>
  <c r="AD577" i="92"/>
  <c r="E577" i="92" s="1"/>
  <c r="AD377" i="92"/>
  <c r="E377" i="92" s="1"/>
  <c r="AD379" i="92"/>
  <c r="E379" i="92" s="1"/>
  <c r="AD6" i="92"/>
  <c r="AD140" i="92"/>
  <c r="E140" i="92" s="1"/>
  <c r="AD628" i="92"/>
  <c r="AD371" i="92"/>
  <c r="E371" i="92" s="1"/>
  <c r="AD15" i="92"/>
  <c r="AD145" i="92"/>
  <c r="E145" i="92" s="1"/>
  <c r="AD590" i="92"/>
  <c r="E590" i="92" s="1"/>
  <c r="AD637" i="92"/>
  <c r="E245" i="92"/>
  <c r="E294" i="92"/>
  <c r="E238" i="92"/>
  <c r="E232" i="92"/>
  <c r="E236" i="92"/>
  <c r="E247" i="92"/>
  <c r="E249" i="92"/>
  <c r="E253" i="92"/>
  <c r="E241" i="92"/>
  <c r="E289" i="92"/>
  <c r="E244" i="92"/>
  <c r="E278" i="92"/>
  <c r="E293" i="92"/>
  <c r="E277" i="92"/>
  <c r="AD409" i="92"/>
  <c r="E409" i="92" s="1"/>
  <c r="AD11" i="92"/>
  <c r="E11" i="92" s="1"/>
  <c r="AD585" i="92"/>
  <c r="E585" i="92" s="1"/>
  <c r="AD583" i="92"/>
  <c r="E583" i="92" s="1"/>
  <c r="AD18" i="92"/>
  <c r="AD594" i="92"/>
  <c r="E594" i="92" s="1"/>
  <c r="AD372" i="92"/>
  <c r="E372" i="92" s="1"/>
  <c r="AD154" i="92"/>
  <c r="E154" i="92" s="1"/>
  <c r="AD586" i="92"/>
  <c r="E586" i="92" s="1"/>
  <c r="AD8" i="92"/>
  <c r="AD141" i="92"/>
  <c r="E141" i="92" s="1"/>
  <c r="AD630" i="92"/>
  <c r="AD404" i="92"/>
  <c r="E404" i="92" s="1"/>
  <c r="AD17" i="92"/>
  <c r="AD13" i="92"/>
  <c r="E13" i="92" s="1"/>
  <c r="AD144" i="92"/>
  <c r="E144" i="92" s="1"/>
  <c r="AD152" i="92"/>
  <c r="E152" i="92" s="1"/>
  <c r="AD632" i="92"/>
  <c r="E632" i="92" s="1"/>
  <c r="AD375" i="92"/>
  <c r="E375" i="92" s="1"/>
  <c r="AD415" i="92"/>
  <c r="E415" i="92" s="1"/>
  <c r="AD408" i="92"/>
  <c r="E408" i="92" s="1"/>
  <c r="AD588" i="92"/>
  <c r="E588" i="92" s="1"/>
  <c r="AD148" i="92"/>
  <c r="E148" i="92" s="1"/>
  <c r="AD638" i="92"/>
  <c r="AD2" i="92"/>
  <c r="E2" i="92" s="1"/>
  <c r="E339" i="92"/>
  <c r="E330" i="92"/>
  <c r="AD623" i="92"/>
  <c r="E623" i="92" s="1"/>
  <c r="AD7" i="92"/>
  <c r="AD147" i="92"/>
  <c r="E147" i="92" s="1"/>
  <c r="AD5" i="92"/>
  <c r="E5" i="92" s="1"/>
  <c r="AD399" i="92"/>
  <c r="E399" i="92" s="1"/>
  <c r="AD593" i="92"/>
  <c r="E593" i="92" s="1"/>
  <c r="AD10" i="92"/>
  <c r="AD137" i="92"/>
  <c r="E137" i="92" s="1"/>
  <c r="AD622" i="92"/>
  <c r="E622" i="92" s="1"/>
  <c r="AD150" i="92"/>
  <c r="E150" i="92" s="1"/>
  <c r="E385" i="92"/>
  <c r="AD580" i="92"/>
  <c r="E580" i="92" s="1"/>
  <c r="AD398" i="92"/>
  <c r="E398" i="92" s="1"/>
  <c r="AD634" i="92"/>
  <c r="E634" i="92" s="1"/>
  <c r="AD578" i="92"/>
  <c r="E578" i="92" s="1"/>
  <c r="AD14" i="92"/>
  <c r="E14" i="92" s="1"/>
  <c r="AD639" i="92"/>
  <c r="AD9" i="92"/>
  <c r="AD584" i="92"/>
  <c r="E584" i="92" s="1"/>
  <c r="AD636" i="92"/>
  <c r="AD373" i="92"/>
  <c r="E373" i="92" s="1"/>
  <c r="AD151" i="92"/>
  <c r="E151" i="92" s="1"/>
  <c r="AD627" i="92"/>
  <c r="AD411" i="92"/>
  <c r="E411" i="92" s="1"/>
  <c r="AD406" i="92"/>
  <c r="E406" i="92" s="1"/>
  <c r="AD410" i="92"/>
  <c r="E410" i="92" s="1"/>
  <c r="AD146" i="92"/>
  <c r="E146" i="92" s="1"/>
  <c r="AD589" i="92"/>
  <c r="E589" i="92" s="1"/>
  <c r="AD625" i="92"/>
  <c r="E625" i="92" s="1"/>
  <c r="AD403" i="92"/>
  <c r="E403" i="92" s="1"/>
  <c r="AD405" i="92"/>
  <c r="E405" i="92" s="1"/>
  <c r="AD401" i="92"/>
  <c r="E401" i="92" s="1"/>
  <c r="AD139" i="92"/>
  <c r="E139" i="92" s="1"/>
  <c r="AD581" i="92"/>
  <c r="E581" i="92" s="1"/>
  <c r="E381" i="92"/>
  <c r="E322" i="92"/>
  <c r="E186" i="92"/>
  <c r="E334" i="92"/>
  <c r="E235" i="92"/>
  <c r="E163" i="92"/>
  <c r="E66" i="92"/>
  <c r="E198" i="92"/>
  <c r="E323" i="92"/>
  <c r="E331" i="92"/>
  <c r="E329" i="92"/>
  <c r="E319" i="92"/>
  <c r="E597" i="92"/>
  <c r="E155" i="92"/>
  <c r="E157" i="92"/>
  <c r="E47" i="92"/>
  <c r="E599" i="92"/>
  <c r="E603" i="92"/>
  <c r="E384" i="92"/>
  <c r="E382" i="92"/>
  <c r="E56" i="92"/>
  <c r="E49" i="92"/>
  <c r="E112" i="92"/>
  <c r="E640" i="92"/>
  <c r="E103" i="92"/>
  <c r="E21" i="92"/>
  <c r="E57" i="92"/>
  <c r="E642" i="92"/>
  <c r="E197" i="92"/>
  <c r="E206" i="92"/>
  <c r="E189" i="92"/>
  <c r="E199" i="92"/>
  <c r="E192" i="92"/>
  <c r="E343" i="92"/>
  <c r="E243" i="92"/>
  <c r="E276" i="92"/>
  <c r="E240" i="92"/>
  <c r="E233" i="92"/>
  <c r="E292" i="92"/>
  <c r="E290" i="92"/>
  <c r="E296" i="92"/>
  <c r="E156" i="92"/>
  <c r="E601" i="92"/>
  <c r="E158" i="92"/>
  <c r="E641" i="92"/>
  <c r="E23" i="92"/>
  <c r="E65" i="92"/>
  <c r="E22" i="92"/>
  <c r="E200" i="92"/>
  <c r="E318" i="92"/>
  <c r="E195" i="92"/>
  <c r="E182" i="92"/>
  <c r="E317" i="92"/>
  <c r="E574" i="92"/>
  <c r="E328" i="92"/>
  <c r="E188" i="92"/>
  <c r="E185" i="92"/>
  <c r="E573" i="92"/>
  <c r="E332" i="92"/>
  <c r="E333" i="92"/>
  <c r="E320" i="92"/>
  <c r="E386" i="92"/>
  <c r="E380" i="92"/>
  <c r="E387" i="92"/>
  <c r="E110" i="92"/>
  <c r="E111" i="92"/>
  <c r="E102" i="92"/>
  <c r="E68" i="92"/>
  <c r="E48" i="92"/>
  <c r="E93" i="92"/>
  <c r="E643" i="92"/>
  <c r="E190" i="92"/>
  <c r="E203" i="92"/>
  <c r="E202" i="92"/>
  <c r="E191" i="92"/>
  <c r="E576" i="92"/>
  <c r="E337" i="92"/>
  <c r="E336" i="92"/>
  <c r="E340" i="92"/>
  <c r="E325" i="92"/>
  <c r="E295" i="92"/>
  <c r="E287" i="92"/>
  <c r="E275" i="92"/>
  <c r="E288" i="92"/>
  <c r="E291" i="92"/>
  <c r="E239" i="92"/>
  <c r="E229" i="92"/>
  <c r="E234" i="92"/>
  <c r="E281" i="92"/>
  <c r="E242" i="92"/>
  <c r="E228" i="92"/>
  <c r="E274" i="92"/>
  <c r="E286" i="92"/>
  <c r="E246" i="92"/>
  <c r="E283" i="92"/>
  <c r="E284" i="92"/>
  <c r="E285" i="92"/>
  <c r="E602" i="92"/>
  <c r="E596" i="92"/>
  <c r="E162" i="92"/>
  <c r="E159" i="92"/>
  <c r="E600" i="92"/>
  <c r="E595" i="92"/>
  <c r="E161" i="92"/>
  <c r="E598" i="92"/>
  <c r="E383" i="92"/>
  <c r="E20" i="92"/>
  <c r="E101" i="92"/>
  <c r="E92" i="92"/>
  <c r="E58" i="92"/>
  <c r="E94" i="92"/>
  <c r="E205" i="92"/>
  <c r="E324" i="92"/>
  <c r="E193" i="92"/>
  <c r="E187" i="92"/>
  <c r="E184" i="92"/>
  <c r="E183" i="92"/>
  <c r="E201" i="92"/>
  <c r="E194" i="92"/>
  <c r="E204" i="92"/>
  <c r="E196" i="92"/>
  <c r="E321" i="92"/>
  <c r="E327" i="92"/>
  <c r="H9" i="95" l="1"/>
  <c r="G30" i="71"/>
  <c r="I30" i="71" s="1"/>
  <c r="V5" i="115"/>
  <c r="I13" i="101"/>
  <c r="E78" i="92"/>
  <c r="E124" i="92"/>
  <c r="E31" i="92"/>
  <c r="E397" i="92"/>
  <c r="K30" i="71"/>
  <c r="J30" i="71"/>
  <c r="N30" i="71" s="1"/>
  <c r="N12" i="71" s="1"/>
  <c r="C70" i="71" s="1"/>
  <c r="I16" i="71"/>
  <c r="G12" i="71"/>
  <c r="G9" i="71"/>
  <c r="E164" i="92"/>
  <c r="E392" i="92"/>
  <c r="J10" i="72"/>
  <c r="T19" i="104" s="1"/>
  <c r="K10" i="72"/>
  <c r="H10" i="72" s="1"/>
  <c r="K13" i="72"/>
  <c r="H13" i="72" s="1"/>
  <c r="E123" i="92"/>
  <c r="E395" i="92"/>
  <c r="E650" i="92"/>
  <c r="E606" i="92"/>
  <c r="E171" i="92"/>
  <c r="P9" i="97"/>
  <c r="M9" i="97" s="1"/>
  <c r="M12" i="97"/>
  <c r="K10" i="112"/>
  <c r="H10" i="112" s="1"/>
  <c r="H34" i="96"/>
  <c r="C92" i="112"/>
  <c r="C94" i="112" s="1"/>
  <c r="C95" i="112" s="1"/>
  <c r="E604" i="92"/>
  <c r="E35" i="92"/>
  <c r="E87" i="92"/>
  <c r="E654" i="92"/>
  <c r="J10" i="112"/>
  <c r="I9" i="101"/>
  <c r="H13" i="96"/>
  <c r="D10" i="96"/>
  <c r="J10" i="96"/>
  <c r="T18" i="104" s="1"/>
  <c r="C106" i="96"/>
  <c r="C108" i="96" s="1"/>
  <c r="C109" i="96" s="1"/>
  <c r="K10" i="96"/>
  <c r="H10" i="96" s="1"/>
  <c r="E653" i="92"/>
  <c r="E612" i="92"/>
  <c r="E609" i="92"/>
  <c r="E80" i="92"/>
  <c r="E649" i="92"/>
  <c r="E126" i="92"/>
  <c r="E657" i="92"/>
  <c r="E635" i="92"/>
  <c r="E651" i="92"/>
  <c r="E17" i="92"/>
  <c r="E656" i="92"/>
  <c r="E169" i="92"/>
  <c r="E170" i="92"/>
  <c r="E44" i="92"/>
  <c r="E607" i="92"/>
  <c r="E166" i="92"/>
  <c r="E29" i="92"/>
  <c r="E34" i="92"/>
  <c r="E611" i="92"/>
  <c r="E628" i="92"/>
  <c r="E131" i="92"/>
  <c r="E42" i="92"/>
  <c r="E9" i="92"/>
  <c r="E8" i="92"/>
  <c r="E89" i="92"/>
  <c r="E666" i="92"/>
  <c r="E389" i="92"/>
  <c r="E86" i="92"/>
  <c r="E135" i="92"/>
  <c r="E610" i="92"/>
  <c r="E172" i="92"/>
  <c r="E391" i="92"/>
  <c r="E608" i="92"/>
  <c r="E30" i="92"/>
  <c r="E396" i="92"/>
  <c r="E629" i="92"/>
  <c r="E43" i="92"/>
  <c r="E663" i="92"/>
  <c r="E136" i="92"/>
  <c r="E393" i="92"/>
  <c r="E7" i="92"/>
  <c r="E627" i="92"/>
  <c r="E6" i="92"/>
  <c r="E16" i="92"/>
  <c r="E36" i="92"/>
  <c r="E652" i="92"/>
  <c r="E45" i="92"/>
  <c r="E125" i="92"/>
  <c r="E88" i="92"/>
  <c r="E81" i="92"/>
  <c r="E37" i="92"/>
  <c r="E32" i="92"/>
  <c r="E168" i="92"/>
  <c r="E82" i="92"/>
  <c r="E605" i="92"/>
  <c r="E636" i="92"/>
  <c r="E665" i="92"/>
  <c r="E46" i="92"/>
  <c r="E134" i="92"/>
  <c r="E77" i="92"/>
  <c r="E394" i="92"/>
  <c r="E655" i="92"/>
  <c r="E133" i="92"/>
  <c r="E90" i="92"/>
  <c r="E122" i="92"/>
  <c r="E662" i="92"/>
  <c r="E132" i="92"/>
  <c r="E127" i="92"/>
  <c r="E33" i="92"/>
  <c r="E18" i="92"/>
  <c r="E638" i="92"/>
  <c r="E630" i="92"/>
  <c r="E637" i="92"/>
  <c r="E19" i="92"/>
  <c r="E15" i="92"/>
  <c r="E639" i="92"/>
  <c r="E10" i="92"/>
  <c r="K16" i="71" l="1"/>
  <c r="J16" i="71"/>
  <c r="I12" i="71"/>
  <c r="I9" i="71"/>
  <c r="D9" i="71" l="1"/>
  <c r="M16" i="71"/>
  <c r="M12" i="71" s="1"/>
  <c r="C69" i="71" s="1"/>
  <c r="J12" i="71"/>
  <c r="J9" i="71"/>
  <c r="K12" i="71"/>
  <c r="H12" i="71" s="1"/>
  <c r="K9" i="71"/>
  <c r="H9" i="71" s="1"/>
  <c r="S16" i="104" l="1"/>
  <c r="S28" i="104" s="1"/>
  <c r="T16" i="104"/>
  <c r="T28" i="104" l="1"/>
  <c r="K12" i="104"/>
  <c r="D3" i="109"/>
  <c r="D9" i="109" s="1"/>
  <c r="D43" i="109" s="1"/>
  <c r="N12" i="104"/>
  <c r="O12" i="104" l="1"/>
  <c r="L12" i="104" s="1"/>
  <c r="M12" i="104"/>
  <c r="AQ80" i="90" l="1"/>
  <c r="AQ73" i="90"/>
  <c r="AQ81" i="90"/>
  <c r="AQ82" i="90"/>
  <c r="AQ75" i="90"/>
  <c r="AQ76" i="90"/>
  <c r="AQ77" i="90"/>
  <c r="AQ78" i="90"/>
  <c r="AQ74" i="90"/>
  <c r="AQ79"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D13" authorId="0" shapeId="0" xr:uid="{00000000-0006-0000-0A00-000001000000}">
      <text>
        <r>
          <rPr>
            <b/>
            <sz val="9"/>
            <color indexed="81"/>
            <rFont val="Tahoma"/>
            <family val="2"/>
          </rPr>
          <t>Simon Still:</t>
        </r>
        <r>
          <rPr>
            <sz val="9"/>
            <color indexed="81"/>
            <rFont val="Tahoma"/>
            <family val="2"/>
          </rPr>
          <t xml:space="preserve">
This will contain the following: MU6+AO4 - these, in combination, send signals to the VAV dampers (4 max) as well as the 0-10V signal for the extract fan. MW1 - This is the main PLC in the system which contains all of the logic and includes a DI5 &amp; DO6. It is present in all LHC-2 systems but in MARVELs case it also replaces the calculator and the auxilliary alarm controller. There may be either 1 or 2  MW1s depending on whether Aerolys is present. Edge - This is the "router" which contains the SIM card and attaches to the antenna. Antenna - present for recieveing a 4G signal to the Edge. Network Switch - This marshalls communications between the HMI, Edge, MW1s. HMI - This is the touchscreen. There are also various electrical sundries such as a 24VDC power supply, ethernet cables etc. Full list of these can be found on the BOM held by Steve Kembrey.</t>
        </r>
      </text>
    </comment>
    <comment ref="D24" authorId="0" shapeId="0" xr:uid="{00000000-0006-0000-0A00-000002000000}">
      <text>
        <r>
          <rPr>
            <b/>
            <u/>
            <sz val="8"/>
            <color indexed="81"/>
            <rFont val="Tahoma"/>
            <family val="2"/>
          </rPr>
          <t>Supervisor:</t>
        </r>
        <r>
          <rPr>
            <b/>
            <sz val="8"/>
            <color indexed="81"/>
            <rFont val="Tahoma"/>
            <family val="2"/>
          </rPr>
          <t xml:space="preserve">
</t>
        </r>
        <r>
          <rPr>
            <sz val="8"/>
            <color indexed="81"/>
            <rFont val="Tahoma"/>
            <family val="2"/>
          </rPr>
          <t xml:space="preserve">Monitors canopy section. </t>
        </r>
        <r>
          <rPr>
            <b/>
            <sz val="8"/>
            <color indexed="81"/>
            <rFont val="Tahoma"/>
            <family val="2"/>
          </rPr>
          <t>Ref: LHC-2-MU1+VV1 (Not required if UV quoted as already in UV cost)</t>
        </r>
      </text>
    </comment>
    <comment ref="D25" authorId="0" shapeId="0" xr:uid="{00000000-0006-0000-0A00-000003000000}">
      <text>
        <r>
          <rPr>
            <b/>
            <u/>
            <sz val="8"/>
            <color indexed="81"/>
            <rFont val="Tahoma"/>
            <family val="2"/>
          </rPr>
          <t>ICM Cable:</t>
        </r>
        <r>
          <rPr>
            <sz val="8"/>
            <color indexed="81"/>
            <rFont val="Tahoma"/>
            <family val="2"/>
          </rPr>
          <t xml:space="preserve">
Supervisor connection cable. </t>
        </r>
        <r>
          <rPr>
            <b/>
            <sz val="8"/>
            <color indexed="81"/>
            <rFont val="Tahoma"/>
            <family val="2"/>
          </rPr>
          <t>(Not requied if UV quoted as already in UV cost)</t>
        </r>
      </text>
    </comment>
    <comment ref="D27" authorId="0" shapeId="0" xr:uid="{00000000-0006-0000-0A00-000005000000}">
      <text>
        <r>
          <rPr>
            <b/>
            <sz val="8"/>
            <color indexed="81"/>
            <rFont val="Tahoma"/>
            <family val="2"/>
          </rPr>
          <t>NTC Sensor:</t>
        </r>
        <r>
          <rPr>
            <sz val="8"/>
            <color indexed="81"/>
            <rFont val="Tahoma"/>
            <family val="2"/>
          </rPr>
          <t xml:space="preserve">
Temperature Sensor - measures plenum temp.
</t>
        </r>
      </text>
    </comment>
    <comment ref="D28" authorId="0" shapeId="0" xr:uid="{00000000-0006-0000-0A00-000006000000}">
      <text>
        <r>
          <rPr>
            <b/>
            <u/>
            <sz val="8"/>
            <color indexed="81"/>
            <rFont val="Tahoma"/>
            <family val="2"/>
          </rPr>
          <t>Infra Red Sensor:</t>
        </r>
        <r>
          <rPr>
            <sz val="8"/>
            <color indexed="81"/>
            <rFont val="Tahoma"/>
            <family val="2"/>
          </rPr>
          <t xml:space="preserve">
maximum centres are 1.2m or 1no per piece of equipment or 4no maximum per section of canopy</t>
        </r>
      </text>
    </comment>
    <comment ref="D29" authorId="0" shapeId="0" xr:uid="{00000000-0006-0000-0A00-000007000000}">
      <text>
        <r>
          <rPr>
            <b/>
            <u/>
            <sz val="8"/>
            <color indexed="81"/>
            <rFont val="Tahoma"/>
            <family val="2"/>
          </rPr>
          <t>Motorised Damper:</t>
        </r>
        <r>
          <rPr>
            <sz val="8"/>
            <color indexed="81"/>
            <rFont val="Tahoma"/>
            <family val="2"/>
          </rPr>
          <t xml:space="preserve">
Actuated Blade Damper </t>
        </r>
        <r>
          <rPr>
            <b/>
            <sz val="8"/>
            <color indexed="81"/>
            <rFont val="Tahoma"/>
            <family val="2"/>
          </rPr>
          <t>(ABD)</t>
        </r>
        <r>
          <rPr>
            <sz val="8"/>
            <color indexed="81"/>
            <rFont val="Tahoma"/>
            <family val="2"/>
          </rPr>
          <t xml:space="preserve"> two standard sizes 400x300mm or 600x300mm both 65mm high supplied by SK Sales (Slim Fit range)</t>
        </r>
      </text>
    </comment>
    <comment ref="D30" authorId="0" shapeId="0" xr:uid="{00000000-0006-0000-0A00-000008000000}">
      <text>
        <r>
          <rPr>
            <b/>
            <u/>
            <sz val="8"/>
            <color indexed="81"/>
            <rFont val="Tahoma"/>
            <family val="2"/>
          </rPr>
          <t>HFA Circular Damper:</t>
        </r>
        <r>
          <rPr>
            <sz val="8"/>
            <color indexed="81"/>
            <rFont val="Tahoma"/>
            <family val="2"/>
          </rPr>
          <t xml:space="preserve">
To extract at a </t>
        </r>
        <r>
          <rPr>
            <u/>
            <sz val="8"/>
            <color indexed="81"/>
            <rFont val="Tahoma"/>
            <family val="2"/>
          </rPr>
          <t xml:space="preserve">variable </t>
        </r>
        <r>
          <rPr>
            <b/>
            <u/>
            <sz val="8"/>
            <color indexed="81"/>
            <rFont val="Tahoma"/>
            <family val="2"/>
          </rPr>
          <t>(VAV)</t>
        </r>
        <r>
          <rPr>
            <sz val="8"/>
            <color indexed="81"/>
            <rFont val="Tahoma"/>
            <family val="2"/>
          </rPr>
          <t xml:space="preserve"> or </t>
        </r>
        <r>
          <rPr>
            <u/>
            <sz val="8"/>
            <color indexed="81"/>
            <rFont val="Tahoma"/>
            <family val="2"/>
          </rPr>
          <t>constant</t>
        </r>
        <r>
          <rPr>
            <b/>
            <u/>
            <sz val="8"/>
            <color indexed="81"/>
            <rFont val="Tahoma"/>
            <family val="2"/>
          </rPr>
          <t xml:space="preserve"> (CAV)</t>
        </r>
        <r>
          <rPr>
            <sz val="8"/>
            <color indexed="81"/>
            <rFont val="Tahoma"/>
            <family val="2"/>
          </rPr>
          <t xml:space="preserve"> airflow volume if not a dedicated extract fan, has its own power supply and settings and can be connected to the calculator</t>
        </r>
      </text>
    </comment>
    <comment ref="D31" authorId="0" shapeId="0" xr:uid="{00000000-0006-0000-0A00-000009000000}">
      <text>
        <r>
          <rPr>
            <b/>
            <u/>
            <sz val="8"/>
            <color indexed="81"/>
            <rFont val="Tahoma"/>
            <family val="2"/>
          </rPr>
          <t>HFR Rectangular Damper:</t>
        </r>
        <r>
          <rPr>
            <b/>
            <sz val="8"/>
            <color indexed="81"/>
            <rFont val="Tahoma"/>
            <family val="2"/>
          </rPr>
          <t xml:space="preserve">
</t>
        </r>
        <r>
          <rPr>
            <sz val="8"/>
            <color indexed="81"/>
            <rFont val="Tahoma"/>
            <family val="2"/>
          </rPr>
          <t xml:space="preserve">To extract at a variable </t>
        </r>
        <r>
          <rPr>
            <b/>
            <sz val="8"/>
            <color indexed="81"/>
            <rFont val="Tahoma"/>
            <family val="2"/>
          </rPr>
          <t>(VAV)</t>
        </r>
        <r>
          <rPr>
            <sz val="8"/>
            <color indexed="81"/>
            <rFont val="Tahoma"/>
            <family val="2"/>
          </rPr>
          <t xml:space="preserve"> or constant </t>
        </r>
        <r>
          <rPr>
            <b/>
            <sz val="8"/>
            <color indexed="81"/>
            <rFont val="Tahoma"/>
            <family val="2"/>
          </rPr>
          <t>(CAV)</t>
        </r>
        <r>
          <rPr>
            <sz val="8"/>
            <color indexed="81"/>
            <rFont val="Tahoma"/>
            <family val="2"/>
          </rPr>
          <t xml:space="preserve"> airflow volume if not a dedicated extract fan, has its own power supply and settings and can be connected to the calculator</t>
        </r>
      </text>
    </comment>
    <comment ref="D34" authorId="0" shapeId="0" xr:uid="{00000000-0006-0000-0A00-00000A000000}">
      <text>
        <r>
          <rPr>
            <b/>
            <u/>
            <sz val="8"/>
            <color indexed="81"/>
            <rFont val="Tahoma"/>
            <family val="2"/>
          </rPr>
          <t>BELIMO TYPE DAMPER:</t>
        </r>
        <r>
          <rPr>
            <sz val="8"/>
            <color indexed="81"/>
            <rFont val="Tahoma"/>
            <family val="2"/>
          </rPr>
          <t xml:space="preserve">
1no to be allowed for each extract spigot</t>
        </r>
      </text>
    </comment>
    <comment ref="D37" authorId="0" shapeId="0" xr:uid="{5B13F984-B3FA-486B-9191-0C240D9BE71F}">
      <text>
        <r>
          <rPr>
            <b/>
            <sz val="9"/>
            <color indexed="81"/>
            <rFont val="Tahoma"/>
            <family val="2"/>
          </rPr>
          <t>HFA Circular Damper:</t>
        </r>
        <r>
          <rPr>
            <sz val="9"/>
            <color indexed="81"/>
            <rFont val="Tahoma"/>
            <family val="2"/>
          </rPr>
          <t xml:space="preserve">
To suppy at a variable (VAV) or constant (CAV) airflow volume if not a dedicated supply fan, has its own power supply and settings and can be connected to the calculator</t>
        </r>
      </text>
    </comment>
    <comment ref="D45" authorId="0" shapeId="0" xr:uid="{00000000-0006-0000-0A00-00000D000000}">
      <text>
        <r>
          <rPr>
            <b/>
            <u/>
            <sz val="8"/>
            <color indexed="81"/>
            <rFont val="Tahoma"/>
            <family val="2"/>
          </rPr>
          <t>UKV Rectangular Main Duct Damper:</t>
        </r>
        <r>
          <rPr>
            <sz val="8"/>
            <color indexed="81"/>
            <rFont val="Tahoma"/>
            <family val="2"/>
          </rPr>
          <t xml:space="preserve">
500mm x 400mm x 600mm </t>
        </r>
        <r>
          <rPr>
            <b/>
            <sz val="8"/>
            <color indexed="81"/>
            <rFont val="Tahoma"/>
            <family val="2"/>
          </rPr>
          <t xml:space="preserve">(W x H x L) </t>
        </r>
        <r>
          <rPr>
            <sz val="8"/>
            <color indexed="81"/>
            <rFont val="Tahoma"/>
            <family val="2"/>
          </rPr>
          <t>to be used in the main extract duct and connected to the calculator if access to main extract fan is unavailable</t>
        </r>
      </text>
    </comment>
    <comment ref="D46" authorId="0" shapeId="0" xr:uid="{00000000-0006-0000-0A00-00000E000000}">
      <text>
        <r>
          <rPr>
            <b/>
            <u/>
            <sz val="8"/>
            <color indexed="81"/>
            <rFont val="Tahoma"/>
            <family val="2"/>
          </rPr>
          <t>UKV Rectangular Main Duct Damper:</t>
        </r>
        <r>
          <rPr>
            <sz val="8"/>
            <color indexed="81"/>
            <rFont val="Tahoma"/>
            <family val="2"/>
          </rPr>
          <t xml:space="preserve">
600mm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7" authorId="0" shapeId="0" xr:uid="{00000000-0006-0000-0A00-00000F000000}">
      <text>
        <r>
          <rPr>
            <b/>
            <u/>
            <sz val="8"/>
            <color indexed="81"/>
            <rFont val="Tahoma"/>
            <family val="2"/>
          </rPr>
          <t>UKV Rectangular Main Duct Damper:</t>
        </r>
        <r>
          <rPr>
            <sz val="8"/>
            <color indexed="81"/>
            <rFont val="Tahoma"/>
            <family val="2"/>
          </rPr>
          <t xml:space="preserve">
700mm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8" authorId="0" shapeId="0" xr:uid="{00000000-0006-0000-0A00-000010000000}">
      <text>
        <r>
          <rPr>
            <b/>
            <u/>
            <sz val="8"/>
            <color indexed="81"/>
            <rFont val="Tahoma"/>
            <family val="2"/>
          </rPr>
          <t>UKV Rectangular Main Duct Damper:</t>
        </r>
        <r>
          <rPr>
            <sz val="9"/>
            <color indexed="81"/>
            <rFont val="Tahoma"/>
            <family val="2"/>
          </rPr>
          <t xml:space="preserve">
8</t>
        </r>
        <r>
          <rPr>
            <sz val="8"/>
            <color indexed="81"/>
            <rFont val="Tahoma"/>
            <family val="2"/>
          </rPr>
          <t xml:space="preserve">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t>
        </r>
        <r>
          <rPr>
            <sz val="9"/>
            <color indexed="81"/>
            <rFont val="Tahoma"/>
            <family val="2"/>
          </rPr>
          <t xml:space="preserve"> is unavailable</t>
        </r>
      </text>
    </comment>
    <comment ref="D49" authorId="0" shapeId="0" xr:uid="{00000000-0006-0000-0A00-000011000000}">
      <text>
        <r>
          <rPr>
            <b/>
            <u/>
            <sz val="9"/>
            <color indexed="81"/>
            <rFont val="Tahoma"/>
            <family val="2"/>
          </rPr>
          <t>UKV Rectangular Main Duct Damper:</t>
        </r>
        <r>
          <rPr>
            <sz val="9"/>
            <color indexed="81"/>
            <rFont val="Tahoma"/>
            <family val="2"/>
          </rPr>
          <t xml:space="preserve">
</t>
        </r>
        <r>
          <rPr>
            <sz val="8"/>
            <color indexed="81"/>
            <rFont val="Tahoma"/>
            <family val="2"/>
          </rPr>
          <t xml:space="preserve">1000mm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0" authorId="0" shapeId="0" xr:uid="{00000000-0006-0000-0A00-000012000000}">
      <text>
        <r>
          <rPr>
            <b/>
            <u/>
            <sz val="8"/>
            <color indexed="81"/>
            <rFont val="Tahoma"/>
            <family val="2"/>
          </rPr>
          <t>UKV Rectangular Main Duct Damper:</t>
        </r>
        <r>
          <rPr>
            <sz val="8"/>
            <color indexed="81"/>
            <rFont val="Tahoma"/>
            <family val="2"/>
          </rPr>
          <t xml:space="preserve">
1000mm x 800mm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1" authorId="0" shapeId="0" xr:uid="{00000000-0006-0000-0A00-000013000000}">
      <text>
        <r>
          <rPr>
            <b/>
            <u/>
            <sz val="8"/>
            <color indexed="81"/>
            <rFont val="Tahoma"/>
            <family val="2"/>
          </rPr>
          <t>UKV Rectangular Main Duct Damper:</t>
        </r>
        <r>
          <rPr>
            <sz val="8"/>
            <color indexed="81"/>
            <rFont val="Tahoma"/>
            <family val="2"/>
          </rPr>
          <t xml:space="preserve">
1000mm x 1000mm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5" authorId="0" shapeId="0" xr:uid="{00000000-0006-0000-0A00-000014000000}">
      <text>
        <r>
          <rPr>
            <b/>
            <u/>
            <sz val="9"/>
            <color indexed="81"/>
            <rFont val="Tahoma"/>
            <family val="2"/>
          </rPr>
          <t>Programming:</t>
        </r>
        <r>
          <rPr>
            <sz val="9"/>
            <color indexed="81"/>
            <rFont val="Tahoma"/>
            <family val="2"/>
          </rPr>
          <t xml:space="preserve">
1 day per system or calculator.</t>
        </r>
      </text>
    </comment>
    <comment ref="D56" authorId="0" shapeId="0" xr:uid="{00000000-0006-0000-0A00-000015000000}">
      <text>
        <r>
          <rPr>
            <b/>
            <u/>
            <sz val="9"/>
            <color indexed="81"/>
            <rFont val="Tahoma"/>
            <family val="2"/>
          </rPr>
          <t>Workshop:</t>
        </r>
        <r>
          <rPr>
            <sz val="9"/>
            <color indexed="81"/>
            <rFont val="Tahoma"/>
            <family val="2"/>
          </rPr>
          <t xml:space="preserve">
Installation of some of the components whilst in the workshop (IR Sensors etc)</t>
        </r>
      </text>
    </comment>
    <comment ref="D57" authorId="0" shapeId="0" xr:uid="{00000000-0006-0000-0A00-000016000000}">
      <text>
        <r>
          <rPr>
            <b/>
            <u/>
            <sz val="9"/>
            <color indexed="81"/>
            <rFont val="Tahoma"/>
            <family val="2"/>
          </rPr>
          <t>Site Installation:</t>
        </r>
        <r>
          <rPr>
            <sz val="9"/>
            <color indexed="81"/>
            <rFont val="Tahoma"/>
            <family val="2"/>
          </rPr>
          <t xml:space="preserve">
Quarter day per section including connecting all components within that section</t>
        </r>
      </text>
    </comment>
    <comment ref="D58" authorId="0" shapeId="0" xr:uid="{00000000-0006-0000-0A00-000017000000}">
      <text>
        <r>
          <rPr>
            <b/>
            <u/>
            <sz val="9"/>
            <color indexed="81"/>
            <rFont val="Tahoma"/>
            <family val="2"/>
          </rPr>
          <t>Consumables:</t>
        </r>
        <r>
          <rPr>
            <sz val="9"/>
            <color indexed="81"/>
            <rFont val="Tahoma"/>
            <family val="2"/>
          </rPr>
          <t xml:space="preserve">
Cable tray, cable ties, fittings etc</t>
        </r>
      </text>
    </comment>
    <comment ref="D59" authorId="0" shapeId="0" xr:uid="{00000000-0006-0000-0A00-000018000000}">
      <text>
        <r>
          <rPr>
            <b/>
            <u/>
            <sz val="9"/>
            <color indexed="81"/>
            <rFont val="Tahoma"/>
            <family val="2"/>
          </rPr>
          <t>1st T &amp; C:</t>
        </r>
        <r>
          <rPr>
            <sz val="9"/>
            <color indexed="81"/>
            <rFont val="Tahoma"/>
            <family val="2"/>
          </rPr>
          <t xml:space="preserve">
Setting the system prior to the cooking equipment being made live</t>
        </r>
      </text>
    </comment>
    <comment ref="D60" authorId="0" shapeId="0" xr:uid="{00000000-0006-0000-0A00-000019000000}">
      <text>
        <r>
          <rPr>
            <b/>
            <u/>
            <sz val="9"/>
            <color indexed="81"/>
            <rFont val="Tahoma"/>
            <family val="2"/>
          </rPr>
          <t>2nd T &amp; C:</t>
        </r>
        <r>
          <rPr>
            <sz val="9"/>
            <color indexed="81"/>
            <rFont val="Tahoma"/>
            <family val="2"/>
          </rPr>
          <t xml:space="preserve">
Cooking equipment is made live final test &amp; commission can be carried out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30CDB952-89B8-47F9-B964-550803304553}">
      <text>
        <r>
          <rPr>
            <b/>
            <sz val="9"/>
            <color indexed="81"/>
            <rFont val="Tahoma"/>
            <family val="2"/>
          </rPr>
          <t>Simon Still:</t>
        </r>
        <r>
          <rPr>
            <sz val="9"/>
            <color indexed="81"/>
            <rFont val="Tahoma"/>
            <family val="2"/>
          </rPr>
          <t xml:space="preserve">
1/2inch single tap wall mounted c/w 24inch dbl swing </t>
        </r>
      </text>
    </comment>
  </commentList>
</comments>
</file>

<file path=xl/sharedStrings.xml><?xml version="1.0" encoding="utf-8"?>
<sst xmlns="http://schemas.openxmlformats.org/spreadsheetml/2006/main" count="12545" uniqueCount="1516">
  <si>
    <t>ITEM</t>
  </si>
  <si>
    <t>SIZE</t>
  </si>
  <si>
    <t>QTY</t>
  </si>
  <si>
    <t>GREASE FILTERS</t>
  </si>
  <si>
    <t>LIGHTS</t>
  </si>
  <si>
    <t>CONTROLS</t>
  </si>
  <si>
    <t>RACEWAY</t>
  </si>
  <si>
    <t>PEDESTAL LEG</t>
  </si>
  <si>
    <t>CONTROL PANEL</t>
  </si>
  <si>
    <t>WALL CLADDING</t>
  </si>
  <si>
    <t xml:space="preserve">DELIVERIES </t>
  </si>
  <si>
    <t>INSTALLATION</t>
  </si>
  <si>
    <t>OVERNIGHT</t>
  </si>
  <si>
    <t xml:space="preserve">CONSUMABLES </t>
  </si>
  <si>
    <t>TOTAL</t>
  </si>
  <si>
    <t>INSULATION</t>
  </si>
  <si>
    <t>STRIP OUT</t>
  </si>
  <si>
    <t>WATER CONNECTION</t>
  </si>
  <si>
    <t>HWS MANIFOLD</t>
  </si>
  <si>
    <t>CWS MANIFOLD</t>
  </si>
  <si>
    <t>GAS CONNECTION</t>
  </si>
  <si>
    <t>GAS MANIFOLD</t>
  </si>
  <si>
    <t>CC300</t>
  </si>
  <si>
    <t>CC400</t>
  </si>
  <si>
    <t>CC500</t>
  </si>
  <si>
    <t>CC106</t>
  </si>
  <si>
    <t>CC301</t>
  </si>
  <si>
    <t>CC501</t>
  </si>
  <si>
    <t>SUPPLY DUCT</t>
  </si>
  <si>
    <t>EXTRACT DUCT</t>
  </si>
  <si>
    <t>CARBON FILTERS</t>
  </si>
  <si>
    <t>HEPA FILTERS</t>
  </si>
  <si>
    <t>TEST &amp; COMMISSION</t>
  </si>
  <si>
    <t>ATTENUATORS</t>
  </si>
  <si>
    <t>TOTAL COST</t>
  </si>
  <si>
    <t>BS 6173</t>
  </si>
  <si>
    <t>PLANT HIRE</t>
  </si>
  <si>
    <t>HEATER</t>
  </si>
  <si>
    <t>LOUVRES</t>
  </si>
  <si>
    <t>VCD</t>
  </si>
  <si>
    <t>FIRE DAMPERS</t>
  </si>
  <si>
    <t>ACCESS DOORS</t>
  </si>
  <si>
    <t>LM6 - up to 1200mm</t>
  </si>
  <si>
    <t>LM12 - 1200 - 2500mm</t>
  </si>
  <si>
    <t>LM18 - 2500 - 3000mm</t>
  </si>
  <si>
    <t>FRESH AIR FILTERS</t>
  </si>
  <si>
    <t>CRATING</t>
  </si>
  <si>
    <t>INFILL PANEL</t>
  </si>
  <si>
    <t>SELECT LOCATION…</t>
  </si>
  <si>
    <t>ANSUL</t>
  </si>
  <si>
    <t xml:space="preserve">DELIVERY &amp; INSTALLATION </t>
  </si>
  <si>
    <t>DELIVERY &amp; INSTALLATION</t>
  </si>
  <si>
    <t>DELIVERY</t>
  </si>
  <si>
    <t>CARCASS</t>
  </si>
  <si>
    <t>POT RACK (TUBULAR)</t>
  </si>
  <si>
    <t>POT RACK (SOLID)</t>
  </si>
  <si>
    <t>SALAMANDER SUPPORT</t>
  </si>
  <si>
    <t>ELECTRICAL</t>
  </si>
  <si>
    <t>GAS (MF MECH)</t>
  </si>
  <si>
    <t>GAS SOLONOID VALVE</t>
  </si>
  <si>
    <t>WATER  (MF MECH)</t>
  </si>
  <si>
    <t>TAPS (FAUCETS)</t>
  </si>
  <si>
    <t>M&amp;E SERVICES</t>
  </si>
  <si>
    <t>CC100 / CC101</t>
  </si>
  <si>
    <t>CC102 / CC103 / CC1044</t>
  </si>
  <si>
    <t>CC200 / CC2001</t>
  </si>
  <si>
    <t>CC202 / CC203</t>
  </si>
  <si>
    <t>PRISONS</t>
  </si>
  <si>
    <t>MOD FRYER/BRATT SPEC</t>
  </si>
  <si>
    <t>TRAVEL COSTS</t>
  </si>
  <si>
    <t>GAS SOLONOD VALVE</t>
  </si>
  <si>
    <t>SUPPLY AIR DUCT</t>
  </si>
  <si>
    <t>GRILLES/DIFFUSERS</t>
  </si>
  <si>
    <t>FIELD WIRING</t>
  </si>
  <si>
    <t xml:space="preserve">SERVICE DISTRIBUTION UNIT COST </t>
  </si>
  <si>
    <t>Customer</t>
  </si>
  <si>
    <t>Date</t>
  </si>
  <si>
    <t>Location</t>
  </si>
  <si>
    <t>Project Name</t>
  </si>
  <si>
    <t>Revision No</t>
  </si>
  <si>
    <t>Size</t>
  </si>
  <si>
    <t>EXTRACT FANS SIZE</t>
  </si>
  <si>
    <t>ATTENUATORS (EXTRACT)</t>
  </si>
  <si>
    <t>SMB550</t>
  </si>
  <si>
    <t>SMB650</t>
  </si>
  <si>
    <t>SMB700</t>
  </si>
  <si>
    <t>SMB500</t>
  </si>
  <si>
    <t>ATTENUATORS (SUPPLY)</t>
  </si>
  <si>
    <t>SUPPLY FANS SIZE</t>
  </si>
  <si>
    <t>KSA</t>
  </si>
  <si>
    <t>Total</t>
  </si>
  <si>
    <t xml:space="preserve">PANEL / BAG FILTER </t>
  </si>
  <si>
    <t>HEAT RECLAIM COIL</t>
  </si>
  <si>
    <t>FAN SECTION</t>
  </si>
  <si>
    <t>PANEL / UV-C</t>
  </si>
  <si>
    <t>BAG FILTERS</t>
  </si>
  <si>
    <t>ACCESS SECTION</t>
  </si>
  <si>
    <t>PS01 600mm</t>
  </si>
  <si>
    <t>PS02 600mm</t>
  </si>
  <si>
    <t>PS03 600mm</t>
  </si>
  <si>
    <t>PS04 600mm</t>
  </si>
  <si>
    <t>PS05 600mm</t>
  </si>
  <si>
    <t>PS06 600mm</t>
  </si>
  <si>
    <t>PS07 600mm</t>
  </si>
  <si>
    <t>PS08 600mm</t>
  </si>
  <si>
    <t>PS10 600mm</t>
  </si>
  <si>
    <t>PS09 600mm</t>
  </si>
  <si>
    <t>KSA-UV</t>
  </si>
  <si>
    <t>UV SELECTION</t>
  </si>
  <si>
    <t>KITCHEN COMPONENTS</t>
  </si>
  <si>
    <t>RH &amp; T SENSOR</t>
  </si>
  <si>
    <t>CANOPY COMPONENTS</t>
  </si>
  <si>
    <t>EXTRACT PLENUM</t>
  </si>
  <si>
    <t>MOTORISED DAMPERS</t>
  </si>
  <si>
    <t>WORKSHOP INSTALL</t>
  </si>
  <si>
    <t>PROGRAMMING</t>
  </si>
  <si>
    <t>SITE INSTALLATION</t>
  </si>
  <si>
    <t>SUPERVISOR</t>
  </si>
  <si>
    <t>OPTION</t>
  </si>
  <si>
    <t>EL218</t>
  </si>
  <si>
    <t>EL215</t>
  </si>
  <si>
    <t>EL06FLO</t>
  </si>
  <si>
    <t>EL09FLO</t>
  </si>
  <si>
    <t>EL12FLO</t>
  </si>
  <si>
    <t>EL15FLO</t>
  </si>
  <si>
    <t>EL18FLO</t>
  </si>
  <si>
    <t>Office Use Only</t>
  </si>
  <si>
    <t>VENTILATED CEILING MODULES</t>
  </si>
  <si>
    <t>MARVEL</t>
  </si>
  <si>
    <t>POLLUSTOP</t>
  </si>
  <si>
    <t>SDU</t>
  </si>
  <si>
    <t>SIZE LIGHTS…</t>
  </si>
  <si>
    <t>Sell</t>
  </si>
  <si>
    <t>WIDTH</t>
  </si>
  <si>
    <t>LENGTH</t>
  </si>
  <si>
    <t>CANOPY TYPE</t>
  </si>
  <si>
    <t>KVI</t>
  </si>
  <si>
    <t>KVF</t>
  </si>
  <si>
    <t>UVI</t>
  </si>
  <si>
    <t>ACCOMODATION</t>
  </si>
  <si>
    <t>INSTALLATION NORMAL HOURS</t>
  </si>
  <si>
    <t>INSTALLATION AFTER HOURS</t>
  </si>
  <si>
    <t>PER DAY</t>
  </si>
  <si>
    <t>5M PER TEAM PER DAY</t>
  </si>
  <si>
    <t>PER NIGHT PER TEAM</t>
  </si>
  <si>
    <t>ONE ENGINEER</t>
  </si>
  <si>
    <t>GP</t>
  </si>
  <si>
    <t>Material</t>
  </si>
  <si>
    <t>Sq. Metres</t>
  </si>
  <si>
    <t>Sub Total</t>
  </si>
  <si>
    <t>Scrap</t>
  </si>
  <si>
    <t>SC2</t>
  </si>
  <si>
    <t>SC1</t>
  </si>
  <si>
    <t>SCRAP</t>
  </si>
  <si>
    <t>PERF30</t>
  </si>
  <si>
    <t>Material Price m²</t>
  </si>
  <si>
    <t>GREASE DRAWER</t>
  </si>
  <si>
    <t>PERF FRONT PANEL FRAME</t>
  </si>
  <si>
    <t>SLIDING PLATE DAMPERS</t>
  </si>
  <si>
    <t>UV DOORS LONG</t>
  </si>
  <si>
    <t>UV DOORS SHORT</t>
  </si>
  <si>
    <t>Locks</t>
  </si>
  <si>
    <t>Hinges</t>
  </si>
  <si>
    <t xml:space="preserve">UV-C EXTRACT PLENUM 1000MM </t>
  </si>
  <si>
    <t>KVX EXTRACT PLENUM 1000MM</t>
  </si>
  <si>
    <t>KVF CJ PLENUM 1000MM</t>
  </si>
  <si>
    <t>KVI CJ EXTRACT PLENUM 1000MM</t>
  </si>
  <si>
    <t>KVX FRONT PANEL 1000MM</t>
  </si>
  <si>
    <t>DRAWER</t>
  </si>
  <si>
    <t>DAMPERS</t>
  </si>
  <si>
    <t>LIGHT ROOF</t>
  </si>
  <si>
    <t>LABOUR</t>
  </si>
  <si>
    <t>FRONT PANEL</t>
  </si>
  <si>
    <t>UV DOOR</t>
  </si>
  <si>
    <t>END PANEL</t>
  </si>
  <si>
    <t>PRESS TAP</t>
  </si>
  <si>
    <t>WORKSHOP</t>
  </si>
  <si>
    <t>HEIGHT</t>
  </si>
  <si>
    <t>UVF</t>
  </si>
  <si>
    <t>CJ FAN</t>
  </si>
  <si>
    <t>INSULATION PER METER</t>
  </si>
  <si>
    <t>INSUL</t>
  </si>
  <si>
    <t>CJ</t>
  </si>
  <si>
    <t>FRONT PLENUM</t>
  </si>
  <si>
    <t>MUA SPIGOT</t>
  </si>
  <si>
    <t>DIFFUSER</t>
  </si>
  <si>
    <t xml:space="preserve">DIFFUSER </t>
  </si>
  <si>
    <t>CONFIGURATION</t>
  </si>
  <si>
    <t>WALL</t>
  </si>
  <si>
    <t>PLANT SELECTION (weekly)</t>
  </si>
  <si>
    <t>LIGHT SELECTION</t>
  </si>
  <si>
    <t>KVX</t>
  </si>
  <si>
    <t>UVX</t>
  </si>
  <si>
    <t>CV-W-MUAP</t>
  </si>
  <si>
    <t>CV-I-MUAP</t>
  </si>
  <si>
    <t>END PANEL DOUBLE SKIN (CJ) - 1250</t>
  </si>
  <si>
    <t>END PANEL DOUBLE SKIN (CJ) - 1500</t>
  </si>
  <si>
    <t>LIGHT ROOF PER 1000MM - 1250</t>
  </si>
  <si>
    <t>LIGHT ROOF PER 1000MM - 1500</t>
  </si>
  <si>
    <t>END PANEL SINGLE SKIN - 1750</t>
  </si>
  <si>
    <t>END PANEL DOUBLE SKIN (CJ) - 1750</t>
  </si>
  <si>
    <t>LIGHT ROOF PER 1000MM - 1750</t>
  </si>
  <si>
    <t>SECTIONS</t>
  </si>
  <si>
    <t>TYPE</t>
  </si>
  <si>
    <t>PER METER OF CANOPY</t>
  </si>
  <si>
    <t>BMS FAULT INTERFACE</t>
  </si>
  <si>
    <t>OPTIONAL ITEM</t>
  </si>
  <si>
    <t>PERF PANEL 1000MM</t>
  </si>
  <si>
    <t>INFILL</t>
  </si>
  <si>
    <t>COST</t>
  </si>
  <si>
    <t>SELL</t>
  </si>
  <si>
    <t>PROFIT</t>
  </si>
  <si>
    <t>FIRE RATED DUCTWORK</t>
  </si>
  <si>
    <t xml:space="preserve">SUPPLY FAN AND ANCILLARIES </t>
  </si>
  <si>
    <t>SPARE PART</t>
  </si>
  <si>
    <t>CODE</t>
  </si>
  <si>
    <t>PRESS TAP-CJ</t>
  </si>
  <si>
    <t>INTERNAL</t>
  </si>
  <si>
    <t>EXTERNAL</t>
  </si>
  <si>
    <t>DESCRIPTION</t>
  </si>
  <si>
    <t>PRELIM SITE SURVEY</t>
  </si>
  <si>
    <t>SITE SET OUT LASER</t>
  </si>
  <si>
    <t>TRIMMING ON SITE</t>
  </si>
  <si>
    <t>SITE SET UP AND UNLOAD</t>
  </si>
  <si>
    <t>SITE INDUCTION</t>
  </si>
  <si>
    <t>FINAL CLEAN UP &amp; STRIP</t>
  </si>
  <si>
    <t>INSTALLATION DAY</t>
  </si>
  <si>
    <t>MINIMUM 1</t>
  </si>
  <si>
    <t>ONE DAY MIN PER PAIR</t>
  </si>
  <si>
    <t>PER TRIM TILE</t>
  </si>
  <si>
    <t>ONE DAY MIN</t>
  </si>
  <si>
    <t>HALF DAY MIN</t>
  </si>
  <si>
    <t>2nd TEST &amp; COMMISSION</t>
  </si>
  <si>
    <t>1st TEST &amp; COMMISSION</t>
  </si>
  <si>
    <t>UKV RECT DAMPER</t>
  </si>
  <si>
    <t>EXTRACT DUCT ONLY</t>
  </si>
  <si>
    <t>HFR RECT. DAMPER</t>
  </si>
  <si>
    <t>HFA CIRC. DAMPER</t>
  </si>
  <si>
    <t>MOTORISED DAMPER</t>
  </si>
  <si>
    <t>ICM CABLE (3M)</t>
  </si>
  <si>
    <t>Rev No</t>
  </si>
  <si>
    <t>HRS</t>
  </si>
  <si>
    <t>CONTRACTING SCHEDULE</t>
  </si>
  <si>
    <t>1 DAY PER CALCULATOR</t>
  </si>
  <si>
    <t>PER SECTION</t>
  </si>
  <si>
    <t>4 SECTIONS PER DAY</t>
  </si>
  <si>
    <t>PER SYSTEM</t>
  </si>
  <si>
    <t>1 DAY PER SYSTEM</t>
  </si>
  <si>
    <t>DELIVERY C/W CANOPY</t>
  </si>
  <si>
    <t>SITE LIVE TEST</t>
  </si>
  <si>
    <t>4S</t>
  </si>
  <si>
    <t>S</t>
  </si>
  <si>
    <t>TUBES</t>
  </si>
  <si>
    <t>L</t>
  </si>
  <si>
    <t>UVR</t>
  </si>
  <si>
    <t>4L</t>
  </si>
  <si>
    <t>6S</t>
  </si>
  <si>
    <t>6L</t>
  </si>
  <si>
    <t>8S</t>
  </si>
  <si>
    <t>8L</t>
  </si>
  <si>
    <t>MODEL</t>
  </si>
  <si>
    <t>FLOW RATE</t>
  </si>
  <si>
    <t>UVR4S-1</t>
  </si>
  <si>
    <t>UVR4S-2</t>
  </si>
  <si>
    <t>UVR4S-3</t>
  </si>
  <si>
    <t>UVR4S-4</t>
  </si>
  <si>
    <t>UVR4S-5</t>
  </si>
  <si>
    <t>UVR4S-6</t>
  </si>
  <si>
    <t>UVR4S-7</t>
  </si>
  <si>
    <t>UVR4S-8</t>
  </si>
  <si>
    <t>UVR4S-9</t>
  </si>
  <si>
    <t>UVR4S-10</t>
  </si>
  <si>
    <t>UVR4S-11</t>
  </si>
  <si>
    <t>UVR4S-12</t>
  </si>
  <si>
    <t>UVR4L-1</t>
  </si>
  <si>
    <t>UVR4L-2</t>
  </si>
  <si>
    <t>UVR4L-3</t>
  </si>
  <si>
    <t>UVR4L-4</t>
  </si>
  <si>
    <t>UVR4L-5</t>
  </si>
  <si>
    <t>UVR4L-6</t>
  </si>
  <si>
    <t>UVR4L-7</t>
  </si>
  <si>
    <t>UVR4L-8</t>
  </si>
  <si>
    <t>UVR4L-9</t>
  </si>
  <si>
    <t>UVR4L-10</t>
  </si>
  <si>
    <t>UVR4L-11</t>
  </si>
  <si>
    <t>UVR4L-12</t>
  </si>
  <si>
    <t>UVR6S-1</t>
  </si>
  <si>
    <t>UVR6S-2</t>
  </si>
  <si>
    <t>UVR6S-3</t>
  </si>
  <si>
    <t>UVR6S-4</t>
  </si>
  <si>
    <t>UVR6S-5</t>
  </si>
  <si>
    <t>UVR6S-6</t>
  </si>
  <si>
    <t>UVR6S-7</t>
  </si>
  <si>
    <t>UVR6S-8</t>
  </si>
  <si>
    <t>UVR6S-9</t>
  </si>
  <si>
    <t>UVR6S-10</t>
  </si>
  <si>
    <t>UVR6S-11</t>
  </si>
  <si>
    <t>UVR6S-12</t>
  </si>
  <si>
    <t>UVR6L-1</t>
  </si>
  <si>
    <t>UVR6L-2</t>
  </si>
  <si>
    <t>UVR6L-3</t>
  </si>
  <si>
    <t>UVR6L-4</t>
  </si>
  <si>
    <t>UVR6L-5</t>
  </si>
  <si>
    <t>UVR6L-6</t>
  </si>
  <si>
    <t>UVR6L-7</t>
  </si>
  <si>
    <t>UVR6L-8</t>
  </si>
  <si>
    <t>UVR6L-9</t>
  </si>
  <si>
    <t>UVR6L-10</t>
  </si>
  <si>
    <t>UVR6L-11</t>
  </si>
  <si>
    <t>UVR6L-12</t>
  </si>
  <si>
    <t>UVR8S-1</t>
  </si>
  <si>
    <t>UVR8S-2</t>
  </si>
  <si>
    <t>UVR8S-3</t>
  </si>
  <si>
    <t>UVR8S-4</t>
  </si>
  <si>
    <t>UVR8S-5</t>
  </si>
  <si>
    <t>UVR8S-6</t>
  </si>
  <si>
    <t>UVR8S-7</t>
  </si>
  <si>
    <t>UVR8S-8</t>
  </si>
  <si>
    <t>UVR8S-9</t>
  </si>
  <si>
    <t>UVR8S-10</t>
  </si>
  <si>
    <t>UVR8S-11</t>
  </si>
  <si>
    <t>UVR8S-12</t>
  </si>
  <si>
    <t>UVR8L-1</t>
  </si>
  <si>
    <t>UVR8L-2</t>
  </si>
  <si>
    <t>UVR8L-3</t>
  </si>
  <si>
    <t>UVR8L-4</t>
  </si>
  <si>
    <t>UVR8L-5</t>
  </si>
  <si>
    <t>UVR8L-6</t>
  </si>
  <si>
    <t>UVR8L-7</t>
  </si>
  <si>
    <t>UVR8L-8</t>
  </si>
  <si>
    <t>UVR8L-9</t>
  </si>
  <si>
    <t>UVR8L-10</t>
  </si>
  <si>
    <t>UVR8L-11</t>
  </si>
  <si>
    <t>UVR8L-12</t>
  </si>
  <si>
    <t>CMW EXTRACT PLENUM BODY</t>
  </si>
  <si>
    <t>C EXTRACT PLENUM -1250</t>
  </si>
  <si>
    <t>C EXTRACT PLENUM -1500</t>
  </si>
  <si>
    <t>C EXTRACT PLENUM -1750</t>
  </si>
  <si>
    <t>CENTREX</t>
  </si>
  <si>
    <t>WW PODS</t>
  </si>
  <si>
    <t>m²</t>
  </si>
  <si>
    <t>m³</t>
  </si>
  <si>
    <t>CMW-I-MUAP</t>
  </si>
  <si>
    <t>FILTER TYPE</t>
  </si>
  <si>
    <t>SPECIAL WORKS</t>
  </si>
  <si>
    <t>ROUND CORNERS</t>
  </si>
  <si>
    <t>CUT OUT</t>
  </si>
  <si>
    <t>SELECT WORKS</t>
  </si>
  <si>
    <t>KVV</t>
  </si>
  <si>
    <t>KVI-LL</t>
  </si>
  <si>
    <t>UVI-LL</t>
  </si>
  <si>
    <t>NF</t>
  </si>
  <si>
    <t>SECTION UNDER 1000mm</t>
  </si>
  <si>
    <t>CURRENCY</t>
  </si>
  <si>
    <t>EURO</t>
  </si>
  <si>
    <t>GBP</t>
  </si>
  <si>
    <t>LIGHT ROOF PER 1000MM - 2000</t>
  </si>
  <si>
    <t>END PANEL DOUBLE SKIN (CJ) - 2000</t>
  </si>
  <si>
    <t>END PANEL SINGLE SKIN - 2000</t>
  </si>
  <si>
    <t>PRESSURE TAP</t>
  </si>
  <si>
    <t>C EXTRACT PLENUM - 2000</t>
  </si>
  <si>
    <t>DISCOUNT</t>
  </si>
  <si>
    <t>PER TEAM PER DAY</t>
  </si>
  <si>
    <t>PER M3</t>
  </si>
  <si>
    <t>VENTILATED CEILING</t>
  </si>
  <si>
    <t>PASSIVE CEILING (ADD GREASE EXTRACT, SUPPLY AND LIGHT CASSETTES) PRICE PER SQ MTR</t>
  </si>
  <si>
    <t>PER M2 OF CEILING</t>
  </si>
  <si>
    <t>ABERDEEN</t>
  </si>
  <si>
    <t>IRELAND</t>
  </si>
  <si>
    <t>LONDON</t>
  </si>
  <si>
    <t>UVR4S-1   0.4 M³/s</t>
  </si>
  <si>
    <t>UVR4S-2   0.8 M³/s</t>
  </si>
  <si>
    <t>UVR4S-3   1.2 M³/s</t>
  </si>
  <si>
    <t>UVR4S-4   1.6 M³/s</t>
  </si>
  <si>
    <t>UVR4S-5   2.0 M³/s</t>
  </si>
  <si>
    <t>UVR4S-6   2.4 M³/s</t>
  </si>
  <si>
    <t>UVR4S-7   2.8 M³/s</t>
  </si>
  <si>
    <t>UVR4S-8   3.2 M³/s</t>
  </si>
  <si>
    <t>UVR4S-9   3.6 M³/s</t>
  </si>
  <si>
    <t>UVR4S-10  4.0 M³/s</t>
  </si>
  <si>
    <t>UVR4S-11  4.4 M³/s</t>
  </si>
  <si>
    <t>UVR4S-12  4.8 M³/s</t>
  </si>
  <si>
    <t>UVR4L-1   0.8 M³/s</t>
  </si>
  <si>
    <t>UVR4L-2   1.6 M³/s</t>
  </si>
  <si>
    <t>UVR4L-3   2.4 M³/s</t>
  </si>
  <si>
    <t>UVR4L-4   3.2 M³/s</t>
  </si>
  <si>
    <t>UVR4L-5   4.0 M³/s</t>
  </si>
  <si>
    <t>UVR4L6    4.8 M³/s</t>
  </si>
  <si>
    <t>UVR4L-7   5.6 M³/s</t>
  </si>
  <si>
    <t>UVR4L-8   6.4 M³/s</t>
  </si>
  <si>
    <t>UVR4L-9   7.2 M³/s</t>
  </si>
  <si>
    <t>UVR4L-10  8.0 M³/s</t>
  </si>
  <si>
    <t>UVR4L-11  8.8 M³/s</t>
  </si>
  <si>
    <t>UVR4L-12  9.6 M³/s</t>
  </si>
  <si>
    <t>UVR6S-1   0.6 M³/s</t>
  </si>
  <si>
    <t>UVR6S-2   1.2 M³/s</t>
  </si>
  <si>
    <t>UVR6S-3   1.8 M³/s</t>
  </si>
  <si>
    <t>UVR6S-4   2.4 M³/s</t>
  </si>
  <si>
    <t>UVR6S-5   3.0 M³/s</t>
  </si>
  <si>
    <t>UVR6S-6   3.6 M³/s</t>
  </si>
  <si>
    <t>UVR6S-7   4.2 M³/s</t>
  </si>
  <si>
    <t>UVR6S-8   4.8 M³/s</t>
  </si>
  <si>
    <t>UVR6S-9   5.4 M³/s</t>
  </si>
  <si>
    <t>UVR6S-10  5.4 M³/s</t>
  </si>
  <si>
    <t>UVR6S-11  6.6 M³/s</t>
  </si>
  <si>
    <t>UVR6S-12  7.2 M³/s</t>
  </si>
  <si>
    <t>UVR6L-1   1.2 M³/s</t>
  </si>
  <si>
    <t>UVR6L-2   2.4 M³/s</t>
  </si>
  <si>
    <t>UVR6L-3   3.6 M³/s</t>
  </si>
  <si>
    <t>UVR6L-4   4.8 M³/s</t>
  </si>
  <si>
    <t>UVR6L-5   6.0 M³/s</t>
  </si>
  <si>
    <t>UVR6L-6    7.2 M³/s</t>
  </si>
  <si>
    <t>UVR6L-7   8.4 M³/s</t>
  </si>
  <si>
    <t>UVR6L-8   9.6 M³/s</t>
  </si>
  <si>
    <t>UVR6L-10  12.0 M³/s</t>
  </si>
  <si>
    <t>UVR6L-11  13.2 M³/s</t>
  </si>
  <si>
    <t>UVR6L-12  14.4 M³/s</t>
  </si>
  <si>
    <t>UVR8S-1   0.8 M³/s</t>
  </si>
  <si>
    <t>UVR8S-2   1.6 M³/s</t>
  </si>
  <si>
    <t>UVR8S-3   2.4 M³/s</t>
  </si>
  <si>
    <t>UVR8S-4   3.2 M³/s</t>
  </si>
  <si>
    <t>UVR8S-5   4.0 M³/s</t>
  </si>
  <si>
    <t>UVR8S-6   4.8 M³/s</t>
  </si>
  <si>
    <t>UVR8S-7   5.6 M³/s</t>
  </si>
  <si>
    <t>UVR8S-8   6.4 M³/s</t>
  </si>
  <si>
    <t>UVR8S-9   7.2 M³/s</t>
  </si>
  <si>
    <t>UVR8S-10  8.0 M³/s</t>
  </si>
  <si>
    <t>UVR8S-11  8.8 M³/s</t>
  </si>
  <si>
    <t>UVR8S-12  9.6 M³/s</t>
  </si>
  <si>
    <t>UVR8L-1   1.6 M³/s</t>
  </si>
  <si>
    <t>UVR8L-2   3.2 M³/s</t>
  </si>
  <si>
    <t>UVR8L-3   4.8 M³/s</t>
  </si>
  <si>
    <t>UVR8L-4   6.4 M³/s</t>
  </si>
  <si>
    <t>UVR8L-5   8.0 M³/s</t>
  </si>
  <si>
    <t>UVR8L-6   9.6 M³/s</t>
  </si>
  <si>
    <t>UVR8L-7   11.2 M³/s</t>
  </si>
  <si>
    <t>UVR8L-8   12.8 M³/s</t>
  </si>
  <si>
    <t>UVR8L-9   14.4 M³/s</t>
  </si>
  <si>
    <t>UVR8L-10  16.0 M³/s</t>
  </si>
  <si>
    <t>UVR8L-11  17.6 M³/s</t>
  </si>
  <si>
    <t>UVR8L-12  19.2 M³/s</t>
  </si>
  <si>
    <t>EXT CROSS MULLION</t>
  </si>
  <si>
    <t/>
  </si>
  <si>
    <t>SUPPLY AIR CASSETTE</t>
  </si>
  <si>
    <t>SINGLE PLENUM BOX</t>
  </si>
  <si>
    <t>PASSIVE CASSETTE</t>
  </si>
  <si>
    <t>SECURITY FIXINGS PER TILE</t>
  </si>
  <si>
    <t>SECURITY MULLION (3M)</t>
  </si>
  <si>
    <t>PAINTED TILES PER  METRE</t>
  </si>
  <si>
    <t>HI FOG MULLION MODS</t>
  </si>
  <si>
    <t>ULC GREASE EXTRACT CASS</t>
  </si>
  <si>
    <t>ULC PLENUM BOX (FIRE RATED)</t>
  </si>
  <si>
    <t>ULC EMERGENCY LIGHT</t>
  </si>
  <si>
    <t>PER DAY- MINIMUM 1</t>
  </si>
  <si>
    <t>DUCT DESIGN TIME</t>
  </si>
  <si>
    <t>CEILING DESIGN TIME</t>
  </si>
  <si>
    <t>1 PER AREA</t>
  </si>
  <si>
    <t>1 PER CANOPY SECTION</t>
  </si>
  <si>
    <t>1 PER SUPERVISOR</t>
  </si>
  <si>
    <t>1 PER SECTION</t>
  </si>
  <si>
    <t xml:space="preserve">250MM DIAMETER </t>
  </si>
  <si>
    <t>315MM INLET 500X400 OUTLET</t>
  </si>
  <si>
    <t>0.440M3/S - 1.600M3/S</t>
  </si>
  <si>
    <t>0.528M3/S - 1.920M3/S</t>
  </si>
  <si>
    <t>0.616M3/S - 2.240M3/S</t>
  </si>
  <si>
    <t>0.880M3/S - 3.200M3/S</t>
  </si>
  <si>
    <t>1.100M3/S - 4.000M3/S</t>
  </si>
  <si>
    <t>1.760M3/S - 6.400M3/S</t>
  </si>
  <si>
    <t>RISER ELECTRICAL INC MCB</t>
  </si>
  <si>
    <t>RISER ISOLATORS ONLY</t>
  </si>
  <si>
    <t>RISER MECHANICAL</t>
  </si>
  <si>
    <t>RISER COMBINED M&amp;E</t>
  </si>
  <si>
    <t>MCB 8 WAY</t>
  </si>
  <si>
    <t>MCB 12WAY</t>
  </si>
  <si>
    <t>SHUNT TRIP + KO</t>
  </si>
  <si>
    <t>ADDITIONAL KO</t>
  </si>
  <si>
    <t>1-PHASE ISOLATOR/OUTLET</t>
  </si>
  <si>
    <t>3-PHASE ISOLATOR/OUTLET</t>
  </si>
  <si>
    <t>RING MAIN</t>
  </si>
  <si>
    <t>ADDITIONAL SSO</t>
  </si>
  <si>
    <t>800X300X2100</t>
  </si>
  <si>
    <t>800X300X3000</t>
  </si>
  <si>
    <t>400X300X1200</t>
  </si>
  <si>
    <t>400X300X2100</t>
  </si>
  <si>
    <t>400X300X3000</t>
  </si>
  <si>
    <t>1200X300X1200</t>
  </si>
  <si>
    <t>1200X300X2100</t>
  </si>
  <si>
    <t>1200X300X3000</t>
  </si>
  <si>
    <t>0-1100MM</t>
  </si>
  <si>
    <t>1101MM-2300MM</t>
  </si>
  <si>
    <t>2301MM-3000MM</t>
  </si>
  <si>
    <t>SINGLE SIDED UP TO 1200MM</t>
  </si>
  <si>
    <t>125AMP</t>
  </si>
  <si>
    <t>225AMP</t>
  </si>
  <si>
    <t>16AMP WITH MCB</t>
  </si>
  <si>
    <t>32AMP WITH MCB</t>
  </si>
  <si>
    <t>63AMP WITH MCB</t>
  </si>
  <si>
    <t>125AMP WITH MCB</t>
  </si>
  <si>
    <t>INC 2NO SSO</t>
  </si>
  <si>
    <t>GAS INTERLOCK EX-WORKS</t>
  </si>
  <si>
    <t>INC 2NO SSO WITH MCB</t>
  </si>
  <si>
    <t>50MM UP TO 6M</t>
  </si>
  <si>
    <t>40MM UP TO 6M</t>
  </si>
  <si>
    <t>32MM UP TO 6M</t>
  </si>
  <si>
    <t>25MM UP TO 6M</t>
  </si>
  <si>
    <t>15MM</t>
  </si>
  <si>
    <t>20MM</t>
  </si>
  <si>
    <t>25MM</t>
  </si>
  <si>
    <t>32MM</t>
  </si>
  <si>
    <t>40MM</t>
  </si>
  <si>
    <t xml:space="preserve">50MM  </t>
  </si>
  <si>
    <t>28MM UP TO 6M</t>
  </si>
  <si>
    <t>22MM UP TO 6M</t>
  </si>
  <si>
    <t>15MM UP TO 6M</t>
  </si>
  <si>
    <t>22/15MM UP TO 6M</t>
  </si>
  <si>
    <t xml:space="preserve">15MM </t>
  </si>
  <si>
    <t xml:space="preserve">22MM </t>
  </si>
  <si>
    <t xml:space="preserve">28MM </t>
  </si>
  <si>
    <t>PER METRE</t>
  </si>
  <si>
    <t>MECSERFLEX B-594</t>
  </si>
  <si>
    <t>USD</t>
  </si>
  <si>
    <t>PLN</t>
  </si>
  <si>
    <t>SL10 GENIE</t>
  </si>
  <si>
    <t>EXTENSION FORKS</t>
  </si>
  <si>
    <t>2.5M COMBI LADDER</t>
  </si>
  <si>
    <t>3M TOWER</t>
  </si>
  <si>
    <t>COMBI LADDER</t>
  </si>
  <si>
    <t>3M YOUNGMAN BOARD</t>
  </si>
  <si>
    <t>GS1930 SCISSOR LIFT</t>
  </si>
  <si>
    <t>4-6 SHERASCOPIC</t>
  </si>
  <si>
    <t>7-9 SHERASCOPIC</t>
  </si>
  <si>
    <t>INFILL PER M2</t>
  </si>
  <si>
    <t>CRATING PER M3</t>
  </si>
  <si>
    <t>PS02 1560mm</t>
  </si>
  <si>
    <t>PS03 1560mm</t>
  </si>
  <si>
    <t>PS04 1560mm</t>
  </si>
  <si>
    <t>ICM CABLE (3M OR 5M)</t>
  </si>
  <si>
    <t>1000 DIAMETER</t>
  </si>
  <si>
    <t>1250MM DIAMETER</t>
  </si>
  <si>
    <t>1500MM DIAMETER</t>
  </si>
  <si>
    <t>2000MM DIAMETER</t>
  </si>
  <si>
    <t>COMMISSION</t>
  </si>
  <si>
    <t>%</t>
  </si>
  <si>
    <t>GRILLE</t>
  </si>
  <si>
    <t>TRAVEL EXPENSES</t>
  </si>
  <si>
    <t>SITE SPECIFIC</t>
  </si>
  <si>
    <t xml:space="preserve">CASTELLE LOCKING </t>
  </si>
  <si>
    <t>HEADER DUCT S/S</t>
  </si>
  <si>
    <t xml:space="preserve">HEADER DUCT </t>
  </si>
  <si>
    <t>METER OF DUCT</t>
  </si>
  <si>
    <t>CUT OUT(S) PER CANOPY</t>
  </si>
  <si>
    <t>CORNER(S)</t>
  </si>
  <si>
    <t>SECTION(S) OF CANOPY</t>
  </si>
  <si>
    <t>CX-W BODY</t>
  </si>
  <si>
    <t>CX-W BODY - 1000</t>
  </si>
  <si>
    <t>CX-W BODY - 1250</t>
  </si>
  <si>
    <t>CX-W BODY - 1500</t>
  </si>
  <si>
    <t>CX-W BODY - 1750</t>
  </si>
  <si>
    <t>CX-W BODY - 2000</t>
  </si>
  <si>
    <t>MUAP PERF</t>
  </si>
  <si>
    <t>KVV BODY - 1000</t>
  </si>
  <si>
    <t>KVV BODY - 1250</t>
  </si>
  <si>
    <t>KVV BODY - 1500</t>
  </si>
  <si>
    <t>KVV BODY - 1750</t>
  </si>
  <si>
    <t>KVV BODY - 2000</t>
  </si>
  <si>
    <t>KVV BODY</t>
  </si>
  <si>
    <t>END PANEL SINGLE SKIN - 1250</t>
  </si>
  <si>
    <t>END PANEL SINGLE SKIN - 1500</t>
  </si>
  <si>
    <t>END PANEL SINGLE SKIN - 1000</t>
  </si>
  <si>
    <t>BODY</t>
  </si>
  <si>
    <t>SELECT CLADDING</t>
  </si>
  <si>
    <t>2M² (HFL)</t>
  </si>
  <si>
    <t>PAINT FINSH</t>
  </si>
  <si>
    <t>PER METER</t>
  </si>
  <si>
    <t>PERF FRONT PANEL C</t>
  </si>
  <si>
    <t>WATER WASH CONTROLS</t>
  </si>
  <si>
    <t>WATERWASH ENCLOSURE</t>
  </si>
  <si>
    <t>ENCLOSURE</t>
  </si>
  <si>
    <t>PUMP</t>
  </si>
  <si>
    <t>ANCILLARIES</t>
  </si>
  <si>
    <t>CP</t>
  </si>
  <si>
    <t>GWHIZZ</t>
  </si>
  <si>
    <t>MECH 1S</t>
  </si>
  <si>
    <t>MECH 2S</t>
  </si>
  <si>
    <t>MECH 3S</t>
  </si>
  <si>
    <t>MECH 4S</t>
  </si>
  <si>
    <t>BROADOAK 1S</t>
  </si>
  <si>
    <t>BROADOAK 2S</t>
  </si>
  <si>
    <t>BROADOAK 3S</t>
  </si>
  <si>
    <t>BROADOAK 4S</t>
  </si>
  <si>
    <t>DETERGENT</t>
  </si>
  <si>
    <t>MECHANICAL</t>
  </si>
  <si>
    <t>COALSCER</t>
  </si>
  <si>
    <t>SELECT PANEL</t>
  </si>
  <si>
    <t>1000-S</t>
  </si>
  <si>
    <t>1000-D</t>
  </si>
  <si>
    <t>1500-S</t>
  </si>
  <si>
    <t>1500-D</t>
  </si>
  <si>
    <t>2000-S</t>
  </si>
  <si>
    <t>2000-D</t>
  </si>
  <si>
    <t>2500-S</t>
  </si>
  <si>
    <t>3000-S</t>
  </si>
  <si>
    <t>2500-D</t>
  </si>
  <si>
    <t>3000-D</t>
  </si>
  <si>
    <t>MCD</t>
  </si>
  <si>
    <t>ACCOUSTIC LINED</t>
  </si>
  <si>
    <t>SELECT DIAMETER</t>
  </si>
  <si>
    <t>KVX-P</t>
  </si>
  <si>
    <t>OPEN ITEM</t>
  </si>
  <si>
    <t xml:space="preserve">ITEM </t>
  </si>
  <si>
    <t>Carcass Total</t>
  </si>
  <si>
    <t>Services Total</t>
  </si>
  <si>
    <t>TOTAL (rounded)</t>
  </si>
  <si>
    <t>KW</t>
  </si>
  <si>
    <t xml:space="preserve">V </t>
  </si>
  <si>
    <t>PS01 800mm</t>
  </si>
  <si>
    <t>PS02 800mm</t>
  </si>
  <si>
    <t>PS03 800mm</t>
  </si>
  <si>
    <t>PS04 800mm</t>
  </si>
  <si>
    <t>PS05 800mm</t>
  </si>
  <si>
    <t>PS06 800mm</t>
  </si>
  <si>
    <t>PS07 800mm</t>
  </si>
  <si>
    <t>PS08 800mm</t>
  </si>
  <si>
    <t>PS09 800mm</t>
  </si>
  <si>
    <t>PS10 800mm</t>
  </si>
  <si>
    <t>PS08 2060mm</t>
  </si>
  <si>
    <t>PS09 2060mm</t>
  </si>
  <si>
    <t>PS10 2060mm</t>
  </si>
  <si>
    <t>EXTRA OVER FOR VERTICAL</t>
  </si>
  <si>
    <t xml:space="preserve">25% OF TOTAL UNIT </t>
  </si>
  <si>
    <t>BULKHEAD LIGHTING</t>
  </si>
  <si>
    <t>Each</t>
  </si>
  <si>
    <t>VIEWING PANEL</t>
  </si>
  <si>
    <t>PS01 940mm</t>
  </si>
  <si>
    <t>PS02 940mm</t>
  </si>
  <si>
    <t>PS03 940mm</t>
  </si>
  <si>
    <t>PS04 940mm</t>
  </si>
  <si>
    <t>PS05 940mm</t>
  </si>
  <si>
    <t>PS06 940mm</t>
  </si>
  <si>
    <t>PS07 940mm</t>
  </si>
  <si>
    <t>PS08 940mm</t>
  </si>
  <si>
    <t>PS09 940mm</t>
  </si>
  <si>
    <t>PS10 940mm</t>
  </si>
  <si>
    <t>PS01 1150mm</t>
  </si>
  <si>
    <t>PS02 1150mm</t>
  </si>
  <si>
    <t>PS03 1150mm</t>
  </si>
  <si>
    <t>PS04 1150mm</t>
  </si>
  <si>
    <t>PS05 1150mm</t>
  </si>
  <si>
    <t>PS06 1150mm</t>
  </si>
  <si>
    <t>PS07 1150mm</t>
  </si>
  <si>
    <t>PS08 1150mm</t>
  </si>
  <si>
    <t>PS09 1550mm</t>
  </si>
  <si>
    <t>PS10 1150mm</t>
  </si>
  <si>
    <t>PS01 790mm</t>
  </si>
  <si>
    <t>PS02 790mm</t>
  </si>
  <si>
    <t>PS03 790mm</t>
  </si>
  <si>
    <t>PS04 790mm</t>
  </si>
  <si>
    <t>PS05 790mm</t>
  </si>
  <si>
    <t>PS06 790mm</t>
  </si>
  <si>
    <t>PS07 790mm</t>
  </si>
  <si>
    <t>PS08 790mm</t>
  </si>
  <si>
    <t>PS09 790mm</t>
  </si>
  <si>
    <t>PS10 790mm</t>
  </si>
  <si>
    <t>UV-C POD</t>
  </si>
  <si>
    <t>3ph</t>
  </si>
  <si>
    <t>Amp</t>
  </si>
  <si>
    <t>Include live test</t>
  </si>
  <si>
    <t>GAS INTERLOCK</t>
  </si>
  <si>
    <t>PER LIGHT FITTING</t>
  </si>
  <si>
    <t>CAPTURE JET PLENUM</t>
  </si>
  <si>
    <t>CAPTUREJET</t>
  </si>
  <si>
    <t>CAPTURE JET PLENUM (PER METRE)</t>
  </si>
  <si>
    <t>UP TO 5M</t>
  </si>
  <si>
    <t>CMW  PIPEWORK HWS/CWS</t>
  </si>
  <si>
    <t>CANOPY GROUND SUPPORT</t>
  </si>
  <si>
    <t>S/S  T-SHAPED SUPPORT</t>
  </si>
  <si>
    <t>PER METRE (292mm)</t>
  </si>
  <si>
    <t>SUPPLY AIR PLENUM</t>
  </si>
  <si>
    <t>PER METRE (365mm)</t>
  </si>
  <si>
    <t>EXTRACT</t>
  </si>
  <si>
    <t>SUPPLY</t>
  </si>
  <si>
    <t xml:space="preserve">EXTRACT SYSTEM </t>
  </si>
  <si>
    <t xml:space="preserve">SUPPLY SYSTEM </t>
  </si>
  <si>
    <t xml:space="preserve">PROJECT                                                                                       </t>
  </si>
  <si>
    <t>REF</t>
  </si>
  <si>
    <t>No. Off</t>
  </si>
  <si>
    <t>Shoe</t>
  </si>
  <si>
    <t>45 Bend</t>
  </si>
  <si>
    <t>90 Sq Bend</t>
  </si>
  <si>
    <t>90 Rad Bend</t>
  </si>
  <si>
    <t>Sq to Round</t>
  </si>
  <si>
    <t xml:space="preserve">Supports </t>
  </si>
  <si>
    <t>Supports</t>
  </si>
  <si>
    <t>800x800</t>
  </si>
  <si>
    <t>1000x1000</t>
  </si>
  <si>
    <t xml:space="preserve">GALVANISED EXTRACT DUCTWORK COSTS </t>
  </si>
  <si>
    <t xml:space="preserve">GALVANISED SUPPLY DUCTWORK COSTS </t>
  </si>
  <si>
    <t>CANOPIES</t>
  </si>
  <si>
    <t>CONTRACT</t>
  </si>
  <si>
    <t>SDU's</t>
  </si>
  <si>
    <t>M.A.R.V.E.L.</t>
  </si>
  <si>
    <t>VENTILATED CEILINGS</t>
  </si>
  <si>
    <t>CANOPY BESPOKE</t>
  </si>
  <si>
    <t>SPARE</t>
  </si>
  <si>
    <t>PROJECT TOTAL</t>
  </si>
  <si>
    <t xml:space="preserve">EXTRACT FAN AND ANCILLARIES </t>
  </si>
  <si>
    <t>DELIVER &amp; INSTALLATION</t>
  </si>
  <si>
    <t>EXTRAS</t>
  </si>
  <si>
    <t>Delivery Total</t>
  </si>
  <si>
    <t>CAPTUREJET PLENUM</t>
  </si>
  <si>
    <t>SMALL LED-SPOTS</t>
  </si>
  <si>
    <t>0.5 M³/s GBWEC400 (inc INV)</t>
  </si>
  <si>
    <t>Electric heater inc controls</t>
  </si>
  <si>
    <t xml:space="preserve">upto 12kW </t>
  </si>
  <si>
    <t xml:space="preserve">upto 24kW </t>
  </si>
  <si>
    <t xml:space="preserve">upto 42kW </t>
  </si>
  <si>
    <t xml:space="preserve">upto 36kW </t>
  </si>
  <si>
    <t xml:space="preserve">upto 30kW </t>
  </si>
  <si>
    <t>ORIGINAL</t>
  </si>
  <si>
    <t xml:space="preserve">SELECT W/W PODS </t>
  </si>
  <si>
    <t>1.5M PODIUM</t>
  </si>
  <si>
    <t>3 days for large systems.</t>
  </si>
  <si>
    <t>STRIP LIGHTS</t>
  </si>
  <si>
    <t xml:space="preserve">Up to 500mm high only. </t>
  </si>
  <si>
    <t>ONE Engineer,  2 days per Pollustop,1 days per 3no UV &amp; W/W canopies</t>
  </si>
  <si>
    <t>OPTIONAL ITEM Add to all Canary Wharf Projects</t>
  </si>
  <si>
    <t>16AMP WITHOUT MCB</t>
  </si>
  <si>
    <t>32AMP WITHOUT MCB</t>
  </si>
  <si>
    <t>16AMP WTHOUT MCB</t>
  </si>
  <si>
    <t>63AMP WITHOUT MCB</t>
  </si>
  <si>
    <t>125AMP WITHOUT MCB</t>
  </si>
  <si>
    <t>DELIVERY x 1.5 for multple loads</t>
  </si>
  <si>
    <t xml:space="preserve">CHECK SIZE OF LOAD BEFORE ENTERING QUANTITY </t>
  </si>
  <si>
    <t>Job No.</t>
  </si>
  <si>
    <t>Sales Manager / Estimator initials</t>
  </si>
  <si>
    <t>Job No</t>
  </si>
  <si>
    <t>DATE</t>
  </si>
  <si>
    <t>PRICE INCREASE</t>
  </si>
  <si>
    <t>1.0 Canopies</t>
  </si>
  <si>
    <t>Item</t>
  </si>
  <si>
    <t>Description</t>
  </si>
  <si>
    <t>Price</t>
  </si>
  <si>
    <t>Halton canopy, ex-works</t>
  </si>
  <si>
    <t>Delivery &amp; Installation</t>
  </si>
  <si>
    <t>Rip-out of existing canopies</t>
  </si>
  <si>
    <t>Testing &amp; Commissioning</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</si>
  <si>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</si>
  <si>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</si>
  <si>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</si>
  <si>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</si>
  <si>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</si>
  <si>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</si>
  <si>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</si>
  <si>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</si>
  <si>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</si>
  <si>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</si>
  <si>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</si>
  <si>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</si>
  <si>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</si>
  <si>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</si>
  <si>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</si>
  <si>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</si>
  <si>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Hiab for PST04 and above (£650.00 London)</t>
  </si>
  <si>
    <t>ALL COSTS</t>
  </si>
  <si>
    <t>CMWF</t>
  </si>
  <si>
    <t>CMWI</t>
  </si>
  <si>
    <t>CXW</t>
  </si>
  <si>
    <t>KVX-M</t>
  </si>
  <si>
    <t>UVX-M</t>
  </si>
  <si>
    <t>CXW-M</t>
  </si>
  <si>
    <t>Spigot</t>
  </si>
  <si>
    <t>Rad Tee</t>
  </si>
  <si>
    <t>Square Tee</t>
  </si>
  <si>
    <t>Blank End</t>
  </si>
  <si>
    <t>Grille Box</t>
  </si>
  <si>
    <t>Flange</t>
  </si>
  <si>
    <t>Access Door</t>
  </si>
  <si>
    <t>200x200</t>
  </si>
  <si>
    <t>250x250</t>
  </si>
  <si>
    <t>300x300</t>
  </si>
  <si>
    <t>350x350</t>
  </si>
  <si>
    <t>400x400</t>
  </si>
  <si>
    <t>450x450</t>
  </si>
  <si>
    <t>Taper 0.8m</t>
  </si>
  <si>
    <t>1.5m Sraight</t>
  </si>
  <si>
    <t>Offset 0.8m</t>
  </si>
  <si>
    <t>500x500</t>
  </si>
  <si>
    <t>550x550</t>
  </si>
  <si>
    <t>600x600</t>
  </si>
  <si>
    <t>650x650</t>
  </si>
  <si>
    <t>700x700</t>
  </si>
  <si>
    <t>750x750</t>
  </si>
  <si>
    <t>950x950</t>
  </si>
  <si>
    <t>1050x1050</t>
  </si>
  <si>
    <t>1100x1100</t>
  </si>
  <si>
    <t>850x850</t>
  </si>
  <si>
    <t>900x900</t>
  </si>
  <si>
    <t>1150x1150</t>
  </si>
  <si>
    <t>1200x1200</t>
  </si>
  <si>
    <t>1250x1250</t>
  </si>
  <si>
    <t>1300x1300</t>
  </si>
  <si>
    <t>1350x1350</t>
  </si>
  <si>
    <t>1400x1400</t>
  </si>
  <si>
    <t>1450x1450</t>
  </si>
  <si>
    <t>S/TOTAL</t>
  </si>
  <si>
    <t>LED STRIP L6</t>
  </si>
  <si>
    <t>LED STRIP L12</t>
  </si>
  <si>
    <t>LED STRIP L18</t>
  </si>
  <si>
    <t>LED STRIP</t>
  </si>
  <si>
    <t>PEU07-10</t>
  </si>
  <si>
    <t>PEU01-06</t>
  </si>
  <si>
    <t>W/PROOF SINGLE PITCH ROOF</t>
  </si>
  <si>
    <t>Metre</t>
  </si>
  <si>
    <t>CP1S HOT ONLY</t>
  </si>
  <si>
    <t>CP2S HOT ONLY</t>
  </si>
  <si>
    <t>CP3S HOT ONLY</t>
  </si>
  <si>
    <t>CP4S HOT ONLY</t>
  </si>
  <si>
    <t>1.0 M³/s GBDEC450 (inc INV)</t>
  </si>
  <si>
    <t>1.5 M³/s GBDEC500 (inc INV)</t>
  </si>
  <si>
    <t>2.0 M³/s GBDEC560 (inc INV)</t>
  </si>
  <si>
    <t>2.5 M³/s GBDRC630 (inc INV)</t>
  </si>
  <si>
    <t>3.0 M³/s GBDEC710 (Inc INV)</t>
  </si>
  <si>
    <t>CO SENSOR</t>
  </si>
  <si>
    <t>CO2 SENSOR (DCKV)</t>
  </si>
  <si>
    <t>MERLIN CH4CO</t>
  </si>
  <si>
    <t>MERLIN CO</t>
  </si>
  <si>
    <t>MERLIN CT1750 (INCLUDES PRESSURE SWITCH)</t>
  </si>
  <si>
    <t>MERLIN  CT1750 (INC PRESSURE SWITCH)</t>
  </si>
  <si>
    <t>GUIDE PRICES ONLY - SUPPLIER QUOTATIONS TO BE OBTAINED WHENEVER POSSIBLE</t>
  </si>
  <si>
    <t>5.5KW DANFOSS INV IP21</t>
  </si>
  <si>
    <t>7.5KW DANFOSS INV IP21</t>
  </si>
  <si>
    <t>15KW DANFOSS INV IP21</t>
  </si>
  <si>
    <t>11KW DANFOSS INV IP21</t>
  </si>
  <si>
    <t>1 TANK SYSTEM</t>
  </si>
  <si>
    <t>2 TANK SYSTEM</t>
  </si>
  <si>
    <t>3 TANK SYSTEM</t>
  </si>
  <si>
    <t>4 TANK SYSTEM</t>
  </si>
  <si>
    <t>5 TANK SYSTEM</t>
  </si>
  <si>
    <t>6 TANK SYSTEM</t>
  </si>
  <si>
    <t>1 TANK DISTANCE</t>
  </si>
  <si>
    <t>1 TANK TRAVEL HUB</t>
  </si>
  <si>
    <t>NOBEL</t>
  </si>
  <si>
    <t>AMEREX</t>
  </si>
  <si>
    <t>OTHER</t>
  </si>
  <si>
    <t>FIRE SUPPRESSION</t>
  </si>
  <si>
    <t>2 TANK TRAVEL HUB</t>
  </si>
  <si>
    <t>2 TANK DISTANCE</t>
  </si>
  <si>
    <t>3 TANK TRAVEL HUB</t>
  </si>
  <si>
    <t>3 TANK DISTANCE</t>
  </si>
  <si>
    <t>4 TANK TRAVEL HUB</t>
  </si>
  <si>
    <t>4 TANK DISTANCE</t>
  </si>
  <si>
    <t>5 TANK TRAVEL HUB</t>
  </si>
  <si>
    <t>5 TANK DISTANCE</t>
  </si>
  <si>
    <t>6 TANK TRAVEL HUB</t>
  </si>
  <si>
    <t>6 TANK DISTANCE</t>
  </si>
  <si>
    <t>Courtesy AIRTRACE NOV 2016  -  No change in price NOV 2018</t>
  </si>
  <si>
    <t>Damper control</t>
  </si>
  <si>
    <t>Unit Mounted</t>
  </si>
  <si>
    <t>GAS INTERLOCK (INSTALLED)</t>
  </si>
  <si>
    <t>100 DIA</t>
  </si>
  <si>
    <t>125 DIA</t>
  </si>
  <si>
    <t>150 DIA</t>
  </si>
  <si>
    <t>200 DIA</t>
  </si>
  <si>
    <t>250 DIA</t>
  </si>
  <si>
    <t>315 DIA</t>
  </si>
  <si>
    <t>355 DIA</t>
  </si>
  <si>
    <t>400DIA</t>
  </si>
  <si>
    <t>450 DIA</t>
  </si>
  <si>
    <t>500 DIA</t>
  </si>
  <si>
    <t>560 DIA</t>
  </si>
  <si>
    <t>3.0m Sraight</t>
  </si>
  <si>
    <t>Coupler</t>
  </si>
  <si>
    <t>Flat Shoe</t>
  </si>
  <si>
    <t>Cap End</t>
  </si>
  <si>
    <t>Split Ring</t>
  </si>
  <si>
    <t>Taper</t>
  </si>
  <si>
    <t>Pressed Saddle</t>
  </si>
  <si>
    <t>LPHW HEATER</t>
  </si>
  <si>
    <t>CO SENSOR (SOLID FUEL)</t>
  </si>
  <si>
    <t>FAN SECTION &amp; VFD</t>
  </si>
  <si>
    <t>UNDER CONSTRUCTION - WATCH THIS SPACE</t>
  </si>
  <si>
    <t>LED STRIP INC BATTERY</t>
  </si>
  <si>
    <t>LED STRIP L12EM</t>
  </si>
  <si>
    <t>LED STRIP L6EM</t>
  </si>
  <si>
    <t>LED STRIP L18EM</t>
  </si>
  <si>
    <t xml:space="preserve"> 2nd EXTRACT PLENUM</t>
  </si>
  <si>
    <t>UV ON DEMAND</t>
  </si>
  <si>
    <t>COLD MIST ON DEMAND</t>
  </si>
  <si>
    <t>PECO LIFT</t>
  </si>
  <si>
    <t>SPIRAL &amp; FLEX</t>
  </si>
  <si>
    <t>UV FILTER</t>
  </si>
  <si>
    <t>COOLING COIL</t>
  </si>
  <si>
    <t>OR 2.5% OF TOTAL CONTRACT VALUE</t>
  </si>
  <si>
    <t xml:space="preserve">PLANT HIRE </t>
  </si>
  <si>
    <t>ELEC / LPHW FROST COIL</t>
  </si>
  <si>
    <t>2.5% TOTAL CONTRACT VALUE</t>
  </si>
  <si>
    <t>4M PER TEAM PER DAY</t>
  </si>
  <si>
    <t>16 AMP 3-PH ISO/OUTLET(NO MCB)</t>
  </si>
  <si>
    <t>16 AMP 3-PH ISO/OUTLET(MCB + VIGI)</t>
  </si>
  <si>
    <t>MCB</t>
  </si>
  <si>
    <t>MCB 4-WAY 125A</t>
  </si>
  <si>
    <t>MCB 6-WAY 125A</t>
  </si>
  <si>
    <t>MCB 8-WAY 125A</t>
  </si>
  <si>
    <t>MCB 16-WAY 125A</t>
  </si>
  <si>
    <t>MCB 18-WAY 125A</t>
  </si>
  <si>
    <t>MCB 24-WAY 125A</t>
  </si>
  <si>
    <t>MCB 4-WAY 160A</t>
  </si>
  <si>
    <t>MCB 6-WAY 160A</t>
  </si>
  <si>
    <t>MCB 8-WAY 160A</t>
  </si>
  <si>
    <t>MCB 16-WAY 160A</t>
  </si>
  <si>
    <t>MCB 18-WAY 160A</t>
  </si>
  <si>
    <t>MCB 24-WAY 160A</t>
  </si>
  <si>
    <t>MCB 4-WAY 250A</t>
  </si>
  <si>
    <t>MCB 6-WAY 250A</t>
  </si>
  <si>
    <t>MCB 16-WAY 250A</t>
  </si>
  <si>
    <t>MCB 18-WAY 250A</t>
  </si>
  <si>
    <t>MCB 24-WAY 250A</t>
  </si>
  <si>
    <t>REMOTE RCO &amp; HOUSING</t>
  </si>
  <si>
    <t>MCB WAYS</t>
  </si>
  <si>
    <t>850X300X2100</t>
  </si>
  <si>
    <t>850X300X3000</t>
  </si>
  <si>
    <t>REMOTE RCD &amp; HOUSING</t>
  </si>
  <si>
    <t>ISO / OUTLET (MCB)</t>
  </si>
  <si>
    <t>ISO/  OUTLET (NO MCB)</t>
  </si>
  <si>
    <t>16 AMP 3-PH ISO/OUTLET(MCB + RCD)</t>
  </si>
  <si>
    <t>Size factor</t>
  </si>
  <si>
    <t>ISO/OUTLET (NO MCB) 01</t>
  </si>
  <si>
    <t>ISO/OUTLET (NO MCB) 02</t>
  </si>
  <si>
    <t>ISO/OUTLET (NO MCB) 03</t>
  </si>
  <si>
    <t>ISO/OUTLET (NO MCB) 04</t>
  </si>
  <si>
    <t>ISO/OUTLET (NO MCB) 05</t>
  </si>
  <si>
    <t>ISO/OUTLET (NO MCB) 06</t>
  </si>
  <si>
    <t>ISO/OUTLET (NO MCB) 07</t>
  </si>
  <si>
    <t>ISO/OUTLET (NO MCB) 08</t>
  </si>
  <si>
    <t>ISO/ OUTLET (MCB) 01</t>
  </si>
  <si>
    <t>ISO/ OUTLET (MCB) 02</t>
  </si>
  <si>
    <t>ISO/ OUTLET (MCB) 03</t>
  </si>
  <si>
    <t>ISO/ OUTLET (MCB) 04</t>
  </si>
  <si>
    <t>ISO/ OUTLET (MCB) 05</t>
  </si>
  <si>
    <t>ISO/ OUTLET (MCB) 06</t>
  </si>
  <si>
    <t>ISO/ OUTLET (MCB) 07</t>
  </si>
  <si>
    <t>ISO/ OUTLET (MCB) 08</t>
  </si>
  <si>
    <t>16 AMP 1-PH ISO/OUTLET(MCB)</t>
  </si>
  <si>
    <t>32 AMP 1-PH ISO/OUTLET(MCB)</t>
  </si>
  <si>
    <t>32 AMP 3-PH ISO/OUTLET(MCB + VIGI)</t>
  </si>
  <si>
    <t>63 AMP 3-PH ISO/OUTLET(MCB)</t>
  </si>
  <si>
    <t>125 AMP 3-PH ISO/OUTLET(MCB)</t>
  </si>
  <si>
    <t>32 AMP 3-PH ISO/OUTLET(MCB + RCD)</t>
  </si>
  <si>
    <t>16 AMP 1-PH ISO/OUTLET(NO MCB)</t>
  </si>
  <si>
    <t>32 AMP 1-PH ISO/OUTLET(NO MCB)</t>
  </si>
  <si>
    <t>32 AMP 3-PH ISO/OUTLET(NO MCB)</t>
  </si>
  <si>
    <t>63 AMP 3-PH ISO/OUTLET(NO MCB)</t>
  </si>
  <si>
    <t>125 AMP 3-PH ISO/OUTLET(NO MCB)</t>
  </si>
  <si>
    <t>NEW COSTS</t>
  </si>
  <si>
    <t>Installation cost assumes each pair has their own alps &amp; step ladders</t>
  </si>
  <si>
    <t>Waterwash control panel does not include for a Touchscreen, if required it needs to be added as an option</t>
  </si>
  <si>
    <t>Includes EMI filter</t>
  </si>
  <si>
    <t>1.5Kw to 37.0Kw Fan control</t>
  </si>
  <si>
    <t>HEAVY DUTY 1.60 M3/S</t>
  </si>
  <si>
    <t>HEAVY DUTY 0.80 M3/S</t>
  </si>
  <si>
    <t>HEAVY DUTY 1.20 M3/S</t>
  </si>
  <si>
    <t>2 x 6-TUBE SHORT RACKS</t>
  </si>
  <si>
    <t>2 x 8-TUBE SHORT RACKS</t>
  </si>
  <si>
    <t>2 x 4-TUBE LONG RACKS</t>
  </si>
  <si>
    <t>HEAVY DUTY 2.40 M3/S</t>
  </si>
  <si>
    <t>2 x 6-TUBE LONG RACKS</t>
  </si>
  <si>
    <t>HEAVY DUTY 3.20 M3/S</t>
  </si>
  <si>
    <t>2 x 8-TUBE LONG RACKS</t>
  </si>
  <si>
    <t>HEAVY DUTY 3.60 M3/S</t>
  </si>
  <si>
    <t>3 x 6-TUBE LONG RACKS</t>
  </si>
  <si>
    <t>LIGH/MEDIUM DUTY 0.40 M3/S</t>
  </si>
  <si>
    <t>LIGH/MEDIUM DUTY 0.60 M3/S</t>
  </si>
  <si>
    <t>1 x 4-TUBE SHORT RACK</t>
  </si>
  <si>
    <t>2 x 4-TUBE SHORT RACK</t>
  </si>
  <si>
    <t>1 x 6-TUBE SHORT RACK</t>
  </si>
  <si>
    <t>1 x 8-TUBE SHORT RACK</t>
  </si>
  <si>
    <t>LIGH/MEDIUM DUTY 0.480M3/S</t>
  </si>
  <si>
    <t>LIGH/MEDIUM DUTY 1.20 M3/S</t>
  </si>
  <si>
    <t>LIGH/MEDIUM DUTY 1.60 M3/S</t>
  </si>
  <si>
    <t>LIGH/MEDIUM DUTY 0.80 M3/S</t>
  </si>
  <si>
    <t>1 x 4-TUBE LONG RACK</t>
  </si>
  <si>
    <t>1 x 6-TUBE LONG RACK</t>
  </si>
  <si>
    <t>1 x 8-TUBE LONG RACK</t>
  </si>
  <si>
    <t>NO. OFF</t>
  </si>
  <si>
    <t>Flex. 10M</t>
  </si>
  <si>
    <t>Ins. Flex 10M</t>
  </si>
  <si>
    <t>Twin Bend</t>
  </si>
  <si>
    <t>600 DIA</t>
  </si>
  <si>
    <t>Filter Monitoring</t>
  </si>
  <si>
    <t xml:space="preserve"> BIG LED-SPOTS</t>
  </si>
  <si>
    <t>1250X300X1200</t>
  </si>
  <si>
    <t>1250X300X2100</t>
  </si>
  <si>
    <t>1250X300X3000</t>
  </si>
  <si>
    <t>TEST PROCEDURE</t>
  </si>
  <si>
    <t>LOCATION</t>
  </si>
  <si>
    <t>FACTORY</t>
  </si>
  <si>
    <t>ENGINEER</t>
  </si>
  <si>
    <t>DUCTWORK</t>
  </si>
  <si>
    <t>FACTORY SPACE</t>
  </si>
  <si>
    <t>TEST EQUIPMENT</t>
  </si>
  <si>
    <t>SITE</t>
  </si>
  <si>
    <t xml:space="preserve">PRESSURE  DROP PER MODULE </t>
  </si>
  <si>
    <t>CAPPING PLATES</t>
  </si>
  <si>
    <t>FAN &amp; AIRFLOW PER UNIT</t>
  </si>
  <si>
    <t>CASING AIR LEAKAGE PER UNIT</t>
  </si>
  <si>
    <t xml:space="preserve">FILTER BYPASS PER MODULE </t>
  </si>
  <si>
    <t>DAYS</t>
  </si>
  <si>
    <t>TEGRA 4000K DALI</t>
  </si>
  <si>
    <t>TEGRA 4000K DALI 3HRS DALI  ECT</t>
  </si>
  <si>
    <t>TEGRA 4000K DALI 3hrs DALI ECT</t>
  </si>
  <si>
    <t>TEG-3-528X498-00-0-4K-0-2-0</t>
  </si>
  <si>
    <t>TEG-3-528X498-00-0-4K-0-2-3</t>
  </si>
  <si>
    <t>3-Port Valve</t>
  </si>
  <si>
    <t>15mm</t>
  </si>
  <si>
    <t>20mm</t>
  </si>
  <si>
    <t>25mm</t>
  </si>
  <si>
    <t>32mm</t>
  </si>
  <si>
    <t>40mm</t>
  </si>
  <si>
    <t>50mm</t>
  </si>
  <si>
    <t>65mm</t>
  </si>
  <si>
    <t>Screwed</t>
  </si>
  <si>
    <t>Flanged</t>
  </si>
  <si>
    <t>Actuator</t>
  </si>
  <si>
    <t>Inlet 'stat</t>
  </si>
  <si>
    <t>Frost 'stat</t>
  </si>
  <si>
    <t>Outlet 'stat</t>
  </si>
  <si>
    <t>Supply</t>
  </si>
  <si>
    <t>HR 'stat</t>
  </si>
  <si>
    <t>Extract 'stat</t>
  </si>
  <si>
    <t>HR pipe 'stat</t>
  </si>
  <si>
    <t>Extract</t>
  </si>
  <si>
    <t>Pipe Sensor (HR ONLY)</t>
  </si>
  <si>
    <t>Duct Sensor</t>
  </si>
  <si>
    <t xml:space="preserve">A1K-2W-DO-6'20' CLZP </t>
  </si>
  <si>
    <t xml:space="preserve">A1K-2W-5-4x </t>
  </si>
  <si>
    <t>3-Port diverting valve</t>
  </si>
  <si>
    <t>Not req'd if in Pollustop</t>
  </si>
  <si>
    <t>Control platform, fil/htg/clg/fan</t>
  </si>
  <si>
    <t>Control platform, filters &amp; fan</t>
  </si>
  <si>
    <t>SITE INSTALLATION CHECK</t>
  </si>
  <si>
    <t>IF BEING INSTALLED BY A 3RD PARTY</t>
  </si>
  <si>
    <t>ICT-8S1  0.90M3/S</t>
  </si>
  <si>
    <t>ICT-8S2  1.80M3/S</t>
  </si>
  <si>
    <t>ICT-8S3  2.70M3/S</t>
  </si>
  <si>
    <t>ICT-8S4  3.60M3/S</t>
  </si>
  <si>
    <t>ICT-8S5  4.50M3/S</t>
  </si>
  <si>
    <t>ICT-8S6  5.40M3/S</t>
  </si>
  <si>
    <t>ICT-8S7  6.75M3/S</t>
  </si>
  <si>
    <t>ICT-8S8  8.10M3/S</t>
  </si>
  <si>
    <t>3 x 8-TUBE SHORT RACKS</t>
  </si>
  <si>
    <t>4 x 8-TUBE SHORT RACKS</t>
  </si>
  <si>
    <t>5 x 8-TUBE SHORT RACKS</t>
  </si>
  <si>
    <t>6 x 8-TUBE SHORT RACKS</t>
  </si>
  <si>
    <t>7 x 8-TUBE SHORT RACKS</t>
  </si>
  <si>
    <t>8 x 8-TUBE SHORT RACKS</t>
  </si>
  <si>
    <t>ICT-4L1  0.90M3/S</t>
  </si>
  <si>
    <t>ICT-6L1  1.80M3/S</t>
  </si>
  <si>
    <t>T</t>
  </si>
  <si>
    <t>ICT-8L5  10.80M3/S</t>
  </si>
  <si>
    <t>ICT-8L4  9.45M3/S</t>
  </si>
  <si>
    <t>ICT-8L4  8.10M3/S</t>
  </si>
  <si>
    <t>ICT-8L3  6.75M3/S</t>
  </si>
  <si>
    <t>ICT-8L3  5.40M3/S</t>
  </si>
  <si>
    <t>ICT-8L2  4.50M3/S</t>
  </si>
  <si>
    <t xml:space="preserve">ICT-6L2  3.60M3/S </t>
  </si>
  <si>
    <t>2 x 6-TUBE LONG RACK</t>
  </si>
  <si>
    <t>2 x 8-TUBE LONG RACK</t>
  </si>
  <si>
    <t>3 x 8-TUBE LONG RACK</t>
  </si>
  <si>
    <t>4 x 8-TUBE LONG RACK</t>
  </si>
  <si>
    <t>5 x 8-TUBE LONG RACK</t>
  </si>
  <si>
    <t>ICT-6L2  2.70M3/S</t>
  </si>
  <si>
    <t>Not req'd if in Aerolys</t>
  </si>
  <si>
    <t>£20.78/M2</t>
  </si>
  <si>
    <t>£21.77/M2</t>
  </si>
  <si>
    <t>£23.76/M2</t>
  </si>
  <si>
    <t>18% May 21</t>
  </si>
  <si>
    <t>LED STRIP L6 Inc DALI</t>
  </si>
  <si>
    <t>LED STRIP L12 inc DALI</t>
  </si>
  <si>
    <t>LED STRIP L18 Inc DALI</t>
  </si>
  <si>
    <t>Small LED Spots inc DALI</t>
  </si>
  <si>
    <t>Large LED Spots inc DALI</t>
  </si>
  <si>
    <t>E/over for emergency strip light</t>
  </si>
  <si>
    <t>E/over for small emer. spot light</t>
  </si>
  <si>
    <t>E/over for large emer. spot light</t>
  </si>
  <si>
    <t>2B</t>
  </si>
  <si>
    <t>RECO AIR UNIT</t>
  </si>
  <si>
    <t>ATTENUATORS (Melinex lined)</t>
  </si>
  <si>
    <t xml:space="preserve">FIRE SUPPRESSION </t>
  </si>
  <si>
    <t>HCL600 DALI</t>
  </si>
  <si>
    <t>HCL1200 DALI</t>
  </si>
  <si>
    <t>HCL1800 DALI</t>
  </si>
  <si>
    <t xml:space="preserve">F24-09    UVGI COST SHEET </t>
  </si>
  <si>
    <t>Ex-works, supply only, delivery extra</t>
  </si>
  <si>
    <t>OVERNIGHT/ TRAVEL EXPENSES</t>
  </si>
  <si>
    <t>6M PER DAY</t>
  </si>
  <si>
    <t>WALL CLADDING INSTALLATION</t>
  </si>
  <si>
    <t xml:space="preserve">ITEM  </t>
  </si>
  <si>
    <t>PERF</t>
  </si>
  <si>
    <t>3% Oct 21</t>
  </si>
  <si>
    <t>CONSUMABLES  15(P) + 19(H)</t>
  </si>
  <si>
    <t>RAH0.5 STANDARD</t>
  </si>
  <si>
    <t>RAH0.8 STANDARD</t>
  </si>
  <si>
    <t>RA1.0 STANDARD</t>
  </si>
  <si>
    <t>RA1.5 STANDARD</t>
  </si>
  <si>
    <t>RA2.0 STANDARD</t>
  </si>
  <si>
    <t>VERTICAL  0.5M3/S</t>
  </si>
  <si>
    <t>HORIZONTAL  0.5M3/S</t>
  </si>
  <si>
    <t>HORIZONTAL  0.8M3/S</t>
  </si>
  <si>
    <t>HORIZONTAL  0.9M3/S</t>
  </si>
  <si>
    <t>HORIZONTAL  1.2M3/S</t>
  </si>
  <si>
    <t>HORIZONTAL  1.8M3/S</t>
  </si>
  <si>
    <t>HORIZONTAL  2.25M3/S</t>
  </si>
  <si>
    <t>VERTICAL  0.8M3/S</t>
  </si>
  <si>
    <t>VERTICAL  0.9M3/S</t>
  </si>
  <si>
    <t>VERTICAL  1.2M3/S</t>
  </si>
  <si>
    <t>VERTICAL  1.8M3/S</t>
  </si>
  <si>
    <t>VERTICAL  2.25M3/S</t>
  </si>
  <si>
    <t>VERTICAL  2.7M3/S</t>
  </si>
  <si>
    <t>VERTICAL  3.15M3/S</t>
  </si>
  <si>
    <t>VERTICAL  3.6M3/S</t>
  </si>
  <si>
    <t>RAH0.5 VOID (+10%)</t>
  </si>
  <si>
    <t>RA1.0 VOID (+10%)</t>
  </si>
  <si>
    <t>RAH0.8 VOID (+10%)</t>
  </si>
  <si>
    <t>RA1.5 VOID (+10%)</t>
  </si>
  <si>
    <t>RA2.0 VOID (+10%)</t>
  </si>
  <si>
    <t>Comments</t>
  </si>
  <si>
    <t>4HRS</t>
  </si>
  <si>
    <t>4HRS PER SECTION</t>
  </si>
  <si>
    <t>TOTAL AREA DIVIDED BY 4.0m2 customised to suit site</t>
  </si>
  <si>
    <t>EDGE CONNECTIVITY</t>
  </si>
  <si>
    <t>600/400 X 300MM  1 PER SPIGOT</t>
  </si>
  <si>
    <t>ESP</t>
  </si>
  <si>
    <t>ESP SECTION</t>
  </si>
  <si>
    <t>DELIVERY 1 x 7.5T TAIL LIFT 3200KGS</t>
  </si>
  <si>
    <t>ABERDEEN 590</t>
  </si>
  <si>
    <t>BATH 154</t>
  </si>
  <si>
    <t>BRISTOL 157</t>
  </si>
  <si>
    <t>BUCKINGHAMSHIRE 109</t>
  </si>
  <si>
    <t>HIGH WYCOMBE 80</t>
  </si>
  <si>
    <t>MILTON KEYNES 101</t>
  </si>
  <si>
    <t>LUTON 80</t>
  </si>
  <si>
    <t>READING 88</t>
  </si>
  <si>
    <t>PETERBOROUGH 124</t>
  </si>
  <si>
    <t>CAMBRIDGE 85</t>
  </si>
  <si>
    <t>MANCHESTER 251</t>
  </si>
  <si>
    <t>MIDDLESBROUGH 286</t>
  </si>
  <si>
    <t>DURHAM 299</t>
  </si>
  <si>
    <t>BODMIN 273</t>
  </si>
  <si>
    <t>CARLISLE 356</t>
  </si>
  <si>
    <t>DERBY 178</t>
  </si>
  <si>
    <t>EXETER 205</t>
  </si>
  <si>
    <t>EXMOUTH 207</t>
  </si>
  <si>
    <t>PLYMOUTH 247</t>
  </si>
  <si>
    <t>BOURNEMOUTH 140</t>
  </si>
  <si>
    <t>DORCHESTER 160</t>
  </si>
  <si>
    <t>CHELMSFORD 51</t>
  </si>
  <si>
    <t>SOUTHEND 52</t>
  </si>
  <si>
    <t>GLOUCESTER 151</t>
  </si>
  <si>
    <t>HEREFORD 184</t>
  </si>
  <si>
    <t>ANDOVER 102</t>
  </si>
  <si>
    <t>BASINGSTOKE 82</t>
  </si>
  <si>
    <t>BLACKPOOL 289</t>
  </si>
  <si>
    <t>BOLTON 259</t>
  </si>
  <si>
    <t>LANCASTER 290</t>
  </si>
  <si>
    <t>LEICESTER 151</t>
  </si>
  <si>
    <t>PORTSMOUTH 102</t>
  </si>
  <si>
    <t>SOUTHAMPTON 112</t>
  </si>
  <si>
    <t>WIGAN 252</t>
  </si>
  <si>
    <t>WINCHESTER 100</t>
  </si>
  <si>
    <t>SPALDING 143</t>
  </si>
  <si>
    <t>LIVERPOOL 258</t>
  </si>
  <si>
    <t>LINCOLN 179</t>
  </si>
  <si>
    <t>GREAT YARMOUTH 147</t>
  </si>
  <si>
    <t>NORWICH 136</t>
  </si>
  <si>
    <t>NORTHAMPTON 116</t>
  </si>
  <si>
    <t>KETTERING 127</t>
  </si>
  <si>
    <t>NOTTINGHAM 177</t>
  </si>
  <si>
    <t>OXFORD 106</t>
  </si>
  <si>
    <t>BANBURY 128</t>
  </si>
  <si>
    <t>SHREWSBURY 207</t>
  </si>
  <si>
    <t>TELFORD 193</t>
  </si>
  <si>
    <t>TAUNTON 185</t>
  </si>
  <si>
    <t>STAFFORD 187</t>
  </si>
  <si>
    <t>SCUNTHORPE 204</t>
  </si>
  <si>
    <t>YEOVIL 163</t>
  </si>
  <si>
    <t>GRIMSBY 215</t>
  </si>
  <si>
    <t>GLASTONBURY 164</t>
  </si>
  <si>
    <t>CANNOCK 175</t>
  </si>
  <si>
    <t>STOKE-ON-TRENT 205</t>
  </si>
  <si>
    <t>IPSWICH 94</t>
  </si>
  <si>
    <t>SUNDERLAND 309</t>
  </si>
  <si>
    <t>SWANSEA 229</t>
  </si>
  <si>
    <t>WOLVERHAMPTON 175</t>
  </si>
  <si>
    <t>CARDIFF 192</t>
  </si>
  <si>
    <t>BIRMINGHAM 168</t>
  </si>
  <si>
    <t>CHIPPENHAM 136</t>
  </si>
  <si>
    <t>DONCASTER 203</t>
  </si>
  <si>
    <t>HULL 247</t>
  </si>
  <si>
    <t>LEEDS 231</t>
  </si>
  <si>
    <t>SALISBURY 120</t>
  </si>
  <si>
    <t>SHEFFIELD 205</t>
  </si>
  <si>
    <t>WORCESTER 160</t>
  </si>
  <si>
    <t>YORK 243</t>
  </si>
  <si>
    <t>INVERNESS 619</t>
  </si>
  <si>
    <t>GLASGOW 456</t>
  </si>
  <si>
    <t>BEDFORD 103</t>
  </si>
  <si>
    <t>ST IVES 317</t>
  </si>
  <si>
    <t>DARTMOUTH 245</t>
  </si>
  <si>
    <t>COLCHESTER 78</t>
  </si>
  <si>
    <t>TILBURY 34</t>
  </si>
  <si>
    <t>CHELTENHAM 148</t>
  </si>
  <si>
    <t>CORBY 128</t>
  </si>
  <si>
    <t>HEXHAM 325</t>
  </si>
  <si>
    <t>MORPETH 327</t>
  </si>
  <si>
    <t>FELIXSTOWE 103</t>
  </si>
  <si>
    <t>COVENTRY 146</t>
  </si>
  <si>
    <t>WARWICK 148</t>
  </si>
  <si>
    <t>ABINGDON 110</t>
  </si>
  <si>
    <t>ALDEBURGH 112</t>
  </si>
  <si>
    <t>ALDERSHOT 110</t>
  </si>
  <si>
    <t>ALNWICK 342</t>
  </si>
  <si>
    <t>ASHFORD 25</t>
  </si>
  <si>
    <t>AYLESBURY 86</t>
  </si>
  <si>
    <t>BANGOR 324</t>
  </si>
  <si>
    <t>BARKING 32</t>
  </si>
  <si>
    <t>BARNET 55</t>
  </si>
  <si>
    <t>BARNSLEY 209</t>
  </si>
  <si>
    <t>BARNSTABLE 227</t>
  </si>
  <si>
    <t>BARROW-IN-FURNESS 348</t>
  </si>
  <si>
    <t>BASILDON 38</t>
  </si>
  <si>
    <t>BERWICK-UPON-TWEED 371</t>
  </si>
  <si>
    <t>BILLERICAY 37</t>
  </si>
  <si>
    <t>BIRKENHEAD 277</t>
  </si>
  <si>
    <t>BISHOP'S STORTFORD 55</t>
  </si>
  <si>
    <t>BLACKBURN 283</t>
  </si>
  <si>
    <t>BLANDFORD FORUM 144</t>
  </si>
  <si>
    <t>BOGNOR REGIS 88</t>
  </si>
  <si>
    <t>BOOTLE 272</t>
  </si>
  <si>
    <t>BRADFORD 234</t>
  </si>
  <si>
    <t>BRAINTREE 60</t>
  </si>
  <si>
    <t>BRIDGEND 205</t>
  </si>
  <si>
    <t>BRIDLINGTON 244</t>
  </si>
  <si>
    <t>BRIGHTON 68</t>
  </si>
  <si>
    <t>BURNLEY 296</t>
  </si>
  <si>
    <t>BURTON UPON TRENT 175</t>
  </si>
  <si>
    <t>BURY ST EDMUNDS 98</t>
  </si>
  <si>
    <t>CANTERBURY 30</t>
  </si>
  <si>
    <t>CARMARTHEN 252</t>
  </si>
  <si>
    <t>CHESTER 268</t>
  </si>
  <si>
    <t>DORKING 46</t>
  </si>
  <si>
    <t>DOVER 45</t>
  </si>
  <si>
    <t>DUNDEE 499</t>
  </si>
  <si>
    <t>EASTBOURNE 57</t>
  </si>
  <si>
    <t>EASTLEIGH 109</t>
  </si>
  <si>
    <t>EDINBURGH 428</t>
  </si>
  <si>
    <t>ENFIELD 49</t>
  </si>
  <si>
    <t>GRANTHAM 143</t>
  </si>
  <si>
    <t>GUILDFORD 59</t>
  </si>
  <si>
    <t>HARLOW 47</t>
  </si>
  <si>
    <t>HARROGATE 236</t>
  </si>
  <si>
    <t>HARTLEPOOL 286</t>
  </si>
  <si>
    <t>HIGHBRIDGE 187</t>
  </si>
  <si>
    <t>HOLYHEAD 347</t>
  </si>
  <si>
    <t>HONITON 190</t>
  </si>
  <si>
    <t>HORSHAM 55</t>
  </si>
  <si>
    <t>HASTINGS 40</t>
  </si>
  <si>
    <t>GATWICK 44</t>
  </si>
  <si>
    <t>HOUNSLOW 55</t>
  </si>
  <si>
    <t>HUDDERSFIELD 239</t>
  </si>
  <si>
    <t>HUNTINGDON 94</t>
  </si>
  <si>
    <t>application</t>
  </si>
  <si>
    <t>KENDAL 321</t>
  </si>
  <si>
    <t>KIDDERMINSTER 179</t>
  </si>
  <si>
    <t>KILMARNOCK 449</t>
  </si>
  <si>
    <t>KINGSTON UPON HULL 220</t>
  </si>
  <si>
    <t>KINGSTON UPON THAMES 52</t>
  </si>
  <si>
    <t>LAUNCESTON 251</t>
  </si>
  <si>
    <t>LEAMINGTON SPA 146</t>
  </si>
  <si>
    <t>LEIGH ON SEA 45</t>
  </si>
  <si>
    <t>LEWISHAM 29</t>
  </si>
  <si>
    <t>LLANDUDNO 309</t>
  </si>
  <si>
    <t>LONDON in FORS GOLD(varies)</t>
  </si>
  <si>
    <t>MABLETHORPE 182</t>
  </si>
  <si>
    <t>MACCLESFIELD 244</t>
  </si>
  <si>
    <t>MARGATE 46</t>
  </si>
  <si>
    <t>MILFORD HAVEN 289</t>
  </si>
  <si>
    <t>NANTWICH 232</t>
  </si>
  <si>
    <t>NEWBURY 101</t>
  </si>
  <si>
    <t>NEWCASTLE 308</t>
  </si>
  <si>
    <t>NEWPORT 178</t>
  </si>
  <si>
    <t>NEWQUAY 178</t>
  </si>
  <si>
    <t>NORTHUMBERLAND 341</t>
  </si>
  <si>
    <t>OKEHAMPTON 232</t>
  </si>
  <si>
    <t>PENRITH 316</t>
  </si>
  <si>
    <t>PENZANCE 318</t>
  </si>
  <si>
    <t>PERTH 477</t>
  </si>
  <si>
    <t>PETERSFIELD 87</t>
  </si>
  <si>
    <t>PETWORTH 71</t>
  </si>
  <si>
    <t>PONTEFRACT 221</t>
  </si>
  <si>
    <t>POOLE 144</t>
  </si>
  <si>
    <t>REIGATE 39</t>
  </si>
  <si>
    <t>RINGWOOD 130</t>
  </si>
  <si>
    <t>ROSS-ON-WYE 171</t>
  </si>
  <si>
    <t>ROTHERHAM 203</t>
  </si>
  <si>
    <t>SCARBOROUGH 277</t>
  </si>
  <si>
    <t>SHROPSHIRE 218</t>
  </si>
  <si>
    <t>SLOUGH 72</t>
  </si>
  <si>
    <t>SOUTH SHIELDS 310</t>
  </si>
  <si>
    <t>SOUTHPORT 279</t>
  </si>
  <si>
    <t>ST ALBANS 62</t>
  </si>
  <si>
    <t>STAINES 61</t>
  </si>
  <si>
    <t>STEVENAGE 72</t>
  </si>
  <si>
    <t>STIRLING 445</t>
  </si>
  <si>
    <t>STOCKPORT 257</t>
  </si>
  <si>
    <t>STOCKTON 278</t>
  </si>
  <si>
    <t>STRATFORD UPON AVON 151</t>
  </si>
  <si>
    <t>SWINDON 121</t>
  </si>
  <si>
    <t>TAMWORTH 180</t>
  </si>
  <si>
    <t>TORQUAY 227</t>
  </si>
  <si>
    <t>TUNBRIDGE WELLS 26</t>
  </si>
  <si>
    <t>UXBRIDGE 74</t>
  </si>
  <si>
    <t>WAKEFIELD 214</t>
  </si>
  <si>
    <t>WARMINSTER 137</t>
  </si>
  <si>
    <t>WATFORD 67</t>
  </si>
  <si>
    <t>WELSHPOOL 238</t>
  </si>
  <si>
    <t>WEMBLEY 55</t>
  </si>
  <si>
    <t>WEYMOUTH 173</t>
  </si>
  <si>
    <t>WHITBY 282</t>
  </si>
  <si>
    <t>WINCANTON 149</t>
  </si>
  <si>
    <t>WOKING 60</t>
  </si>
  <si>
    <t>WREXHAM 250</t>
  </si>
  <si>
    <t>PERIMETER CHANNEL (3M) + PERIMETER WEDGES</t>
  </si>
  <si>
    <t xml:space="preserve">PRIMARY MULLION (3M) + HANGING BRACKET + FISH PLATE </t>
  </si>
  <si>
    <t xml:space="preserve">GREASE EXTRACT CASS.+ SINGLE PLENUM BOX </t>
  </si>
  <si>
    <t xml:space="preserve">COND. EXTRACT CASS. + SINGLE PLENUM BOX </t>
  </si>
  <si>
    <t xml:space="preserve">PERIMETER CHANNEL (3M)  + PERIMETER WEDGE  </t>
  </si>
  <si>
    <t xml:space="preserve">GREASE EXTRACT CASS. + SINGLE PLENUM BOX </t>
  </si>
  <si>
    <t>DES 2B</t>
  </si>
  <si>
    <t>DIE-PAT</t>
  </si>
  <si>
    <t>BS 6173 CT1750</t>
  </si>
  <si>
    <t>MCB 8-WAY 250A</t>
  </si>
  <si>
    <t>Standard cost</t>
  </si>
  <si>
    <t>W/shop commissioning 1</t>
  </si>
  <si>
    <t>W/shop commissioning 2</t>
  </si>
  <si>
    <t>W/Shop commissioning 1</t>
  </si>
  <si>
    <t>W/Shop commissioning 2</t>
  </si>
  <si>
    <t>Extra over for Extenso unit</t>
  </si>
  <si>
    <t>Extra over for Extenso</t>
  </si>
  <si>
    <t>TEST &amp; COMMISSION SITE</t>
  </si>
  <si>
    <t xml:space="preserve">BIM/REVIT </t>
  </si>
  <si>
    <t>PER SQ/M</t>
  </si>
  <si>
    <t>BIM/REVIT</t>
  </si>
  <si>
    <t>TOUCH SCREEN REMOTE BOX - METAL</t>
  </si>
  <si>
    <t>PEU/AEU/HOODS (Staged Alarms)</t>
  </si>
  <si>
    <t xml:space="preserve">PS-150 TOUCH SCREEN </t>
  </si>
  <si>
    <t>PS-152 EDGE BOX</t>
  </si>
  <si>
    <t>PS-153 EDGE BOX</t>
  </si>
  <si>
    <t>PS-154 EDGE BOX</t>
  </si>
  <si>
    <t>PS-155 EDGE BOX</t>
  </si>
  <si>
    <t>MU5 CONTROLLER BOX</t>
  </si>
  <si>
    <t>RCL-280 STAGED ALARM BOX</t>
  </si>
  <si>
    <t>ON SITE FIXINGS</t>
  </si>
  <si>
    <t>EXTERNAL AERIAL BOX</t>
  </si>
  <si>
    <t>PER BOX</t>
  </si>
  <si>
    <t>PEU/MRV/HOODS (Staged Alarms)</t>
  </si>
  <si>
    <t>PEU/AEU/ MRV/HOOD (No Staged Alarms)</t>
  </si>
  <si>
    <t>PEU/HOODS (Staged Alarms)</t>
  </si>
  <si>
    <t xml:space="preserve"> NOT INCLUDED IN THE ABOVE</t>
  </si>
  <si>
    <t>PS-150 TOUCH SCREEN</t>
  </si>
  <si>
    <t>ST/STEEL WALL MOUNTED BOX ENCLOSURE</t>
  </si>
  <si>
    <t>NOT INCLUDED IN THE ABOVE</t>
  </si>
  <si>
    <t>SUPERVISOR/BALLAST BOX</t>
  </si>
  <si>
    <t>NTC-4 SENSOR</t>
  </si>
  <si>
    <t xml:space="preserve">LIR-2 SENSOR </t>
  </si>
  <si>
    <t xml:space="preserve">PS-154 EDGE BOX </t>
  </si>
  <si>
    <t>LHC-2 CONTROL PANEL</t>
  </si>
  <si>
    <t>LHC-2 TH1</t>
  </si>
  <si>
    <t>LHC-2 HMI TOUCH SCREEN WALL HUNG ENCLOSURE</t>
  </si>
  <si>
    <t>PS-150 EDGE CONNECTIVITY</t>
  </si>
  <si>
    <t>LHC-2-MU1 + VV1</t>
  </si>
  <si>
    <t>NTC-4  SENSOR</t>
  </si>
  <si>
    <t>LIR-2 SENSOR</t>
  </si>
  <si>
    <t>10% Jul-23</t>
  </si>
  <si>
    <t>PRICES JUL 2023</t>
  </si>
  <si>
    <t>UVR6L-9   10.8 M³/s</t>
  </si>
  <si>
    <t>MERLIN CH4CO (ELE-683) CARBON MONOXIDE MONITOR</t>
  </si>
  <si>
    <t>MERLIN CO CABON DIOXIDE MONITOR</t>
  </si>
  <si>
    <r>
      <t xml:space="preserve">HINGES </t>
    </r>
    <r>
      <rPr>
        <b/>
        <sz val="10"/>
        <color theme="0"/>
        <rFont val="Arial"/>
        <family val="2"/>
      </rPr>
      <t>(MFG148)</t>
    </r>
  </si>
  <si>
    <r>
      <t xml:space="preserve">LOCKS </t>
    </r>
    <r>
      <rPr>
        <b/>
        <sz val="10"/>
        <color theme="0"/>
        <rFont val="Arial"/>
        <family val="2"/>
      </rPr>
      <t>(MFG-045)</t>
    </r>
  </si>
  <si>
    <t>PSU / JUNCTION BOX</t>
  </si>
  <si>
    <t>PSU</t>
  </si>
  <si>
    <t>J BOX</t>
  </si>
  <si>
    <t>EXTERNAL CONTROLS (REQUIRED)</t>
  </si>
  <si>
    <t>FLAT PACK REASSEBLE ON SITE</t>
  </si>
  <si>
    <t>PER UNIT PER TEAM PER DAY</t>
  </si>
  <si>
    <t>CONNECTIVITY (REQUIRED)</t>
  </si>
  <si>
    <t>PS-070/PS-071/ELE-713</t>
  </si>
  <si>
    <t>PS-153 EDGE + PS-150 REMOTE TOUCH SCR</t>
  </si>
  <si>
    <t>ALWAYS INCLUDE</t>
  </si>
  <si>
    <t>ANSUL DELIVERY</t>
  </si>
  <si>
    <r>
      <t xml:space="preserve">2 Pieces = 1 Day, 4 Pieces = 1.5 Days, 6 Pieces = 2 Days,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</si>
  <si>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WHEELS</t>
  </si>
  <si>
    <t>PER UNIT</t>
  </si>
  <si>
    <t>FLAT PACK (Inc. Pallets)</t>
  </si>
  <si>
    <t>BIM/ REVIT per CANOPY</t>
  </si>
  <si>
    <t>DESIGN</t>
  </si>
  <si>
    <t>BIM/REVIT PER UNIT</t>
  </si>
  <si>
    <t>BIM/REVIT PER SYSTEM</t>
  </si>
  <si>
    <t>GP SHOULD BE MINIMUM 44%</t>
  </si>
  <si>
    <t>GP SHOULD BE MINIMUM 40%</t>
  </si>
  <si>
    <t>GP SHOULD BE MINIMUM 37%</t>
  </si>
  <si>
    <t>GP SHOULD BE MINIMUM 30%</t>
  </si>
  <si>
    <t>0.5 Per Area/System</t>
  </si>
  <si>
    <t xml:space="preserve">INDUCTION </t>
  </si>
  <si>
    <t>PER PROJECT</t>
  </si>
  <si>
    <t>LIVE SITE TEST</t>
  </si>
  <si>
    <t>INCLUDE FOR ANSUL BUT SHOWN AS A LINE ITEM FOR AMEREX</t>
  </si>
  <si>
    <t>INCLUDED IN RA2.5/3.0/3.5/4.0 COST</t>
  </si>
  <si>
    <r>
      <t>RA2.5</t>
    </r>
    <r>
      <rPr>
        <sz val="10"/>
        <color theme="1" tint="0.249977111117893"/>
        <rFont val="Calibri"/>
        <family val="2"/>
        <scheme val="minor"/>
      </rPr>
      <t xml:space="preserve"> STANDARD</t>
    </r>
    <r>
      <rPr>
        <sz val="11"/>
        <color theme="1" tint="0.249977111117893"/>
        <rFont val="Calibri"/>
        <family val="2"/>
        <scheme val="minor"/>
      </rPr>
      <t xml:space="preserve"> </t>
    </r>
    <r>
      <rPr>
        <sz val="8"/>
        <color theme="1" tint="0.249977111117893"/>
        <rFont val="Calibri"/>
        <family val="2"/>
        <scheme val="minor"/>
      </rPr>
      <t>(Prem Controls)</t>
    </r>
  </si>
  <si>
    <r>
      <t xml:space="preserve">RA3.0 </t>
    </r>
    <r>
      <rPr>
        <b/>
        <sz val="10"/>
        <color theme="1" tint="0.249977111117893"/>
        <rFont val="Calibri"/>
        <family val="2"/>
        <scheme val="minor"/>
      </rPr>
      <t>STANDARD</t>
    </r>
    <r>
      <rPr>
        <b/>
        <sz val="8"/>
        <color theme="1" tint="0.249977111117893"/>
        <rFont val="Calibri"/>
        <family val="2"/>
        <scheme val="minor"/>
      </rPr>
      <t xml:space="preserve"> (Prem Controls)</t>
    </r>
  </si>
  <si>
    <r>
      <t xml:space="preserve">RA3.5 STANDARD </t>
    </r>
    <r>
      <rPr>
        <b/>
        <sz val="8"/>
        <color rgb="FFFF0000"/>
        <rFont val="Calibri"/>
        <family val="2"/>
        <scheme val="minor"/>
      </rPr>
      <t>(Prem Controls)</t>
    </r>
  </si>
  <si>
    <r>
      <t xml:space="preserve">RA4.0 STANDARD </t>
    </r>
    <r>
      <rPr>
        <b/>
        <sz val="8"/>
        <color rgb="FFFF0000"/>
        <rFont val="Calibri"/>
        <family val="2"/>
        <scheme val="minor"/>
      </rPr>
      <t>(Prem Controls)</t>
    </r>
  </si>
  <si>
    <t>RA2.5 VOID (+10%) (Prem Controls)</t>
  </si>
  <si>
    <t>COST Inc. PRICE INCREASE</t>
  </si>
  <si>
    <t>MAKE UP AIR PLENUM ONLY</t>
  </si>
  <si>
    <t>BELIMO CIRC. DAMPER (SPIGOT)</t>
  </si>
  <si>
    <t>HFA CIRC. DAMPER (DUCTWORK)</t>
  </si>
  <si>
    <t>1 TANK</t>
  </si>
  <si>
    <t>2 TANK</t>
  </si>
  <si>
    <t>3 TANK</t>
  </si>
  <si>
    <t>4 TANK</t>
  </si>
  <si>
    <t>5 TANK</t>
  </si>
  <si>
    <t>6 TANK</t>
  </si>
  <si>
    <t>TANK INSTALL</t>
  </si>
  <si>
    <t>GOT Panel Comp for UV-c (24 Sections Max)</t>
  </si>
  <si>
    <t>RCL-342 GOT-112 WALL BOX</t>
  </si>
  <si>
    <t>Remote Mounting box if Required</t>
  </si>
  <si>
    <t>Tab</t>
  </si>
  <si>
    <t>Cost</t>
  </si>
  <si>
    <t>Canopy</t>
  </si>
  <si>
    <t>Fire Suppression</t>
  </si>
  <si>
    <t>MRV COMMISSIONING</t>
  </si>
  <si>
    <t>2No Genies Req'd for Void Mounted units</t>
  </si>
  <si>
    <t>2No Pairs Req'd for Void Mounted units</t>
  </si>
  <si>
    <t>MRV SITE WIRING (Pre Commission)</t>
  </si>
  <si>
    <r>
      <t xml:space="preserve">2 Pieces = 1 Day, 4 Pieces = 1.5 Days, </t>
    </r>
    <r>
      <rPr>
        <b/>
        <sz val="12"/>
        <color theme="1" tint="0.249977111117893"/>
        <rFont val="Calibri"/>
        <family val="2"/>
        <scheme val="minor"/>
      </rPr>
      <t>6 Pieces = 2 Days</t>
    </r>
    <r>
      <rPr>
        <b/>
        <sz val="11"/>
        <color theme="1" tint="0.249977111117893"/>
        <rFont val="Calibri"/>
        <family val="2"/>
        <scheme val="minor"/>
      </rPr>
      <t xml:space="preserve">,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</si>
  <si>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Install of 6no Pieces of Canopy Max</t>
  </si>
  <si>
    <t>MINIMUM 1 DAY - When no other light source apart from Halton</t>
  </si>
  <si>
    <t>LUX LEVEL TEST/REPORT</t>
  </si>
  <si>
    <r>
      <t xml:space="preserve">CJ </t>
    </r>
    <r>
      <rPr>
        <b/>
        <sz val="10"/>
        <color theme="0"/>
        <rFont val="Arial"/>
        <family val="2"/>
      </rPr>
      <t>(CJF-008)</t>
    </r>
  </si>
  <si>
    <t>COALESCER</t>
  </si>
  <si>
    <t>EACH</t>
  </si>
  <si>
    <t>RECO CANOPIES MUST HAVE COALESCERS</t>
  </si>
  <si>
    <t>always include</t>
  </si>
  <si>
    <t>AEROLYS AEU-</t>
  </si>
  <si>
    <t>m³/s</t>
  </si>
  <si>
    <t>POLLUSTOP PEU-</t>
  </si>
  <si>
    <t>Vent Clg</t>
  </si>
  <si>
    <t>Edge</t>
  </si>
  <si>
    <t>Aerolys</t>
  </si>
  <si>
    <t>Pollustop</t>
  </si>
  <si>
    <t>Reco</t>
  </si>
  <si>
    <t>Reactaway</t>
  </si>
  <si>
    <t>FACTORY 25hrs x £35.00</t>
  </si>
  <si>
    <t>JEM's ADHOC DAY RATE</t>
  </si>
  <si>
    <t>POLLU-LITE 01</t>
  </si>
  <si>
    <t>POLLU-LITE 02</t>
  </si>
  <si>
    <t>POLLU-LITE 03</t>
  </si>
  <si>
    <t>POLLU-LITE 04</t>
  </si>
  <si>
    <t>HORIZONTAL  2.7M3/S</t>
  </si>
  <si>
    <t>HORIZONTAL  3.6M3/S</t>
  </si>
  <si>
    <t xml:space="preserve">P-L 01 VOID </t>
  </si>
  <si>
    <t>P-L 02 VOID</t>
  </si>
  <si>
    <t xml:space="preserve">P-L 03 VOID </t>
  </si>
  <si>
    <t>P-L 04 VOID</t>
  </si>
  <si>
    <t>6% Jan-25</t>
  </si>
  <si>
    <t>on application</t>
  </si>
  <si>
    <t>6% added to GREY column for 2025 shown in RED</t>
  </si>
  <si>
    <t>M&amp;E SERVICES/Pre Commission from Service</t>
  </si>
  <si>
    <t>On Request for Schneider ONLY</t>
  </si>
  <si>
    <t>Shunt is included in the ABB costs that we curerently use as advised by S.Steers</t>
  </si>
  <si>
    <t>On Request for Schneider ONLY - Shunt is included in the ABB costs that we curerently use as advised by S.Steers</t>
  </si>
  <si>
    <t>PS01 1560mm</t>
  </si>
  <si>
    <t>PS05 2060mm</t>
  </si>
  <si>
    <t>PS06 2060mm</t>
  </si>
  <si>
    <t>PS07 2060mm</t>
  </si>
  <si>
    <t>ONE Engineer, 2 days per Pollustop</t>
  </si>
  <si>
    <t>ONE Engineer, 2 days per Aerolys</t>
  </si>
  <si>
    <t xml:space="preserve">PS-160 EXTERNAL AERIAL </t>
  </si>
  <si>
    <t>CONNECTIVITY PS-153/152/154/155</t>
  </si>
  <si>
    <r>
      <t>CONNECTIVITY  (</t>
    </r>
    <r>
      <rPr>
        <b/>
        <sz val="11"/>
        <color rgb="FF7030A0"/>
        <rFont val="Calibri"/>
        <family val="2"/>
        <scheme val="minor"/>
      </rPr>
      <t>UV-GOT</t>
    </r>
    <r>
      <rPr>
        <b/>
        <sz val="11"/>
        <rFont val="Calibri"/>
        <family val="2"/>
        <scheme val="minor"/>
      </rPr>
      <t>)</t>
    </r>
  </si>
  <si>
    <r>
      <t>PS-156 EDGE BOX REMOTE ROUTER (</t>
    </r>
    <r>
      <rPr>
        <b/>
        <sz val="11"/>
        <color rgb="FF7030A0"/>
        <rFont val="Calibri"/>
        <family val="2"/>
        <scheme val="minor"/>
      </rPr>
      <t>UV-GOT</t>
    </r>
    <r>
      <rPr>
        <b/>
        <sz val="11"/>
        <rFont val="Calibri"/>
        <family val="2"/>
        <scheme val="minor"/>
      </rPr>
      <t xml:space="preserve">)  </t>
    </r>
  </si>
  <si>
    <t>First Year Connectivity Fee from Group</t>
  </si>
  <si>
    <t>EDGE UP2 Plus First Year Connectivity Fee from Group</t>
  </si>
  <si>
    <t>ONE DAY UNLESS FLATPACKED THEN ALLOW 1.5 DAYS</t>
  </si>
  <si>
    <t>ONE Engineer,  1 day per 4no UV or W/W Sections of Canopy</t>
  </si>
  <si>
    <t>1 Day per 20no Extract Tiles</t>
  </si>
  <si>
    <t>EXTERNAL ROUTER</t>
  </si>
  <si>
    <r>
      <t>RCL-329 LPC-3 GOT.112 (</t>
    </r>
    <r>
      <rPr>
        <b/>
        <sz val="11"/>
        <color theme="7" tint="-0.249977111117893"/>
        <rFont val="Calibri"/>
        <family val="2"/>
        <scheme val="minor"/>
      </rPr>
      <t>CANOPY CONTROL</t>
    </r>
    <r>
      <rPr>
        <b/>
        <sz val="11"/>
        <color rgb="FFFF0000"/>
        <rFont val="Calibri"/>
        <family val="2"/>
        <scheme val="minor"/>
      </rPr>
      <t>)</t>
    </r>
  </si>
  <si>
    <t xml:space="preserve">Add if Alarms requested for a GOT panel </t>
  </si>
  <si>
    <t>F24 - 19.1  CANOPY COST SHEET</t>
  </si>
  <si>
    <t>MAY25-19</t>
  </si>
  <si>
    <t xml:space="preserve">F24-19.1   SERVICE DISTRIBUTION UNIT COST </t>
  </si>
  <si>
    <t>F24-19.1    VENTILATED CEILING COST CEILING</t>
  </si>
  <si>
    <t>F-24 19.1  M.A.R.V.E.L. COST SHEET</t>
  </si>
  <si>
    <t xml:space="preserve">F24-19.1    EDGE BOX COST SHEET </t>
  </si>
  <si>
    <t>F24-19.1  AEROLYS COST SHEET</t>
  </si>
  <si>
    <t>F24-19.1 POLLUSTOP COST SHEET</t>
  </si>
  <si>
    <t xml:space="preserve">F24-19.1   POLLU-LITE COST SHEET </t>
  </si>
  <si>
    <t xml:space="preserve">F24-19.1   RECOAIR COST SHEET </t>
  </si>
  <si>
    <t xml:space="preserve">F24-19.1   REACTAWAY COST SHEET </t>
  </si>
  <si>
    <t>F24-19.1   AHU TESTING COST SHEET</t>
  </si>
  <si>
    <t>F24 - 19.1  CONTRACTING COST SHEET</t>
  </si>
  <si>
    <t>Width (mm)</t>
  </si>
  <si>
    <t>Height (mm)</t>
  </si>
  <si>
    <t>Position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</si>
</sst>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quot;£&quot;#,##0;[Red]\-&quot;£&quot;#,##0"/>
    <numFmt numFmtId="165" formatCode="&quot;£&quot;#,##0.00;[Red]\-&quot;£&quot;#,##0.00"/>
    <numFmt numFmtId="166" formatCode="_-&quot;£&quot;* #,##0.00_-;\-&quot;£&quot;* #,##0.00_-;_-&quot;£&quot;* &quot;-&quot;??_-;_-@_-"/>
    <numFmt numFmtId="167" formatCode="&quot;£&quot;#,##0.00"/>
    <numFmt numFmtId="168" formatCode="0.0%"/>
    <numFmt numFmtId="169" formatCode="&quot;£&quot;#,##0"/>
    <numFmt numFmtId="170" formatCode="[$-F800]dddd\,\ mmmm\ dd\,\ yyyy"/>
    <numFmt numFmtId="171" formatCode="_-&quot;£&quot;* #,##0.00_-;\-&quot;£&quot;* #,##0.00_-;_-&quot;£&quot;* &quot;-&quot;????_-;_-@_-"/>
    <numFmt numFmtId="172" formatCode="_-&quot;£&quot;* #,##0_-;\-&quot;£&quot;* #,##0_-;_-&quot;£&quot;* &quot;-&quot;??_-;_-@_-"/>
    <numFmt numFmtId="173" formatCode="_-[$£-809]* #,##0.00_-;\-[$£-809]* #,##0.00_-;_-[$£-809]* &quot;-&quot;??_-;_-@_-"/>
    <numFmt numFmtId="174" formatCode="0.0"/>
    <numFmt numFmtId="175" formatCode="#,##0.00_ ;\-#,##0.00\ "/>
    <numFmt numFmtId="176" formatCode="#,##0_ ;\-#,##0\ "/>
  </numFmts>
  <fonts count="1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9"/>
      <color indexed="81"/>
      <name val="Tahoma"/>
      <family val="2"/>
    </font>
    <font>
      <sz val="11"/>
      <color theme="1" tint="0.249977111117893"/>
      <name val="Calibri"/>
      <family val="2"/>
      <scheme val="minor"/>
    </font>
    <font>
      <b/>
      <u/>
      <sz val="9"/>
      <color indexed="81"/>
      <name val="Tahoma"/>
      <family val="2"/>
    </font>
    <font>
      <b/>
      <u/>
      <sz val="8"/>
      <color indexed="81"/>
      <name val="Tahoma"/>
      <family val="2"/>
    </font>
    <font>
      <sz val="8"/>
      <color indexed="81"/>
      <name val="Tahoma"/>
      <family val="2"/>
    </font>
    <font>
      <b/>
      <sz val="8"/>
      <color indexed="81"/>
      <name val="Tahoma"/>
      <family val="2"/>
    </font>
    <font>
      <u/>
      <sz val="8"/>
      <color indexed="81"/>
      <name val="Tahoma"/>
      <family val="2"/>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i/>
      <sz val="11"/>
      <color theme="1" tint="0.34998626667073579"/>
      <name val="Calibri"/>
      <family val="2"/>
      <scheme val="minor"/>
    </font>
    <font>
      <b/>
      <sz val="14"/>
      <color theme="8" tint="-0.499984740745262"/>
      <name val="Calibri"/>
      <family val="2"/>
      <scheme val="minor"/>
    </font>
    <font>
      <b/>
      <i/>
      <sz val="11"/>
      <color theme="1" tint="0.249977111117893"/>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sz val="11"/>
      <color rgb="FFFF0000"/>
      <name val="Calibri"/>
      <family val="2"/>
      <scheme val="minor"/>
    </font>
    <font>
      <b/>
      <sz val="14"/>
      <name val="Calibri"/>
      <family val="2"/>
      <scheme val="minor"/>
    </font>
    <font>
      <b/>
      <sz val="12"/>
      <color rgb="FFFF0000"/>
      <name val="Calibri"/>
      <family val="2"/>
      <scheme val="minor"/>
    </font>
    <font>
      <b/>
      <sz val="11"/>
      <color theme="1"/>
      <name val="Calibri"/>
      <family val="2"/>
      <scheme val="minor"/>
    </font>
    <font>
      <b/>
      <sz val="11"/>
      <color rgb="FF007A37"/>
      <name val="Calibri"/>
      <family val="2"/>
      <scheme val="minor"/>
    </font>
    <font>
      <b/>
      <sz val="11"/>
      <color rgb="FFC40000"/>
      <name val="Calibri"/>
      <family val="2"/>
      <scheme val="minor"/>
    </font>
    <font>
      <b/>
      <sz val="11"/>
      <color rgb="FF8439BD"/>
      <name val="Calibri"/>
      <family val="2"/>
      <scheme val="minor"/>
    </font>
    <font>
      <sz val="10"/>
      <color rgb="FFFF0000"/>
      <name val="Arial"/>
      <family val="2"/>
    </font>
    <font>
      <b/>
      <sz val="9"/>
      <color indexed="81"/>
      <name val="Tahoma"/>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i/>
      <sz val="11"/>
      <color rgb="FFFF0000"/>
      <name val="Calibri"/>
      <family val="2"/>
      <scheme val="minor"/>
    </font>
    <font>
      <b/>
      <i/>
      <sz val="11"/>
      <color rgb="FFFF0000"/>
      <name val="Calibri"/>
      <family val="2"/>
      <scheme val="minor"/>
    </font>
    <font>
      <sz val="11"/>
      <color theme="0" tint="-0.499984740745262"/>
      <name val="Calibri"/>
      <family val="2"/>
      <scheme val="minor"/>
    </font>
    <font>
      <b/>
      <sz val="12"/>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sz val="10"/>
      <color theme="1" tint="0.249977111117893"/>
      <name val="Calibri"/>
      <family val="2"/>
      <scheme val="minor"/>
    </font>
    <font>
      <b/>
      <sz val="10"/>
      <color theme="8" tint="0.79998168889431442"/>
      <name val="Calibri"/>
      <family val="2"/>
      <scheme val="minor"/>
    </font>
    <font>
      <b/>
      <sz val="10"/>
      <color rgb="FF92D050"/>
      <name val="Arial"/>
      <family val="2"/>
    </font>
    <font>
      <sz val="8"/>
      <name val="Arial"/>
      <family val="2"/>
    </font>
    <font>
      <b/>
      <sz val="10"/>
      <color theme="6"/>
      <name val="Arial"/>
      <family val="2"/>
    </font>
    <font>
      <b/>
      <sz val="11"/>
      <color rgb="FF7030A0"/>
      <name val="Calibri"/>
      <family val="2"/>
      <scheme val="minor"/>
    </font>
    <font>
      <sz val="10"/>
      <color theme="1" tint="0.14999847407452621"/>
      <name val="Calibri"/>
      <family val="2"/>
      <scheme val="minor"/>
    </font>
    <font>
      <sz val="10"/>
      <name val="Calibri"/>
      <family val="2"/>
      <scheme val="minor"/>
    </font>
    <font>
      <sz val="8"/>
      <color theme="1" tint="0.249977111117893"/>
      <name val="Calibri"/>
      <family val="2"/>
      <scheme val="minor"/>
    </font>
    <font>
      <b/>
      <sz val="10"/>
      <color theme="1" tint="0.249977111117893"/>
      <name val="Calibri"/>
      <family val="2"/>
      <scheme val="minor"/>
    </font>
    <font>
      <b/>
      <sz val="8"/>
      <color theme="1" tint="0.249977111117893"/>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
      <b/>
      <sz val="11"/>
      <color theme="7" tint="-0.249977111117893"/>
      <name val="Calibri"/>
      <family val="2"/>
      <scheme val="minor"/>
    </font>
  </fonts>
  <fills count="31">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DAEEF3"/>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auto="1"/>
      </patternFill>
    </fill>
    <fill>
      <patternFill patternType="solid">
        <fgColor theme="8" tint="0.59999389629810485"/>
        <bgColor theme="0"/>
      </patternFill>
    </fill>
    <fill>
      <patternFill patternType="solid">
        <fgColor theme="8" tint="0.59996337778862885"/>
        <bgColor theme="8" tint="0.39994506668294322"/>
      </patternFill>
    </fill>
    <fill>
      <patternFill patternType="solid">
        <fgColor theme="3" tint="0.39997558519241921"/>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00CC00"/>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auto="1"/>
      </top>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thin">
        <color indexed="64"/>
      </left>
      <right style="thin">
        <color indexed="64"/>
      </right>
      <top style="medium">
        <color indexed="64"/>
      </top>
      <bottom style="medium">
        <color indexed="64"/>
      </bottom>
      <diagonal/>
    </border>
  </borders>
  <cellStyleXfs count="6">
    <xf numFmtId="0" fontId="0" fillId="0" borderId="0"/>
    <xf numFmtId="166" fontId="4" fillId="0" borderId="0" applyFont="0" applyFill="0" applyBorder="0" applyAlignment="0" applyProtection="0"/>
    <xf numFmtId="9" fontId="4" fillId="0" borderId="0" applyFont="0" applyFill="0" applyBorder="0" applyAlignment="0" applyProtection="0"/>
    <xf numFmtId="0" fontId="5" fillId="0" borderId="0"/>
    <xf numFmtId="166" fontId="5" fillId="0" borderId="0" applyFont="0" applyFill="0" applyBorder="0" applyAlignment="0" applyProtection="0"/>
    <xf numFmtId="9" fontId="5" fillId="0" borderId="0" applyFont="0" applyFill="0" applyBorder="0" applyAlignment="0" applyProtection="0"/>
  </cellStyleXfs>
  <cellXfs count="1198">
    <xf numFmtId="0" fontId="0" fillId="0" borderId="0" xfId="0"/>
    <xf numFmtId="166" fontId="8" fillId="5" borderId="0" xfId="0" applyNumberFormat="1" applyFont="1" applyFill="1" applyAlignment="1">
      <alignment horizontal="center" vertical="center" wrapText="1"/>
    </xf>
    <xf numFmtId="0" fontId="8" fillId="5" borderId="0" xfId="0" applyFont="1" applyFill="1" applyAlignment="1">
      <alignment horizontal="center" vertical="center" wrapText="1"/>
    </xf>
    <xf numFmtId="2" fontId="8" fillId="5" borderId="0" xfId="0" applyNumberFormat="1" applyFont="1" applyFill="1" applyAlignment="1">
      <alignment horizontal="center" vertical="center" wrapText="1"/>
    </xf>
    <xf numFmtId="169" fontId="8" fillId="5" borderId="0" xfId="0" applyNumberFormat="1" applyFont="1" applyFill="1" applyAlignment="1">
      <alignment horizontal="center" vertical="center" wrapText="1"/>
    </xf>
    <xf numFmtId="166" fontId="8" fillId="5" borderId="0" xfId="0" applyNumberFormat="1" applyFont="1" applyFill="1" applyAlignment="1">
      <alignment horizontal="center" vertical="center"/>
    </xf>
    <xf numFmtId="1" fontId="8" fillId="5" borderId="0" xfId="0" applyNumberFormat="1" applyFont="1" applyFill="1" applyAlignment="1">
      <alignment horizontal="center" vertical="center" wrapText="1"/>
    </xf>
    <xf numFmtId="0" fontId="10" fillId="5" borderId="0" xfId="0" applyFont="1" applyFill="1" applyAlignment="1">
      <alignment vertical="center" wrapText="1"/>
    </xf>
    <xf numFmtId="0" fontId="8" fillId="0" borderId="0" xfId="0" applyFont="1" applyAlignment="1">
      <alignment horizontal="center" vertical="center" wrapText="1"/>
    </xf>
    <xf numFmtId="1" fontId="8" fillId="0" borderId="0" xfId="0" applyNumberFormat="1" applyFont="1" applyAlignment="1">
      <alignment horizontal="center" vertical="center" wrapText="1"/>
    </xf>
    <xf numFmtId="0" fontId="10" fillId="5" borderId="0" xfId="0" applyFont="1" applyFill="1" applyAlignment="1">
      <alignment horizontal="center" vertical="center" wrapText="1"/>
    </xf>
    <xf numFmtId="166" fontId="8" fillId="0" borderId="0" xfId="0" applyNumberFormat="1" applyFont="1" applyAlignment="1">
      <alignment horizontal="center" vertical="center" wrapText="1"/>
    </xf>
    <xf numFmtId="2" fontId="8" fillId="0" borderId="0" xfId="0" applyNumberFormat="1" applyFont="1" applyAlignment="1">
      <alignment horizontal="center" vertical="center" wrapText="1"/>
    </xf>
    <xf numFmtId="169" fontId="8" fillId="0" borderId="0" xfId="0" applyNumberFormat="1" applyFont="1" applyAlignment="1">
      <alignment horizontal="center" vertical="center" wrapText="1"/>
    </xf>
    <xf numFmtId="166" fontId="8" fillId="0" borderId="0" xfId="0" applyNumberFormat="1" applyFont="1" applyAlignment="1">
      <alignment horizontal="center" vertical="center"/>
    </xf>
    <xf numFmtId="9" fontId="9" fillId="6" borderId="0" xfId="0" applyNumberFormat="1" applyFont="1" applyFill="1" applyAlignment="1">
      <alignment horizontal="center" vertical="center"/>
    </xf>
    <xf numFmtId="0" fontId="8" fillId="2" borderId="0" xfId="0" applyFont="1" applyFill="1" applyAlignment="1">
      <alignment vertical="top" wrapText="1"/>
    </xf>
    <xf numFmtId="0" fontId="8" fillId="2" borderId="0" xfId="0" applyFont="1" applyFill="1" applyAlignment="1">
      <alignment horizontal="center" vertical="top" wrapText="1"/>
    </xf>
    <xf numFmtId="0" fontId="16" fillId="2" borderId="0" xfId="0" applyFont="1" applyFill="1"/>
    <xf numFmtId="2" fontId="8" fillId="2" borderId="0" xfId="0" applyNumberFormat="1" applyFont="1" applyFill="1" applyAlignment="1">
      <alignment horizontal="center" vertical="top" wrapText="1"/>
    </xf>
    <xf numFmtId="169" fontId="8" fillId="2" borderId="0" xfId="0" applyNumberFormat="1" applyFont="1" applyFill="1" applyAlignment="1">
      <alignment horizontal="center" vertical="top" wrapText="1"/>
    </xf>
    <xf numFmtId="169" fontId="8" fillId="2" borderId="0" xfId="0" applyNumberFormat="1" applyFont="1" applyFill="1" applyAlignment="1">
      <alignment horizontal="center"/>
    </xf>
    <xf numFmtId="0" fontId="8" fillId="6" borderId="0" xfId="0" applyFont="1" applyFill="1" applyAlignment="1">
      <alignment horizontal="center" vertical="top" wrapText="1"/>
    </xf>
    <xf numFmtId="0" fontId="16" fillId="6" borderId="0" xfId="0" applyFont="1" applyFill="1"/>
    <xf numFmtId="0" fontId="9" fillId="6" borderId="0" xfId="0" applyFont="1" applyFill="1" applyAlignment="1">
      <alignment vertical="top" wrapText="1"/>
    </xf>
    <xf numFmtId="166" fontId="9" fillId="6" borderId="0" xfId="0" applyNumberFormat="1" applyFont="1" applyFill="1" applyAlignment="1">
      <alignment horizontal="center" vertical="center"/>
    </xf>
    <xf numFmtId="0" fontId="22" fillId="3" borderId="0" xfId="0" applyFont="1" applyFill="1" applyAlignment="1">
      <alignment vertical="center"/>
    </xf>
    <xf numFmtId="1" fontId="10" fillId="5" borderId="0" xfId="0" applyNumberFormat="1" applyFont="1" applyFill="1" applyAlignment="1">
      <alignment horizontal="center" vertical="center" wrapText="1"/>
    </xf>
    <xf numFmtId="0" fontId="16" fillId="3" borderId="0" xfId="0" applyFont="1" applyFill="1" applyAlignment="1">
      <alignment vertical="center" wrapText="1"/>
    </xf>
    <xf numFmtId="1" fontId="16" fillId="3" borderId="0" xfId="0" applyNumberFormat="1" applyFont="1" applyFill="1" applyAlignment="1">
      <alignment horizontal="center" vertical="center"/>
    </xf>
    <xf numFmtId="0" fontId="8" fillId="3" borderId="0" xfId="0" applyFont="1" applyFill="1" applyAlignment="1">
      <alignment vertical="center" wrapText="1"/>
    </xf>
    <xf numFmtId="1" fontId="8" fillId="3" borderId="0" xfId="0" applyNumberFormat="1" applyFont="1" applyFill="1" applyAlignment="1">
      <alignment horizontal="center" vertical="center" wrapText="1"/>
    </xf>
    <xf numFmtId="0" fontId="16" fillId="3" borderId="0" xfId="0" applyFont="1" applyFill="1" applyAlignment="1">
      <alignment vertical="center"/>
    </xf>
    <xf numFmtId="1" fontId="14" fillId="4" borderId="1" xfId="0" applyNumberFormat="1" applyFont="1" applyFill="1" applyBorder="1" applyAlignment="1">
      <alignment horizontal="center" vertical="center" wrapText="1"/>
    </xf>
    <xf numFmtId="1" fontId="9" fillId="0" borderId="0" xfId="0" applyNumberFormat="1" applyFont="1" applyAlignment="1">
      <alignment horizontal="center" vertical="center" wrapText="1"/>
    </xf>
    <xf numFmtId="0" fontId="12" fillId="5" borderId="0" xfId="0" applyFont="1" applyFill="1" applyAlignment="1">
      <alignment vertical="center" wrapText="1"/>
    </xf>
    <xf numFmtId="168" fontId="23" fillId="2" borderId="0" xfId="0" applyNumberFormat="1" applyFont="1" applyFill="1" applyAlignment="1">
      <alignment horizontal="center" vertical="center"/>
    </xf>
    <xf numFmtId="1" fontId="8" fillId="5" borderId="0" xfId="0" applyNumberFormat="1" applyFont="1" applyFill="1" applyAlignment="1">
      <alignment horizontal="center" vertical="center"/>
    </xf>
    <xf numFmtId="0" fontId="9" fillId="6" borderId="0" xfId="0" applyFont="1" applyFill="1" applyAlignment="1">
      <alignment horizontal="center" vertical="center"/>
    </xf>
    <xf numFmtId="9" fontId="9" fillId="6" borderId="0" xfId="2" applyFont="1" applyFill="1" applyAlignment="1">
      <alignment horizontal="center" vertical="center" wrapText="1"/>
    </xf>
    <xf numFmtId="0" fontId="11" fillId="2" borderId="0" xfId="0" applyFont="1" applyFill="1" applyAlignment="1">
      <alignment vertical="center"/>
    </xf>
    <xf numFmtId="0" fontId="10" fillId="2" borderId="0" xfId="0" applyFont="1" applyFill="1" applyAlignment="1">
      <alignment vertical="center"/>
    </xf>
    <xf numFmtId="167" fontId="10" fillId="2" borderId="0" xfId="0" applyNumberFormat="1" applyFont="1" applyFill="1" applyAlignment="1">
      <alignment vertical="center"/>
    </xf>
    <xf numFmtId="169" fontId="11" fillId="2" borderId="0" xfId="0" applyNumberFormat="1" applyFont="1" applyFill="1" applyAlignment="1">
      <alignment vertical="center"/>
    </xf>
    <xf numFmtId="168" fontId="11" fillId="2" borderId="0" xfId="0" applyNumberFormat="1" applyFont="1" applyFill="1" applyAlignment="1">
      <alignment vertical="center"/>
    </xf>
    <xf numFmtId="169" fontId="10" fillId="2" borderId="0" xfId="0" applyNumberFormat="1" applyFont="1" applyFill="1" applyAlignment="1">
      <alignment horizontal="center" vertical="center"/>
    </xf>
    <xf numFmtId="166" fontId="11" fillId="2" borderId="0" xfId="0" applyNumberFormat="1" applyFont="1" applyFill="1" applyAlignment="1">
      <alignment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vertical="center"/>
    </xf>
    <xf numFmtId="0" fontId="29" fillId="2" borderId="0" xfId="0" applyFont="1" applyFill="1" applyAlignment="1">
      <alignment vertical="center"/>
    </xf>
    <xf numFmtId="0" fontId="10" fillId="2" borderId="0" xfId="0" applyFont="1" applyFill="1" applyAlignment="1">
      <alignment vertical="center" wrapText="1"/>
    </xf>
    <xf numFmtId="0" fontId="11" fillId="2" borderId="0" xfId="0" applyFont="1" applyFill="1" applyAlignment="1">
      <alignment horizontal="center" vertical="center"/>
    </xf>
    <xf numFmtId="164" fontId="11" fillId="2" borderId="0" xfId="0" applyNumberFormat="1" applyFont="1" applyFill="1" applyAlignment="1">
      <alignment vertical="center"/>
    </xf>
    <xf numFmtId="166" fontId="11" fillId="2" borderId="0" xfId="1" applyFont="1" applyFill="1" applyAlignment="1">
      <alignment vertical="center"/>
    </xf>
    <xf numFmtId="0" fontId="12" fillId="5" borderId="0" xfId="0" applyFont="1" applyFill="1" applyAlignment="1">
      <alignment horizontal="center" vertical="center" wrapText="1"/>
    </xf>
    <xf numFmtId="0" fontId="11" fillId="2" borderId="0" xfId="3" applyFont="1" applyFill="1" applyAlignment="1">
      <alignment vertical="center"/>
    </xf>
    <xf numFmtId="0" fontId="11" fillId="2" borderId="0" xfId="3" applyFont="1" applyFill="1" applyAlignment="1">
      <alignment horizontal="center" vertical="center"/>
    </xf>
    <xf numFmtId="0" fontId="9" fillId="6" borderId="0" xfId="3" applyFont="1" applyFill="1" applyAlignment="1">
      <alignment horizontal="left" vertical="center" wrapText="1"/>
    </xf>
    <xf numFmtId="0" fontId="8" fillId="6" borderId="0" xfId="3" applyFont="1" applyFill="1" applyAlignment="1">
      <alignment horizontal="center" vertical="center" wrapText="1"/>
    </xf>
    <xf numFmtId="0" fontId="16" fillId="6" borderId="0" xfId="3" applyFont="1" applyFill="1" applyAlignment="1">
      <alignment horizontal="center" vertical="center"/>
    </xf>
    <xf numFmtId="0" fontId="27" fillId="6" borderId="0" xfId="3" applyFont="1" applyFill="1" applyAlignment="1">
      <alignment horizontal="center" vertical="center"/>
    </xf>
    <xf numFmtId="166" fontId="9" fillId="6" borderId="0" xfId="3" applyNumberFormat="1" applyFont="1" applyFill="1" applyAlignment="1">
      <alignment horizontal="center" vertical="center" wrapText="1"/>
    </xf>
    <xf numFmtId="167" fontId="28" fillId="2" borderId="0" xfId="3" applyNumberFormat="1" applyFont="1" applyFill="1" applyAlignment="1">
      <alignment vertical="center"/>
    </xf>
    <xf numFmtId="167" fontId="11" fillId="2" borderId="0" xfId="3" applyNumberFormat="1" applyFont="1" applyFill="1" applyAlignment="1">
      <alignment vertical="center"/>
    </xf>
    <xf numFmtId="0" fontId="12" fillId="2" borderId="0" xfId="3" applyFont="1" applyFill="1" applyAlignment="1">
      <alignment horizontal="center" vertical="center" wrapText="1"/>
    </xf>
    <xf numFmtId="9" fontId="12" fillId="2" borderId="0" xfId="0" applyNumberFormat="1" applyFont="1" applyFill="1" applyAlignment="1">
      <alignment horizontal="center" vertical="center" wrapText="1"/>
    </xf>
    <xf numFmtId="166" fontId="28" fillId="2" borderId="0" xfId="0" applyNumberFormat="1" applyFont="1" applyFill="1" applyAlignment="1">
      <alignment vertical="center"/>
    </xf>
    <xf numFmtId="0" fontId="28" fillId="2" borderId="0" xfId="3" applyFont="1" applyFill="1" applyAlignment="1">
      <alignment vertical="center" wrapText="1"/>
    </xf>
    <xf numFmtId="0" fontId="11" fillId="2" borderId="0" xfId="3" applyFont="1" applyFill="1" applyAlignment="1">
      <alignment vertical="center" wrapText="1"/>
    </xf>
    <xf numFmtId="0" fontId="11" fillId="2" borderId="0" xfId="3" applyFont="1" applyFill="1" applyAlignment="1">
      <alignment horizontal="center" vertical="center" wrapText="1"/>
    </xf>
    <xf numFmtId="167" fontId="11" fillId="2" borderId="0" xfId="3" applyNumberFormat="1" applyFont="1" applyFill="1" applyAlignment="1">
      <alignment vertical="center" wrapText="1"/>
    </xf>
    <xf numFmtId="9" fontId="11" fillId="2" borderId="0" xfId="3" applyNumberFormat="1" applyFont="1" applyFill="1" applyAlignment="1">
      <alignment vertical="center" wrapText="1"/>
    </xf>
    <xf numFmtId="0" fontId="8" fillId="5" borderId="0" xfId="3" applyFont="1" applyFill="1" applyAlignment="1">
      <alignment horizontal="center" vertical="center" wrapText="1"/>
    </xf>
    <xf numFmtId="167" fontId="11" fillId="3" borderId="0" xfId="3" applyNumberFormat="1" applyFont="1" applyFill="1" applyAlignment="1">
      <alignment vertical="center"/>
    </xf>
    <xf numFmtId="169" fontId="11" fillId="2" borderId="0" xfId="3" applyNumberFormat="1" applyFont="1" applyFill="1" applyAlignment="1">
      <alignment vertical="center"/>
    </xf>
    <xf numFmtId="169" fontId="10" fillId="2" borderId="0" xfId="3" applyNumberFormat="1" applyFont="1" applyFill="1" applyAlignment="1">
      <alignment vertical="center"/>
    </xf>
    <xf numFmtId="166" fontId="12" fillId="0" borderId="0" xfId="0" applyNumberFormat="1" applyFont="1" applyAlignment="1">
      <alignment vertical="center"/>
    </xf>
    <xf numFmtId="166" fontId="28" fillId="0" borderId="0" xfId="0" applyNumberFormat="1" applyFont="1" applyAlignment="1">
      <alignment vertical="center"/>
    </xf>
    <xf numFmtId="0" fontId="12" fillId="0" borderId="0" xfId="0" applyFont="1" applyAlignment="1">
      <alignment vertical="center" wrapText="1"/>
    </xf>
    <xf numFmtId="0" fontId="28" fillId="0" borderId="0" xfId="0" applyFont="1" applyAlignment="1">
      <alignment vertical="center"/>
    </xf>
    <xf numFmtId="0" fontId="8" fillId="0" borderId="0" xfId="0" applyFont="1" applyAlignment="1">
      <alignment vertical="center"/>
    </xf>
    <xf numFmtId="0" fontId="12" fillId="3" borderId="0" xfId="3" applyFont="1" applyFill="1" applyAlignment="1">
      <alignment vertical="center" wrapText="1"/>
    </xf>
    <xf numFmtId="0" fontId="28" fillId="3" borderId="0" xfId="3" applyFont="1" applyFill="1" applyAlignment="1">
      <alignment vertical="center"/>
    </xf>
    <xf numFmtId="167" fontId="28" fillId="3" borderId="0" xfId="3" applyNumberFormat="1" applyFont="1" applyFill="1" applyAlignment="1">
      <alignment vertical="center"/>
    </xf>
    <xf numFmtId="0" fontId="12" fillId="4" borderId="1" xfId="3" applyFont="1" applyFill="1" applyBorder="1" applyAlignment="1">
      <alignment vertical="center" wrapText="1"/>
    </xf>
    <xf numFmtId="0" fontId="9" fillId="6" borderId="0" xfId="3" applyFont="1" applyFill="1" applyAlignment="1">
      <alignment vertical="center" wrapText="1"/>
    </xf>
    <xf numFmtId="0" fontId="9" fillId="6" borderId="0" xfId="3" applyFont="1" applyFill="1" applyAlignment="1">
      <alignment horizontal="center" vertical="center" wrapText="1"/>
    </xf>
    <xf numFmtId="0" fontId="23" fillId="2" borderId="1" xfId="3" applyFont="1" applyFill="1" applyBorder="1" applyAlignment="1">
      <alignment horizontal="center" vertical="center" wrapText="1"/>
    </xf>
    <xf numFmtId="0" fontId="11" fillId="3" borderId="0" xfId="3" applyFont="1" applyFill="1" applyAlignment="1">
      <alignment vertical="center"/>
    </xf>
    <xf numFmtId="0" fontId="11" fillId="3" borderId="0" xfId="3" applyFont="1" applyFill="1" applyAlignment="1">
      <alignment horizontal="center" vertical="center"/>
    </xf>
    <xf numFmtId="167" fontId="14" fillId="4" borderId="1" xfId="3" applyNumberFormat="1" applyFont="1" applyFill="1" applyBorder="1" applyAlignment="1">
      <alignment vertical="center"/>
    </xf>
    <xf numFmtId="0" fontId="25" fillId="3" borderId="0" xfId="3" applyFont="1" applyFill="1" applyAlignment="1">
      <alignment horizontal="center" vertical="center" wrapText="1"/>
    </xf>
    <xf numFmtId="0" fontId="14" fillId="3" borderId="6" xfId="3" applyFont="1" applyFill="1" applyBorder="1" applyAlignment="1">
      <alignment vertical="center" wrapText="1"/>
    </xf>
    <xf numFmtId="0" fontId="24" fillId="3" borderId="6" xfId="3" applyFont="1" applyFill="1" applyBorder="1" applyAlignment="1">
      <alignment horizontal="center" vertical="center" wrapText="1"/>
    </xf>
    <xf numFmtId="166" fontId="9" fillId="2" borderId="0" xfId="0" applyNumberFormat="1" applyFont="1" applyFill="1" applyAlignment="1">
      <alignment horizontal="center" vertical="center"/>
    </xf>
    <xf numFmtId="0" fontId="30" fillId="5" borderId="1" xfId="3" applyFont="1" applyFill="1" applyBorder="1" applyAlignment="1">
      <alignment horizontal="center" vertical="center" wrapText="1"/>
    </xf>
    <xf numFmtId="9" fontId="14" fillId="2" borderId="0" xfId="0" applyNumberFormat="1" applyFont="1" applyFill="1" applyAlignment="1">
      <alignment horizontal="center" vertical="center" wrapText="1"/>
    </xf>
    <xf numFmtId="0" fontId="16" fillId="2" borderId="0" xfId="0" applyFont="1" applyFill="1" applyAlignment="1">
      <alignment vertical="center"/>
    </xf>
    <xf numFmtId="0" fontId="8" fillId="2" borderId="0" xfId="0" applyFont="1" applyFill="1" applyAlignment="1">
      <alignment vertical="center"/>
    </xf>
    <xf numFmtId="167" fontId="8" fillId="2" borderId="0" xfId="0" applyNumberFormat="1" applyFont="1" applyFill="1" applyAlignment="1">
      <alignment vertical="center"/>
    </xf>
    <xf numFmtId="169" fontId="16" fillId="2" borderId="0" xfId="0" applyNumberFormat="1" applyFont="1" applyFill="1" applyAlignment="1">
      <alignment vertical="center"/>
    </xf>
    <xf numFmtId="168" fontId="16" fillId="2" borderId="0" xfId="0" applyNumberFormat="1" applyFont="1" applyFill="1" applyAlignment="1">
      <alignment vertical="center"/>
    </xf>
    <xf numFmtId="0" fontId="28" fillId="2" borderId="0" xfId="0" applyFont="1" applyFill="1" applyAlignment="1">
      <alignment vertical="center"/>
    </xf>
    <xf numFmtId="169" fontId="12" fillId="2" borderId="0" xfId="0" applyNumberFormat="1" applyFont="1" applyFill="1" applyAlignment="1">
      <alignment vertical="center"/>
    </xf>
    <xf numFmtId="166" fontId="8" fillId="2" borderId="0" xfId="0" applyNumberFormat="1" applyFont="1" applyFill="1" applyAlignment="1">
      <alignment vertical="center"/>
    </xf>
    <xf numFmtId="167" fontId="16" fillId="2" borderId="0" xfId="0" applyNumberFormat="1" applyFont="1" applyFill="1" applyAlignment="1">
      <alignment vertical="center"/>
    </xf>
    <xf numFmtId="0" fontId="33" fillId="2" borderId="0" xfId="0" applyFont="1" applyFill="1" applyAlignment="1">
      <alignment vertical="center"/>
    </xf>
    <xf numFmtId="0" fontId="12" fillId="2" borderId="0" xfId="0" applyFont="1" applyFill="1" applyAlignment="1">
      <alignment vertical="center" wrapText="1"/>
    </xf>
    <xf numFmtId="166" fontId="12" fillId="2" borderId="0" xfId="0" applyNumberFormat="1" applyFont="1" applyFill="1" applyAlignment="1">
      <alignment horizontal="right" vertical="center"/>
    </xf>
    <xf numFmtId="166" fontId="28" fillId="2" borderId="0" xfId="0" applyNumberFormat="1" applyFont="1" applyFill="1" applyAlignment="1">
      <alignment horizontal="right" vertical="center"/>
    </xf>
    <xf numFmtId="164" fontId="16" fillId="2" borderId="0" xfId="0" applyNumberFormat="1" applyFont="1" applyFill="1" applyAlignment="1">
      <alignment vertical="center"/>
    </xf>
    <xf numFmtId="166" fontId="16" fillId="2" borderId="0" xfId="1" applyFont="1" applyFill="1" applyAlignment="1">
      <alignment vertical="center"/>
    </xf>
    <xf numFmtId="170" fontId="16" fillId="2" borderId="0" xfId="0" applyNumberFormat="1" applyFont="1" applyFill="1" applyAlignment="1">
      <alignment vertical="center"/>
    </xf>
    <xf numFmtId="0" fontId="31" fillId="2" borderId="0" xfId="0" applyFont="1" applyFill="1" applyAlignment="1">
      <alignment vertical="top" wrapText="1"/>
    </xf>
    <xf numFmtId="0" fontId="31" fillId="2" borderId="0" xfId="0" applyFont="1" applyFill="1" applyAlignment="1">
      <alignment horizontal="center" vertical="top" wrapText="1"/>
    </xf>
    <xf numFmtId="0" fontId="32" fillId="2" borderId="0" xfId="0" applyFont="1" applyFill="1" applyAlignment="1">
      <alignment vertical="top" wrapText="1"/>
    </xf>
    <xf numFmtId="0" fontId="31" fillId="2" borderId="0" xfId="0" applyFont="1" applyFill="1"/>
    <xf numFmtId="167" fontId="31" fillId="2" borderId="0" xfId="0" applyNumberFormat="1" applyFont="1" applyFill="1"/>
    <xf numFmtId="0" fontId="32" fillId="2" borderId="0" xfId="0" applyFont="1" applyFill="1"/>
    <xf numFmtId="0" fontId="32" fillId="2" borderId="0" xfId="0" applyFont="1" applyFill="1" applyAlignment="1">
      <alignment horizontal="center"/>
    </xf>
    <xf numFmtId="167" fontId="32" fillId="2" borderId="0" xfId="0" applyNumberFormat="1" applyFont="1" applyFill="1"/>
    <xf numFmtId="0" fontId="34" fillId="2" borderId="0" xfId="0" applyFont="1" applyFill="1" applyAlignment="1">
      <alignment horizontal="center" vertical="top" wrapText="1"/>
    </xf>
    <xf numFmtId="167" fontId="31" fillId="2" borderId="0" xfId="0" applyNumberFormat="1" applyFont="1" applyFill="1" applyAlignment="1">
      <alignment horizontal="center"/>
    </xf>
    <xf numFmtId="0" fontId="35" fillId="2" borderId="0" xfId="0" applyFont="1" applyFill="1" applyAlignment="1">
      <alignment vertical="center"/>
    </xf>
    <xf numFmtId="169" fontId="35" fillId="2" borderId="0" xfId="0" applyNumberFormat="1" applyFont="1" applyFill="1" applyAlignment="1">
      <alignment vertical="center"/>
    </xf>
    <xf numFmtId="168" fontId="35" fillId="2" borderId="0" xfId="0" applyNumberFormat="1" applyFont="1" applyFill="1" applyAlignment="1">
      <alignment vertical="center"/>
    </xf>
    <xf numFmtId="166" fontId="16" fillId="2" borderId="0" xfId="4" applyFont="1" applyFill="1" applyAlignment="1">
      <alignment horizontal="center" vertical="center"/>
    </xf>
    <xf numFmtId="0" fontId="16" fillId="2" borderId="0" xfId="3" applyFont="1" applyFill="1" applyAlignment="1">
      <alignment horizontal="center" vertical="center"/>
    </xf>
    <xf numFmtId="169" fontId="10" fillId="2" borderId="0" xfId="3" applyNumberFormat="1" applyFont="1" applyFill="1" applyAlignment="1">
      <alignment horizontal="left" vertical="center"/>
    </xf>
    <xf numFmtId="0" fontId="10" fillId="2" borderId="0" xfId="3" applyFont="1" applyFill="1" applyAlignment="1">
      <alignment horizontal="left" vertical="center"/>
    </xf>
    <xf numFmtId="0" fontId="8" fillId="2" borderId="0" xfId="3" applyFont="1" applyFill="1" applyAlignment="1">
      <alignment horizontal="center" vertical="center"/>
    </xf>
    <xf numFmtId="2" fontId="16" fillId="2" borderId="0" xfId="3" applyNumberFormat="1" applyFont="1" applyFill="1" applyAlignment="1">
      <alignment horizontal="center" vertical="center"/>
    </xf>
    <xf numFmtId="0" fontId="8" fillId="2" borderId="0" xfId="3" applyFont="1" applyFill="1" applyAlignment="1">
      <alignment horizontal="left" vertical="center" wrapText="1"/>
    </xf>
    <xf numFmtId="0" fontId="8" fillId="2" borderId="0" xfId="3" applyFont="1" applyFill="1" applyAlignment="1">
      <alignment horizontal="right" vertical="center"/>
    </xf>
    <xf numFmtId="0" fontId="16" fillId="2" borderId="0" xfId="3" applyFont="1" applyFill="1" applyAlignment="1">
      <alignment horizontal="left" vertical="center"/>
    </xf>
    <xf numFmtId="0" fontId="16" fillId="2" borderId="0" xfId="3" applyFont="1" applyFill="1" applyAlignment="1">
      <alignment horizontal="right" vertical="center"/>
    </xf>
    <xf numFmtId="169" fontId="16" fillId="2" borderId="0" xfId="3" applyNumberFormat="1" applyFont="1" applyFill="1" applyAlignment="1">
      <alignment horizontal="center" vertical="center"/>
    </xf>
    <xf numFmtId="0" fontId="8" fillId="2" borderId="0" xfId="3" applyFont="1" applyFill="1" applyAlignment="1">
      <alignment horizontal="center" vertical="center" wrapText="1"/>
    </xf>
    <xf numFmtId="0" fontId="8" fillId="2" borderId="0" xfId="3" applyFont="1" applyFill="1" applyAlignment="1">
      <alignment horizontal="left" vertical="center"/>
    </xf>
    <xf numFmtId="2" fontId="8" fillId="2" borderId="0" xfId="3" applyNumberFormat="1" applyFont="1" applyFill="1" applyAlignment="1">
      <alignment horizontal="right" vertical="center"/>
    </xf>
    <xf numFmtId="169" fontId="16" fillId="2" borderId="0" xfId="3" applyNumberFormat="1" applyFont="1" applyFill="1" applyAlignment="1">
      <alignment horizontal="left" vertical="center"/>
    </xf>
    <xf numFmtId="166" fontId="8" fillId="2" borderId="0" xfId="4" applyFont="1" applyFill="1" applyAlignment="1">
      <alignment horizontal="center" vertical="center"/>
    </xf>
    <xf numFmtId="0" fontId="16" fillId="2" borderId="0" xfId="3" applyFont="1" applyFill="1" applyAlignment="1">
      <alignment horizontal="left" vertical="center" wrapText="1"/>
    </xf>
    <xf numFmtId="166" fontId="8" fillId="5" borderId="0" xfId="4" applyFont="1" applyFill="1" applyAlignment="1">
      <alignment horizontal="center" vertical="center"/>
    </xf>
    <xf numFmtId="166" fontId="8" fillId="6" borderId="0" xfId="4" applyFont="1" applyFill="1" applyAlignment="1">
      <alignment horizontal="center" vertical="center" wrapText="1"/>
    </xf>
    <xf numFmtId="9" fontId="9" fillId="6" borderId="0" xfId="3" applyNumberFormat="1" applyFont="1" applyFill="1" applyAlignment="1">
      <alignment horizontal="center" vertical="center" wrapText="1"/>
    </xf>
    <xf numFmtId="166" fontId="16" fillId="2" borderId="0" xfId="4" applyFont="1" applyFill="1" applyAlignment="1">
      <alignment horizontal="center" vertical="center" wrapText="1"/>
    </xf>
    <xf numFmtId="166" fontId="8" fillId="2" borderId="0" xfId="1" applyFont="1" applyFill="1" applyAlignment="1">
      <alignment horizontal="center" vertical="center" wrapText="1"/>
    </xf>
    <xf numFmtId="166" fontId="8" fillId="2" borderId="0" xfId="0" applyNumberFormat="1" applyFont="1" applyFill="1" applyAlignment="1">
      <alignment horizontal="center" vertical="center"/>
    </xf>
    <xf numFmtId="0" fontId="9" fillId="6" borderId="0" xfId="3" applyFont="1" applyFill="1" applyAlignment="1">
      <alignment horizontal="left" vertical="center"/>
    </xf>
    <xf numFmtId="9" fontId="16" fillId="2" borderId="0" xfId="3" applyNumberFormat="1" applyFont="1" applyFill="1" applyAlignment="1">
      <alignment horizontal="center" vertical="center" wrapText="1"/>
    </xf>
    <xf numFmtId="166" fontId="8" fillId="2" borderId="0" xfId="4" applyFont="1" applyFill="1" applyAlignment="1">
      <alignment horizontal="center" vertical="center" wrapText="1"/>
    </xf>
    <xf numFmtId="169" fontId="8" fillId="2" borderId="0" xfId="3" applyNumberFormat="1" applyFont="1" applyFill="1" applyAlignment="1">
      <alignment horizontal="center" vertical="center"/>
    </xf>
    <xf numFmtId="169" fontId="8" fillId="2" borderId="0" xfId="3" applyNumberFormat="1" applyFont="1" applyFill="1" applyAlignment="1">
      <alignment horizontal="left" vertical="center"/>
    </xf>
    <xf numFmtId="166" fontId="9" fillId="6" borderId="0" xfId="1" applyFont="1" applyFill="1" applyAlignment="1">
      <alignment horizontal="center" vertical="center" wrapText="1"/>
    </xf>
    <xf numFmtId="9" fontId="23" fillId="2" borderId="0" xfId="2" applyFont="1" applyFill="1" applyAlignment="1">
      <alignment horizontal="center" vertical="center" wrapText="1"/>
    </xf>
    <xf numFmtId="0" fontId="14" fillId="3" borderId="0" xfId="0" applyFont="1" applyFill="1" applyAlignment="1">
      <alignment horizontal="center" vertical="center"/>
    </xf>
    <xf numFmtId="0" fontId="14" fillId="3" borderId="0" xfId="0" applyFont="1" applyFill="1" applyAlignment="1">
      <alignment vertical="center"/>
    </xf>
    <xf numFmtId="1" fontId="30" fillId="3" borderId="0" xfId="0" applyNumberFormat="1" applyFont="1" applyFill="1" applyAlignment="1">
      <alignment horizontal="center" vertical="center"/>
    </xf>
    <xf numFmtId="0" fontId="28" fillId="2" borderId="0" xfId="0" applyFont="1" applyFill="1" applyAlignment="1">
      <alignment horizontal="center"/>
    </xf>
    <xf numFmtId="0" fontId="30" fillId="3" borderId="0" xfId="0" applyFont="1" applyFill="1" applyAlignment="1">
      <alignment vertical="top"/>
    </xf>
    <xf numFmtId="166" fontId="30" fillId="3" borderId="0" xfId="4" applyFont="1" applyFill="1" applyAlignment="1">
      <alignment horizontal="center" vertical="top" wrapText="1"/>
    </xf>
    <xf numFmtId="166" fontId="30" fillId="3" borderId="0" xfId="4" applyFont="1" applyFill="1" applyAlignment="1">
      <alignment horizontal="center"/>
    </xf>
    <xf numFmtId="2" fontId="30" fillId="3" borderId="0" xfId="0" applyNumberFormat="1" applyFont="1" applyFill="1" applyAlignment="1">
      <alignment horizontal="center"/>
    </xf>
    <xf numFmtId="166" fontId="28" fillId="2" borderId="0" xfId="4" applyFont="1" applyFill="1"/>
    <xf numFmtId="0" fontId="28" fillId="2" borderId="0" xfId="0" applyFont="1" applyFill="1"/>
    <xf numFmtId="168" fontId="28" fillId="2" borderId="0" xfId="0" applyNumberFormat="1" applyFont="1" applyFill="1"/>
    <xf numFmtId="0" fontId="12" fillId="2" borderId="0" xfId="0" applyFont="1" applyFill="1" applyAlignment="1">
      <alignment horizontal="left" vertical="top"/>
    </xf>
    <xf numFmtId="0" fontId="28" fillId="2" borderId="0" xfId="0" applyFont="1" applyFill="1" applyAlignment="1">
      <alignment vertical="top"/>
    </xf>
    <xf numFmtId="166" fontId="28" fillId="2" borderId="0" xfId="4" applyFont="1" applyFill="1" applyAlignment="1">
      <alignment horizontal="center" vertical="top" wrapText="1"/>
    </xf>
    <xf numFmtId="169" fontId="28" fillId="2" borderId="0" xfId="0" applyNumberFormat="1" applyFont="1" applyFill="1" applyAlignment="1">
      <alignment horizontal="center"/>
    </xf>
    <xf numFmtId="166" fontId="28" fillId="2" borderId="0" xfId="4" applyFont="1" applyFill="1" applyAlignment="1">
      <alignment horizontal="center"/>
    </xf>
    <xf numFmtId="169" fontId="12" fillId="2" borderId="0" xfId="0" applyNumberFormat="1" applyFont="1" applyFill="1"/>
    <xf numFmtId="0" fontId="12" fillId="2" borderId="0" xfId="0" applyFont="1" applyFill="1"/>
    <xf numFmtId="0" fontId="12" fillId="2" borderId="0" xfId="0" applyFont="1" applyFill="1" applyAlignment="1">
      <alignment horizontal="center"/>
    </xf>
    <xf numFmtId="2" fontId="28" fillId="2" borderId="0" xfId="0" applyNumberFormat="1" applyFont="1" applyFill="1" applyAlignment="1">
      <alignment horizontal="center"/>
    </xf>
    <xf numFmtId="0" fontId="12" fillId="2" borderId="0" xfId="0" applyFont="1" applyFill="1" applyAlignment="1">
      <alignment vertical="top" wrapText="1"/>
    </xf>
    <xf numFmtId="0" fontId="12" fillId="2" borderId="0" xfId="0" applyFont="1" applyFill="1" applyAlignment="1">
      <alignment horizontal="center" vertical="top"/>
    </xf>
    <xf numFmtId="0" fontId="28" fillId="2" borderId="0" xfId="0" applyFont="1" applyFill="1" applyAlignment="1">
      <alignment horizontal="left"/>
    </xf>
    <xf numFmtId="1" fontId="28" fillId="2" borderId="0" xfId="0" applyNumberFormat="1" applyFont="1" applyFill="1" applyAlignment="1">
      <alignment horizontal="center"/>
    </xf>
    <xf numFmtId="0" fontId="12" fillId="2" borderId="0" xfId="0" applyFont="1" applyFill="1" applyAlignment="1">
      <alignment horizontal="left"/>
    </xf>
    <xf numFmtId="2" fontId="12" fillId="2" borderId="0" xfId="0" applyNumberFormat="1" applyFont="1" applyFill="1" applyAlignment="1">
      <alignment horizontal="center" vertical="top"/>
    </xf>
    <xf numFmtId="169" fontId="28" fillId="2" borderId="0" xfId="0" applyNumberFormat="1" applyFont="1" applyFill="1" applyAlignment="1">
      <alignment horizontal="left"/>
    </xf>
    <xf numFmtId="166" fontId="12" fillId="2" borderId="0" xfId="4" applyFont="1" applyFill="1" applyAlignment="1">
      <alignment horizontal="center"/>
    </xf>
    <xf numFmtId="166" fontId="12" fillId="2" borderId="0" xfId="4" applyFont="1" applyFill="1"/>
    <xf numFmtId="168" fontId="12" fillId="2" borderId="0" xfId="0" applyNumberFormat="1" applyFont="1" applyFill="1"/>
    <xf numFmtId="0" fontId="28" fillId="2" borderId="0" xfId="0" applyFont="1" applyFill="1" applyAlignment="1">
      <alignment horizontal="center" vertical="top" wrapText="1"/>
    </xf>
    <xf numFmtId="0" fontId="12" fillId="2" borderId="0" xfId="0" applyFont="1" applyFill="1" applyAlignment="1">
      <alignment horizontal="center" vertical="top" wrapText="1"/>
    </xf>
    <xf numFmtId="0" fontId="9" fillId="6" borderId="0" xfId="0" applyFont="1" applyFill="1" applyAlignment="1">
      <alignment horizontal="center" vertical="top" wrapText="1"/>
    </xf>
    <xf numFmtId="166" fontId="9" fillId="6" borderId="0" xfId="4" applyFont="1" applyFill="1" applyAlignment="1">
      <alignment horizontal="center" vertical="top" wrapText="1"/>
    </xf>
    <xf numFmtId="0" fontId="28" fillId="2" borderId="0" xfId="0" applyFont="1" applyFill="1" applyAlignment="1">
      <alignment vertical="top" wrapText="1"/>
    </xf>
    <xf numFmtId="9" fontId="28" fillId="2" borderId="0" xfId="0" applyNumberFormat="1" applyFont="1" applyFill="1" applyAlignment="1">
      <alignment horizontal="center" vertical="top" wrapText="1"/>
    </xf>
    <xf numFmtId="0" fontId="12" fillId="6" borderId="0" xfId="0" applyFont="1" applyFill="1" applyAlignment="1">
      <alignment horizontal="center" vertical="top" wrapText="1"/>
    </xf>
    <xf numFmtId="0" fontId="28" fillId="6" borderId="0" xfId="0" applyFont="1" applyFill="1" applyAlignment="1">
      <alignment vertical="top" wrapText="1"/>
    </xf>
    <xf numFmtId="0" fontId="28" fillId="6" borderId="0" xfId="0" applyFont="1" applyFill="1"/>
    <xf numFmtId="166" fontId="36" fillId="2" borderId="0" xfId="4" applyFont="1" applyFill="1" applyAlignment="1">
      <alignment horizontal="center" vertical="top" wrapText="1"/>
    </xf>
    <xf numFmtId="9" fontId="28" fillId="2" borderId="0" xfId="5" applyFont="1" applyFill="1" applyAlignment="1">
      <alignment horizontal="center" vertical="top" wrapText="1"/>
    </xf>
    <xf numFmtId="169" fontId="13" fillId="3" borderId="0" xfId="0" applyNumberFormat="1" applyFont="1" applyFill="1"/>
    <xf numFmtId="0" fontId="28" fillId="3" borderId="0" xfId="0" applyFont="1" applyFill="1" applyAlignment="1">
      <alignment horizontal="center"/>
    </xf>
    <xf numFmtId="0" fontId="28" fillId="3" borderId="0" xfId="0" applyFont="1" applyFill="1"/>
    <xf numFmtId="1" fontId="28" fillId="3" borderId="0" xfId="0" applyNumberFormat="1" applyFont="1" applyFill="1" applyAlignment="1">
      <alignment horizontal="center"/>
    </xf>
    <xf numFmtId="169" fontId="28" fillId="2" borderId="0" xfId="0" applyNumberFormat="1" applyFont="1" applyFill="1"/>
    <xf numFmtId="0" fontId="28" fillId="7" borderId="0" xfId="0" applyFont="1" applyFill="1"/>
    <xf numFmtId="166" fontId="28" fillId="7" borderId="0" xfId="0" applyNumberFormat="1" applyFont="1" applyFill="1" applyAlignment="1">
      <alignment horizontal="center"/>
    </xf>
    <xf numFmtId="0" fontId="28" fillId="7" borderId="0" xfId="0" applyFont="1" applyFill="1" applyAlignment="1">
      <alignment horizontal="right"/>
    </xf>
    <xf numFmtId="166" fontId="28" fillId="7" borderId="0" xfId="4" applyFont="1" applyFill="1" applyAlignment="1">
      <alignment horizontal="center"/>
    </xf>
    <xf numFmtId="1" fontId="28" fillId="7" borderId="0" xfId="0" applyNumberFormat="1" applyFont="1" applyFill="1" applyAlignment="1">
      <alignment horizontal="center"/>
    </xf>
    <xf numFmtId="169" fontId="28" fillId="7" borderId="0" xfId="0" applyNumberFormat="1" applyFont="1" applyFill="1" applyAlignment="1">
      <alignment horizontal="center"/>
    </xf>
    <xf numFmtId="169" fontId="28" fillId="2" borderId="0" xfId="0" applyNumberFormat="1" applyFont="1" applyFill="1" applyAlignment="1">
      <alignment horizontal="left" indent="10"/>
    </xf>
    <xf numFmtId="0" fontId="28" fillId="7" borderId="0" xfId="0" applyFont="1" applyFill="1" applyAlignment="1">
      <alignment horizontal="center"/>
    </xf>
    <xf numFmtId="0" fontId="14" fillId="3" borderId="0" xfId="3" applyFont="1" applyFill="1" applyAlignment="1">
      <alignment vertical="top"/>
    </xf>
    <xf numFmtId="0" fontId="30" fillId="3" borderId="0" xfId="3" applyFont="1" applyFill="1" applyAlignment="1">
      <alignment horizontal="center" vertical="center"/>
    </xf>
    <xf numFmtId="166" fontId="30" fillId="3" borderId="0" xfId="4" applyFont="1" applyFill="1" applyAlignment="1">
      <alignment horizontal="center" vertical="center" wrapText="1"/>
    </xf>
    <xf numFmtId="166" fontId="30" fillId="3" borderId="0" xfId="4" applyFont="1" applyFill="1" applyAlignment="1">
      <alignment horizontal="center" vertical="center"/>
    </xf>
    <xf numFmtId="2" fontId="30" fillId="3" borderId="0" xfId="3" applyNumberFormat="1" applyFont="1" applyFill="1" applyAlignment="1">
      <alignment horizontal="center" vertical="center"/>
    </xf>
    <xf numFmtId="0" fontId="27" fillId="2" borderId="0" xfId="0" applyFont="1" applyFill="1" applyAlignment="1">
      <alignment horizontal="center" vertical="center"/>
    </xf>
    <xf numFmtId="0" fontId="8" fillId="3" borderId="0" xfId="0" applyFont="1" applyFill="1" applyAlignment="1">
      <alignment vertical="center"/>
    </xf>
    <xf numFmtId="0" fontId="16" fillId="0" borderId="0" xfId="0" applyFont="1" applyAlignment="1">
      <alignment vertical="center"/>
    </xf>
    <xf numFmtId="167" fontId="8" fillId="0" borderId="0" xfId="0" applyNumberFormat="1" applyFont="1" applyAlignment="1">
      <alignment vertical="center"/>
    </xf>
    <xf numFmtId="169" fontId="16" fillId="0" borderId="0" xfId="0" applyNumberFormat="1" applyFont="1" applyAlignment="1">
      <alignment vertical="center"/>
    </xf>
    <xf numFmtId="168" fontId="16" fillId="0" borderId="0" xfId="0" applyNumberFormat="1" applyFont="1" applyAlignment="1">
      <alignment vertical="center"/>
    </xf>
    <xf numFmtId="169" fontId="12" fillId="0" borderId="0" xfId="0" applyNumberFormat="1" applyFont="1" applyAlignment="1">
      <alignment vertical="center"/>
    </xf>
    <xf numFmtId="1" fontId="28" fillId="0" borderId="0" xfId="0" applyNumberFormat="1" applyFont="1" applyAlignment="1">
      <alignment horizontal="center" vertical="center"/>
    </xf>
    <xf numFmtId="169" fontId="28" fillId="0" borderId="0" xfId="0" applyNumberFormat="1" applyFont="1" applyAlignment="1">
      <alignment vertical="center" wrapText="1"/>
    </xf>
    <xf numFmtId="166" fontId="8" fillId="0" borderId="0" xfId="0" applyNumberFormat="1" applyFont="1" applyAlignment="1">
      <alignment vertical="center"/>
    </xf>
    <xf numFmtId="167" fontId="16" fillId="0" borderId="0" xfId="0" applyNumberFormat="1" applyFont="1" applyAlignment="1">
      <alignment vertical="center"/>
    </xf>
    <xf numFmtId="0" fontId="33" fillId="0" borderId="0" xfId="0" applyFont="1" applyAlignment="1">
      <alignment vertical="center"/>
    </xf>
    <xf numFmtId="2" fontId="28" fillId="0" borderId="0" xfId="0" applyNumberFormat="1" applyFont="1" applyAlignment="1">
      <alignment vertical="center"/>
    </xf>
    <xf numFmtId="0" fontId="16" fillId="0" borderId="0" xfId="0" applyFont="1" applyAlignment="1">
      <alignment horizontal="center" vertical="center"/>
    </xf>
    <xf numFmtId="164" fontId="16" fillId="0" borderId="0" xfId="0" applyNumberFormat="1" applyFont="1" applyAlignment="1">
      <alignment vertical="center"/>
    </xf>
    <xf numFmtId="0" fontId="12" fillId="0" borderId="0" xfId="0" applyFont="1" applyAlignment="1">
      <alignment vertical="center"/>
    </xf>
    <xf numFmtId="166" fontId="16" fillId="0" borderId="0" xfId="1" applyFont="1" applyAlignment="1">
      <alignment vertical="center"/>
    </xf>
    <xf numFmtId="170" fontId="16" fillId="0" borderId="0" xfId="0" applyNumberFormat="1" applyFont="1" applyAlignment="1">
      <alignment vertical="center"/>
    </xf>
    <xf numFmtId="1" fontId="16" fillId="0" borderId="0" xfId="0" applyNumberFormat="1" applyFont="1" applyAlignment="1">
      <alignment horizontal="center" vertical="center"/>
    </xf>
    <xf numFmtId="1" fontId="8" fillId="0" borderId="0" xfId="0" applyNumberFormat="1" applyFont="1" applyAlignment="1">
      <alignment horizontal="center" vertical="center"/>
    </xf>
    <xf numFmtId="164" fontId="8" fillId="0" borderId="0" xfId="0" applyNumberFormat="1" applyFont="1" applyAlignment="1">
      <alignment vertical="center"/>
    </xf>
    <xf numFmtId="1" fontId="9" fillId="6" borderId="0" xfId="0" applyNumberFormat="1" applyFont="1" applyFill="1" applyAlignment="1">
      <alignment horizontal="center" vertical="center" wrapText="1"/>
    </xf>
    <xf numFmtId="0" fontId="9" fillId="6" borderId="0" xfId="0" applyFont="1" applyFill="1" applyAlignment="1">
      <alignment horizontal="center" vertical="center" wrapText="1"/>
    </xf>
    <xf numFmtId="166" fontId="8" fillId="6" borderId="0" xfId="0" applyNumberFormat="1" applyFont="1" applyFill="1" applyAlignment="1">
      <alignment horizontal="center" vertical="center" wrapText="1"/>
    </xf>
    <xf numFmtId="0" fontId="8" fillId="0" borderId="0" xfId="0" applyFont="1" applyAlignment="1">
      <alignment vertical="center" wrapText="1"/>
    </xf>
    <xf numFmtId="9" fontId="8" fillId="0" borderId="0" xfId="0" applyNumberFormat="1" applyFont="1" applyAlignment="1">
      <alignment horizontal="center" vertical="center" wrapText="1"/>
    </xf>
    <xf numFmtId="0" fontId="9" fillId="6" borderId="0" xfId="0" applyFont="1" applyFill="1" applyAlignment="1">
      <alignment vertical="center" wrapText="1"/>
    </xf>
    <xf numFmtId="1" fontId="8" fillId="4" borderId="1" xfId="0" applyNumberFormat="1" applyFont="1" applyFill="1" applyBorder="1" applyAlignment="1">
      <alignment horizontal="center" vertical="center" wrapText="1"/>
    </xf>
    <xf numFmtId="0" fontId="16" fillId="0" borderId="0" xfId="0" applyFont="1" applyAlignment="1">
      <alignment vertical="center" wrapText="1"/>
    </xf>
    <xf numFmtId="1" fontId="16" fillId="0" borderId="0" xfId="0" applyNumberFormat="1" applyFont="1" applyAlignment="1">
      <alignment horizontal="center" vertical="center" wrapText="1"/>
    </xf>
    <xf numFmtId="169" fontId="8" fillId="0" borderId="0" xfId="0" applyNumberFormat="1" applyFont="1" applyAlignment="1">
      <alignment vertical="center"/>
    </xf>
    <xf numFmtId="0" fontId="16" fillId="5" borderId="0" xfId="3" applyFont="1" applyFill="1" applyAlignment="1">
      <alignment horizontal="center" vertical="center"/>
    </xf>
    <xf numFmtId="0" fontId="27" fillId="5" borderId="0" xfId="3" applyFont="1" applyFill="1" applyAlignment="1">
      <alignment horizontal="center" vertical="center"/>
    </xf>
    <xf numFmtId="166" fontId="9" fillId="5" borderId="0" xfId="3" applyNumberFormat="1" applyFont="1" applyFill="1" applyAlignment="1">
      <alignment horizontal="center" vertical="center" wrapText="1"/>
    </xf>
    <xf numFmtId="9" fontId="9" fillId="5" borderId="0" xfId="2" applyFont="1" applyFill="1" applyAlignment="1">
      <alignment horizontal="center" vertical="center" wrapText="1"/>
    </xf>
    <xf numFmtId="1" fontId="16" fillId="5" borderId="1" xfId="0" applyNumberFormat="1" applyFont="1" applyFill="1" applyBorder="1" applyAlignment="1">
      <alignment horizontal="center" vertical="center" wrapText="1"/>
    </xf>
    <xf numFmtId="0" fontId="14" fillId="4" borderId="1" xfId="0" applyFont="1" applyFill="1" applyBorder="1" applyAlignment="1">
      <alignment horizontal="center" vertical="top" wrapText="1"/>
    </xf>
    <xf numFmtId="0" fontId="32" fillId="3" borderId="0" xfId="0" applyFont="1" applyFill="1"/>
    <xf numFmtId="0" fontId="32" fillId="3" borderId="0" xfId="0" applyFont="1" applyFill="1" applyAlignment="1">
      <alignment horizontal="left" vertical="top" wrapText="1"/>
    </xf>
    <xf numFmtId="0" fontId="32" fillId="3" borderId="0" xfId="0" applyFont="1" applyFill="1" applyAlignment="1">
      <alignment horizontal="left"/>
    </xf>
    <xf numFmtId="0" fontId="31" fillId="3" borderId="0" xfId="0" applyFont="1" applyFill="1" applyAlignment="1">
      <alignment horizontal="left" vertical="top" wrapText="1"/>
    </xf>
    <xf numFmtId="166" fontId="14" fillId="3" borderId="0" xfId="0" applyNumberFormat="1" applyFont="1" applyFill="1" applyAlignment="1">
      <alignment horizontal="center" vertical="center"/>
    </xf>
    <xf numFmtId="169" fontId="8" fillId="2" borderId="0" xfId="0" applyNumberFormat="1" applyFont="1" applyFill="1" applyAlignment="1">
      <alignment horizontal="center" vertical="center"/>
    </xf>
    <xf numFmtId="166" fontId="16" fillId="2" borderId="0" xfId="0" applyNumberFormat="1" applyFont="1" applyFill="1" applyAlignment="1">
      <alignment horizontal="center" vertical="center"/>
    </xf>
    <xf numFmtId="0" fontId="8" fillId="2" borderId="0" xfId="0" applyFont="1" applyFill="1" applyAlignment="1">
      <alignment vertical="center" wrapText="1"/>
    </xf>
    <xf numFmtId="0" fontId="16" fillId="2" borderId="0" xfId="0" applyFont="1" applyFill="1" applyAlignment="1">
      <alignment horizontal="center" vertical="center"/>
    </xf>
    <xf numFmtId="0" fontId="8" fillId="2" borderId="0" xfId="0" applyFont="1" applyFill="1" applyAlignment="1">
      <alignment horizontal="center" vertical="center" wrapText="1"/>
    </xf>
    <xf numFmtId="166" fontId="8" fillId="2" borderId="0" xfId="0" applyNumberFormat="1" applyFont="1" applyFill="1" applyAlignment="1">
      <alignment horizontal="center" vertical="center" wrapText="1"/>
    </xf>
    <xf numFmtId="169" fontId="16" fillId="2" borderId="0" xfId="0" applyNumberFormat="1" applyFont="1" applyFill="1" applyAlignment="1">
      <alignment horizontal="center" vertical="center"/>
    </xf>
    <xf numFmtId="0" fontId="16" fillId="2" borderId="0" xfId="0" applyFont="1" applyFill="1" applyAlignment="1">
      <alignment vertical="top" wrapText="1"/>
    </xf>
    <xf numFmtId="166" fontId="16" fillId="2" borderId="0" xfId="0" applyNumberFormat="1" applyFont="1" applyFill="1" applyAlignment="1">
      <alignment horizontal="center" vertical="top" wrapText="1"/>
    </xf>
    <xf numFmtId="9" fontId="8" fillId="2" borderId="0" xfId="0" applyNumberFormat="1" applyFont="1" applyFill="1" applyAlignment="1">
      <alignment horizontal="center" vertical="top" wrapText="1"/>
    </xf>
    <xf numFmtId="9" fontId="8" fillId="0" borderId="0" xfId="0" applyNumberFormat="1" applyFont="1" applyAlignment="1">
      <alignment horizontal="center" vertical="center"/>
    </xf>
    <xf numFmtId="166" fontId="8" fillId="2" borderId="0" xfId="1" applyFont="1" applyFill="1" applyAlignment="1">
      <alignment vertical="center" wrapText="1"/>
    </xf>
    <xf numFmtId="0" fontId="16" fillId="3" borderId="0" xfId="0" applyFont="1" applyFill="1" applyAlignment="1">
      <alignment vertical="top" wrapText="1"/>
    </xf>
    <xf numFmtId="0" fontId="8" fillId="3" borderId="0" xfId="0" applyFont="1" applyFill="1" applyAlignment="1">
      <alignment vertical="top" wrapText="1"/>
    </xf>
    <xf numFmtId="0" fontId="8" fillId="3" borderId="0" xfId="3" applyFont="1" applyFill="1" applyAlignment="1">
      <alignment vertical="center" wrapText="1"/>
    </xf>
    <xf numFmtId="0" fontId="38" fillId="3" borderId="0" xfId="0" applyFont="1" applyFill="1" applyAlignment="1">
      <alignment horizontal="left" vertical="top" wrapText="1"/>
    </xf>
    <xf numFmtId="0" fontId="8" fillId="2" borderId="0" xfId="0" applyFont="1" applyFill="1" applyAlignment="1">
      <alignment horizontal="right" vertical="top" wrapText="1"/>
    </xf>
    <xf numFmtId="0" fontId="16" fillId="2" borderId="0" xfId="0" applyFont="1" applyFill="1" applyAlignment="1">
      <alignment horizontal="right" vertical="top" wrapText="1"/>
    </xf>
    <xf numFmtId="0" fontId="16" fillId="2" borderId="0" xfId="0" applyFont="1" applyFill="1" applyAlignment="1">
      <alignment horizontal="center"/>
    </xf>
    <xf numFmtId="167" fontId="8" fillId="2" borderId="0" xfId="0" applyNumberFormat="1" applyFont="1" applyFill="1" applyAlignment="1">
      <alignment horizontal="center" vertical="top" wrapText="1"/>
    </xf>
    <xf numFmtId="169" fontId="16" fillId="2" borderId="0" xfId="0" applyNumberFormat="1" applyFont="1" applyFill="1"/>
    <xf numFmtId="167" fontId="16" fillId="2" borderId="0" xfId="0" applyNumberFormat="1" applyFont="1" applyFill="1" applyAlignment="1">
      <alignment horizontal="center"/>
    </xf>
    <xf numFmtId="169" fontId="8" fillId="2" borderId="0" xfId="0" applyNumberFormat="1" applyFont="1" applyFill="1"/>
    <xf numFmtId="167" fontId="16" fillId="3" borderId="0" xfId="0" applyNumberFormat="1" applyFont="1" applyFill="1" applyAlignment="1">
      <alignment vertical="top" wrapText="1"/>
    </xf>
    <xf numFmtId="0" fontId="16" fillId="3" borderId="0" xfId="0" applyFont="1" applyFill="1"/>
    <xf numFmtId="0" fontId="16" fillId="3" borderId="0" xfId="0" applyFont="1" applyFill="1" applyAlignment="1">
      <alignment horizontal="left" vertical="top" wrapText="1"/>
    </xf>
    <xf numFmtId="0" fontId="8" fillId="2" borderId="0" xfId="0" applyFont="1" applyFill="1" applyAlignment="1">
      <alignment horizontal="left" vertical="center"/>
    </xf>
    <xf numFmtId="0" fontId="8" fillId="2" borderId="0" xfId="0" applyFont="1" applyFill="1" applyAlignment="1">
      <alignment horizontal="center" vertical="center"/>
    </xf>
    <xf numFmtId="0" fontId="8" fillId="2" borderId="0" xfId="0" applyFont="1" applyFill="1"/>
    <xf numFmtId="0" fontId="8" fillId="4" borderId="1" xfId="0" applyFont="1" applyFill="1" applyBorder="1" applyAlignment="1">
      <alignment horizontal="center" vertical="top" wrapText="1"/>
    </xf>
    <xf numFmtId="1" fontId="8" fillId="4" borderId="1" xfId="0" applyNumberFormat="1" applyFont="1" applyFill="1" applyBorder="1" applyAlignment="1">
      <alignment horizontal="center" vertical="top" wrapText="1"/>
    </xf>
    <xf numFmtId="0" fontId="8" fillId="4" borderId="1" xfId="0" applyFont="1" applyFill="1" applyBorder="1" applyAlignment="1">
      <alignment vertical="top" wrapText="1"/>
    </xf>
    <xf numFmtId="0" fontId="8" fillId="4" borderId="1" xfId="3" applyFont="1" applyFill="1" applyBorder="1" applyAlignment="1">
      <alignment vertical="center" wrapText="1"/>
    </xf>
    <xf numFmtId="0" fontId="28" fillId="3" borderId="0" xfId="3" applyFont="1" applyFill="1" applyAlignment="1">
      <alignment horizontal="center" vertical="center"/>
    </xf>
    <xf numFmtId="166" fontId="31" fillId="2" borderId="0" xfId="1" applyFont="1" applyFill="1" applyAlignment="1">
      <alignment horizontal="center" vertical="center" wrapText="1"/>
    </xf>
    <xf numFmtId="166" fontId="9" fillId="6" borderId="0" xfId="4" applyFont="1" applyFill="1" applyAlignment="1">
      <alignment horizontal="center" vertical="center" wrapText="1"/>
    </xf>
    <xf numFmtId="166" fontId="38" fillId="2" borderId="0" xfId="4" applyFont="1" applyFill="1" applyAlignment="1">
      <alignment horizontal="center" vertical="center"/>
    </xf>
    <xf numFmtId="166" fontId="38" fillId="2" borderId="0" xfId="4" applyFont="1" applyFill="1" applyAlignment="1">
      <alignment horizontal="center" vertical="center" wrapText="1"/>
    </xf>
    <xf numFmtId="0" fontId="14" fillId="4" borderId="1" xfId="3" applyFont="1" applyFill="1" applyBorder="1" applyAlignment="1">
      <alignment horizontal="center" vertical="center" wrapText="1"/>
    </xf>
    <xf numFmtId="166" fontId="12" fillId="2" borderId="0" xfId="4" applyFont="1" applyFill="1" applyAlignment="1">
      <alignment horizontal="center" vertical="top" wrapText="1"/>
    </xf>
    <xf numFmtId="9" fontId="12" fillId="2" borderId="0" xfId="0" applyNumberFormat="1" applyFont="1" applyFill="1" applyAlignment="1">
      <alignment horizontal="center" vertical="top" wrapText="1"/>
    </xf>
    <xf numFmtId="166" fontId="12" fillId="6" borderId="0" xfId="4" applyFont="1" applyFill="1" applyAlignment="1">
      <alignment horizontal="center" vertical="top" wrapText="1"/>
    </xf>
    <xf numFmtId="0" fontId="27" fillId="2" borderId="0" xfId="0" applyFont="1" applyFill="1" applyAlignment="1">
      <alignment horizontal="center"/>
    </xf>
    <xf numFmtId="0" fontId="9" fillId="2" borderId="0" xfId="0" applyFont="1" applyFill="1" applyAlignment="1">
      <alignment horizontal="center"/>
    </xf>
    <xf numFmtId="0" fontId="10" fillId="2" borderId="0" xfId="0" applyFont="1" applyFill="1" applyAlignment="1">
      <alignment horizontal="left" vertical="center"/>
    </xf>
    <xf numFmtId="0" fontId="9" fillId="2" borderId="0" xfId="0" applyFont="1" applyFill="1" applyAlignment="1">
      <alignment horizontal="center" vertical="center"/>
    </xf>
    <xf numFmtId="1" fontId="16" fillId="2" borderId="0" xfId="0" applyNumberFormat="1" applyFont="1" applyFill="1" applyAlignment="1">
      <alignment horizontal="center" vertical="center"/>
    </xf>
    <xf numFmtId="9" fontId="9" fillId="2" borderId="0" xfId="0" applyNumberFormat="1" applyFont="1" applyFill="1" applyAlignment="1">
      <alignment horizontal="center" vertical="center"/>
    </xf>
    <xf numFmtId="168" fontId="9" fillId="6" borderId="0" xfId="0" applyNumberFormat="1" applyFont="1" applyFill="1" applyAlignment="1">
      <alignment horizontal="center" vertical="center"/>
    </xf>
    <xf numFmtId="0" fontId="9" fillId="6" borderId="0" xfId="0" applyFont="1" applyFill="1" applyAlignment="1">
      <alignment horizontal="left" vertical="center" wrapText="1"/>
    </xf>
    <xf numFmtId="166" fontId="8" fillId="3" borderId="0" xfId="1" applyFont="1" applyFill="1" applyAlignment="1">
      <alignment horizontal="center" vertical="top" wrapText="1"/>
    </xf>
    <xf numFmtId="0" fontId="16" fillId="3" borderId="0" xfId="3" applyFont="1" applyFill="1" applyAlignment="1">
      <alignment vertical="center" wrapText="1"/>
    </xf>
    <xf numFmtId="0" fontId="8" fillId="4" borderId="1" xfId="0" applyFont="1" applyFill="1" applyBorder="1" applyAlignment="1">
      <alignment vertical="center" wrapText="1"/>
    </xf>
    <xf numFmtId="0" fontId="16" fillId="3" borderId="0" xfId="3" applyFont="1" applyFill="1" applyAlignment="1">
      <alignment horizontal="left" vertical="center" wrapText="1"/>
    </xf>
    <xf numFmtId="166" fontId="8" fillId="3" borderId="0" xfId="1" applyFont="1" applyFill="1" applyAlignment="1">
      <alignment horizontal="center" vertical="center" wrapText="1"/>
    </xf>
    <xf numFmtId="166" fontId="8" fillId="3" borderId="0" xfId="0" applyNumberFormat="1" applyFont="1" applyFill="1" applyAlignment="1">
      <alignment horizontal="center" vertical="center"/>
    </xf>
    <xf numFmtId="9" fontId="9" fillId="6" borderId="0" xfId="2" applyFont="1" applyFill="1" applyAlignment="1">
      <alignment horizontal="center" vertical="center"/>
    </xf>
    <xf numFmtId="0" fontId="8" fillId="5" borderId="1" xfId="0" applyFont="1" applyFill="1" applyBorder="1" applyAlignment="1">
      <alignment horizontal="center" vertical="top" wrapText="1"/>
    </xf>
    <xf numFmtId="0" fontId="16" fillId="3" borderId="0" xfId="0" applyFont="1" applyFill="1" applyAlignment="1">
      <alignment horizontal="center" vertical="top" wrapText="1"/>
    </xf>
    <xf numFmtId="0" fontId="8" fillId="5" borderId="1" xfId="0" applyFont="1" applyFill="1" applyBorder="1" applyAlignment="1">
      <alignment vertical="top" wrapText="1"/>
    </xf>
    <xf numFmtId="0" fontId="8" fillId="5" borderId="0" xfId="0" applyFont="1" applyFill="1" applyAlignment="1">
      <alignment horizontal="center" vertical="center"/>
    </xf>
    <xf numFmtId="169" fontId="8" fillId="5" borderId="0" xfId="0" applyNumberFormat="1" applyFont="1" applyFill="1" applyAlignment="1">
      <alignment horizontal="center" vertical="center"/>
    </xf>
    <xf numFmtId="166" fontId="9" fillId="2" borderId="0" xfId="3" applyNumberFormat="1" applyFont="1" applyFill="1" applyAlignment="1">
      <alignment horizontal="center" vertical="center" wrapText="1"/>
    </xf>
    <xf numFmtId="169" fontId="28" fillId="2" borderId="0" xfId="0" applyNumberFormat="1" applyFont="1" applyFill="1" applyAlignment="1">
      <alignment horizontal="center" vertical="center"/>
    </xf>
    <xf numFmtId="0" fontId="12" fillId="2" borderId="0" xfId="0" applyFont="1" applyFill="1" applyAlignment="1">
      <alignment horizontal="center" vertical="center" wrapText="1"/>
    </xf>
    <xf numFmtId="0" fontId="31" fillId="2" borderId="0" xfId="0" applyFont="1" applyFill="1" applyAlignment="1">
      <alignment horizontal="center"/>
    </xf>
    <xf numFmtId="166" fontId="31" fillId="2" borderId="0" xfId="1" applyFont="1" applyFill="1" applyAlignment="1">
      <alignment horizontal="center" vertical="top" wrapText="1"/>
    </xf>
    <xf numFmtId="169" fontId="28" fillId="2" borderId="0" xfId="0" applyNumberFormat="1" applyFont="1" applyFill="1" applyAlignment="1">
      <alignment horizontal="center" vertical="center" wrapText="1"/>
    </xf>
    <xf numFmtId="166" fontId="12" fillId="2" borderId="0" xfId="0" applyNumberFormat="1" applyFont="1" applyFill="1" applyAlignment="1">
      <alignment horizontal="center" vertical="center"/>
    </xf>
    <xf numFmtId="0" fontId="28" fillId="2" borderId="0" xfId="0" applyFont="1" applyFill="1" applyAlignment="1">
      <alignment horizontal="center" vertical="center"/>
    </xf>
    <xf numFmtId="0" fontId="32" fillId="2" borderId="0" xfId="0" applyFont="1" applyFill="1" applyAlignment="1">
      <alignment horizontal="center" vertical="top" wrapText="1"/>
    </xf>
    <xf numFmtId="9" fontId="31" fillId="2" borderId="0" xfId="0" applyNumberFormat="1" applyFont="1" applyFill="1" applyAlignment="1">
      <alignment horizontal="center" vertical="top" wrapText="1"/>
    </xf>
    <xf numFmtId="166" fontId="31" fillId="2" borderId="0" xfId="1" applyFont="1" applyFill="1" applyAlignment="1">
      <alignment horizontal="center"/>
    </xf>
    <xf numFmtId="166" fontId="9" fillId="6" borderId="0" xfId="0" applyNumberFormat="1" applyFont="1" applyFill="1" applyAlignment="1">
      <alignment horizontal="center" vertical="center" wrapText="1"/>
    </xf>
    <xf numFmtId="169" fontId="32" fillId="2" borderId="0" xfId="0" applyNumberFormat="1" applyFont="1" applyFill="1" applyAlignment="1">
      <alignment horizontal="center"/>
    </xf>
    <xf numFmtId="2" fontId="28" fillId="2" borderId="0" xfId="0" applyNumberFormat="1" applyFont="1" applyFill="1" applyAlignment="1">
      <alignment horizontal="left" vertical="center"/>
    </xf>
    <xf numFmtId="166" fontId="12" fillId="2" borderId="0" xfId="0" applyNumberFormat="1" applyFont="1" applyFill="1" applyAlignment="1">
      <alignment horizontal="left" vertical="center"/>
    </xf>
    <xf numFmtId="0" fontId="28" fillId="2" borderId="0" xfId="0" applyFont="1" applyFill="1" applyAlignment="1">
      <alignment horizontal="left" vertical="center"/>
    </xf>
    <xf numFmtId="166" fontId="12" fillId="2" borderId="0" xfId="1" applyFont="1" applyFill="1" applyAlignment="1">
      <alignment horizontal="left" vertical="center"/>
    </xf>
    <xf numFmtId="166" fontId="16" fillId="3" borderId="0" xfId="0" applyNumberFormat="1" applyFont="1" applyFill="1" applyAlignment="1">
      <alignment horizontal="center" vertical="center"/>
    </xf>
    <xf numFmtId="0" fontId="16" fillId="3" borderId="0" xfId="0" applyFont="1" applyFill="1" applyAlignment="1">
      <alignment horizontal="center" vertical="center"/>
    </xf>
    <xf numFmtId="2" fontId="16" fillId="3" borderId="0" xfId="0" applyNumberFormat="1" applyFont="1" applyFill="1" applyAlignment="1">
      <alignment horizontal="center" vertical="center"/>
    </xf>
    <xf numFmtId="169" fontId="16" fillId="3" borderId="0" xfId="0" applyNumberFormat="1" applyFont="1" applyFill="1" applyAlignment="1">
      <alignment horizontal="center" vertical="center"/>
    </xf>
    <xf numFmtId="169" fontId="28" fillId="0" borderId="0" xfId="0" applyNumberFormat="1" applyFont="1" applyAlignment="1">
      <alignment horizontal="center" vertical="center" wrapText="1"/>
    </xf>
    <xf numFmtId="166" fontId="12" fillId="0" borderId="0" xfId="0" applyNumberFormat="1" applyFont="1" applyAlignment="1">
      <alignment horizontal="center" vertical="center"/>
    </xf>
    <xf numFmtId="0" fontId="28" fillId="0" borderId="0" xfId="0" applyFont="1" applyAlignment="1">
      <alignment horizontal="center" vertical="center"/>
    </xf>
    <xf numFmtId="169" fontId="28" fillId="0" borderId="0" xfId="0" applyNumberFormat="1" applyFont="1" applyAlignment="1">
      <alignment horizontal="center" vertical="center"/>
    </xf>
    <xf numFmtId="166" fontId="28" fillId="0" borderId="0" xfId="0" applyNumberFormat="1" applyFont="1" applyAlignment="1">
      <alignment horizontal="center" vertical="center"/>
    </xf>
    <xf numFmtId="166" fontId="12" fillId="0" borderId="0" xfId="1" applyFont="1" applyAlignment="1">
      <alignment horizontal="center" vertical="center"/>
    </xf>
    <xf numFmtId="169" fontId="16" fillId="0" borderId="0" xfId="0" applyNumberFormat="1" applyFont="1" applyAlignment="1">
      <alignment horizontal="center" vertical="center"/>
    </xf>
    <xf numFmtId="166" fontId="12" fillId="0" borderId="0" xfId="0" applyNumberFormat="1" applyFont="1" applyAlignment="1">
      <alignment horizontal="center" vertical="center" wrapText="1"/>
    </xf>
    <xf numFmtId="166" fontId="16" fillId="0" borderId="0" xfId="0" applyNumberFormat="1" applyFont="1" applyAlignment="1">
      <alignment horizontal="center" vertical="center"/>
    </xf>
    <xf numFmtId="166" fontId="11" fillId="5" borderId="0" xfId="0" applyNumberFormat="1" applyFont="1" applyFill="1" applyAlignment="1">
      <alignment horizontal="center" vertical="center" wrapText="1"/>
    </xf>
    <xf numFmtId="0" fontId="16" fillId="5" borderId="0" xfId="0" applyFont="1" applyFill="1" applyAlignment="1">
      <alignment horizontal="center" vertical="center"/>
    </xf>
    <xf numFmtId="169" fontId="16" fillId="5" borderId="0" xfId="0" applyNumberFormat="1" applyFont="1" applyFill="1" applyAlignment="1">
      <alignment horizontal="center" vertical="center"/>
    </xf>
    <xf numFmtId="166" fontId="16" fillId="5" borderId="0" xfId="0" applyNumberFormat="1" applyFont="1" applyFill="1" applyAlignment="1">
      <alignment horizontal="center" vertical="center"/>
    </xf>
    <xf numFmtId="166" fontId="8" fillId="0" borderId="0" xfId="1" applyFont="1" applyAlignment="1">
      <alignment horizontal="center" vertical="center" wrapText="1"/>
    </xf>
    <xf numFmtId="166" fontId="16" fillId="0" borderId="0" xfId="0" applyNumberFormat="1" applyFont="1" applyAlignment="1">
      <alignment horizontal="center" vertical="center" wrapText="1"/>
    </xf>
    <xf numFmtId="168" fontId="8" fillId="0" borderId="0" xfId="0" applyNumberFormat="1" applyFont="1" applyAlignment="1">
      <alignment horizontal="center" vertical="center" wrapText="1"/>
    </xf>
    <xf numFmtId="166" fontId="30" fillId="3" borderId="0" xfId="0" applyNumberFormat="1" applyFont="1" applyFill="1" applyAlignment="1">
      <alignment horizontal="center" vertical="center"/>
    </xf>
    <xf numFmtId="2" fontId="30" fillId="3" borderId="0" xfId="0" applyNumberFormat="1" applyFont="1" applyFill="1" applyAlignment="1">
      <alignment horizontal="center" vertical="center"/>
    </xf>
    <xf numFmtId="166" fontId="11" fillId="2" borderId="0" xfId="0" applyNumberFormat="1" applyFont="1" applyFill="1" applyAlignment="1">
      <alignment horizontal="center" vertical="center" wrapText="1"/>
    </xf>
    <xf numFmtId="166" fontId="10" fillId="2" borderId="0" xfId="0" applyNumberFormat="1" applyFont="1" applyFill="1" applyAlignment="1">
      <alignment horizontal="center" vertical="center"/>
    </xf>
    <xf numFmtId="166" fontId="11" fillId="2" borderId="0" xfId="0" applyNumberFormat="1" applyFont="1" applyFill="1" applyAlignment="1">
      <alignment horizontal="center" vertical="center"/>
    </xf>
    <xf numFmtId="166" fontId="10" fillId="2" borderId="0" xfId="0" applyNumberFormat="1" applyFont="1" applyFill="1" applyAlignment="1">
      <alignment horizontal="center" vertical="center" wrapText="1"/>
    </xf>
    <xf numFmtId="166" fontId="11" fillId="2" borderId="0" xfId="3" applyNumberFormat="1" applyFont="1" applyFill="1" applyAlignment="1">
      <alignment horizontal="center" vertical="center"/>
    </xf>
    <xf numFmtId="166" fontId="8" fillId="3" borderId="0" xfId="3" applyNumberFormat="1" applyFont="1" applyFill="1" applyAlignment="1">
      <alignment horizontal="center" vertical="center"/>
    </xf>
    <xf numFmtId="166" fontId="23" fillId="2" borderId="0" xfId="3" applyNumberFormat="1" applyFont="1" applyFill="1" applyAlignment="1">
      <alignment horizontal="center" vertical="center" wrapText="1"/>
    </xf>
    <xf numFmtId="166" fontId="28" fillId="2" borderId="0" xfId="1" applyFont="1" applyFill="1" applyAlignment="1">
      <alignment horizontal="center" vertical="center" wrapText="1"/>
    </xf>
    <xf numFmtId="166" fontId="28" fillId="2" borderId="0" xfId="0" applyNumberFormat="1" applyFont="1" applyFill="1" applyAlignment="1">
      <alignment horizontal="center" vertical="center"/>
    </xf>
    <xf numFmtId="166" fontId="10" fillId="2" borderId="0" xfId="3" applyNumberFormat="1" applyFont="1" applyFill="1" applyAlignment="1">
      <alignment horizontal="center" vertical="center" wrapText="1"/>
    </xf>
    <xf numFmtId="166" fontId="16" fillId="2" borderId="0" xfId="0" applyNumberFormat="1" applyFont="1" applyFill="1" applyAlignment="1">
      <alignment horizontal="center" vertical="center" wrapText="1"/>
    </xf>
    <xf numFmtId="166" fontId="16" fillId="2" borderId="0" xfId="1" applyFont="1" applyFill="1" applyAlignment="1">
      <alignment horizontal="center" vertical="top" wrapText="1"/>
    </xf>
    <xf numFmtId="166" fontId="16" fillId="2" borderId="0" xfId="0" applyNumberFormat="1" applyFont="1" applyFill="1" applyAlignment="1">
      <alignment horizontal="center"/>
    </xf>
    <xf numFmtId="167" fontId="16" fillId="2" borderId="0" xfId="0" applyNumberFormat="1" applyFont="1" applyFill="1" applyAlignment="1">
      <alignment horizontal="center" vertical="top" wrapText="1"/>
    </xf>
    <xf numFmtId="168" fontId="8" fillId="2" borderId="0" xfId="0" applyNumberFormat="1" applyFont="1" applyFill="1" applyAlignment="1">
      <alignment horizontal="center" vertical="top" wrapText="1"/>
    </xf>
    <xf numFmtId="168" fontId="23" fillId="2" borderId="1" xfId="0" applyNumberFormat="1" applyFont="1" applyFill="1" applyBorder="1" applyAlignment="1">
      <alignment horizontal="center" vertical="center"/>
    </xf>
    <xf numFmtId="0" fontId="9" fillId="6" borderId="0" xfId="0" applyFont="1" applyFill="1" applyAlignment="1">
      <alignment horizontal="center"/>
    </xf>
    <xf numFmtId="0" fontId="8" fillId="5" borderId="0" xfId="0" applyFont="1" applyFill="1" applyAlignment="1">
      <alignment horizontal="center" vertical="top" wrapText="1"/>
    </xf>
    <xf numFmtId="0" fontId="8" fillId="4" borderId="1" xfId="3" applyFont="1" applyFill="1" applyBorder="1" applyAlignment="1">
      <alignment horizontal="left" vertical="center" wrapText="1"/>
    </xf>
    <xf numFmtId="166" fontId="9" fillId="2" borderId="1" xfId="0" applyNumberFormat="1" applyFont="1" applyFill="1" applyBorder="1" applyAlignment="1">
      <alignment horizontal="center" vertical="center"/>
    </xf>
    <xf numFmtId="166" fontId="24" fillId="3" borderId="0" xfId="1" applyFont="1" applyFill="1" applyAlignment="1">
      <alignment horizontal="center" vertical="center" wrapText="1"/>
    </xf>
    <xf numFmtId="166" fontId="24" fillId="3" borderId="0" xfId="0" applyNumberFormat="1" applyFont="1" applyFill="1" applyAlignment="1">
      <alignment horizontal="center" vertical="center"/>
    </xf>
    <xf numFmtId="166" fontId="24" fillId="3" borderId="0" xfId="4" applyFont="1" applyFill="1" applyAlignment="1">
      <alignment horizontal="center" vertical="top" wrapText="1"/>
    </xf>
    <xf numFmtId="9" fontId="14" fillId="4" borderId="0" xfId="0" applyNumberFormat="1" applyFont="1" applyFill="1" applyAlignment="1">
      <alignment horizontal="center" vertical="center" wrapText="1"/>
    </xf>
    <xf numFmtId="9" fontId="14" fillId="4" borderId="0" xfId="0" applyNumberFormat="1" applyFont="1" applyFill="1" applyAlignment="1">
      <alignment horizontal="center" vertical="top" wrapText="1"/>
    </xf>
    <xf numFmtId="166" fontId="24" fillId="3" borderId="0" xfId="3" applyNumberFormat="1" applyFont="1" applyFill="1" applyAlignment="1">
      <alignment horizontal="center" vertical="center" wrapText="1"/>
    </xf>
    <xf numFmtId="166" fontId="24" fillId="3" borderId="0" xfId="0" applyNumberFormat="1" applyFont="1" applyFill="1" applyAlignment="1">
      <alignment horizontal="center"/>
    </xf>
    <xf numFmtId="166" fontId="24" fillId="3" borderId="0" xfId="0" applyNumberFormat="1" applyFont="1" applyFill="1" applyAlignment="1">
      <alignment horizontal="center" vertical="center" wrapText="1"/>
    </xf>
    <xf numFmtId="9" fontId="14" fillId="4" borderId="0" xfId="2" applyFont="1" applyFill="1" applyAlignment="1">
      <alignment horizontal="center" vertical="center" wrapText="1"/>
    </xf>
    <xf numFmtId="0" fontId="14" fillId="5" borderId="1" xfId="0" applyFont="1" applyFill="1" applyBorder="1" applyAlignment="1">
      <alignment horizontal="left" vertical="center"/>
    </xf>
    <xf numFmtId="0" fontId="14" fillId="5" borderId="1" xfId="0" applyFont="1" applyFill="1" applyBorder="1" applyAlignment="1">
      <alignment horizontal="left" vertical="top" wrapText="1"/>
    </xf>
    <xf numFmtId="0" fontId="14" fillId="5" borderId="1" xfId="0" applyFont="1" applyFill="1" applyBorder="1" applyAlignment="1">
      <alignment horizontal="left" vertical="center" wrapText="1"/>
    </xf>
    <xf numFmtId="0" fontId="9" fillId="6" borderId="0" xfId="3" applyFont="1" applyFill="1" applyAlignment="1">
      <alignment horizontal="center" vertical="center"/>
    </xf>
    <xf numFmtId="9" fontId="14" fillId="5" borderId="1" xfId="2" applyFont="1" applyFill="1" applyBorder="1" applyAlignment="1">
      <alignment horizontal="center" vertical="center"/>
    </xf>
    <xf numFmtId="9" fontId="14" fillId="4" borderId="1" xfId="0" applyNumberFormat="1" applyFont="1" applyFill="1" applyBorder="1" applyAlignment="1">
      <alignment horizontal="center" vertical="center" wrapText="1"/>
    </xf>
    <xf numFmtId="166" fontId="5" fillId="2" borderId="0" xfId="1" applyFont="1" applyFill="1"/>
    <xf numFmtId="166" fontId="6" fillId="2" borderId="0" xfId="1" applyFont="1" applyFill="1"/>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0" fillId="2" borderId="0" xfId="0" applyFill="1" applyAlignment="1">
      <alignment horizontal="center"/>
    </xf>
    <xf numFmtId="9" fontId="6" fillId="2" borderId="0" xfId="2" applyFont="1" applyFill="1" applyAlignment="1">
      <alignment horizontal="center"/>
    </xf>
    <xf numFmtId="166" fontId="6" fillId="2" borderId="0" xfId="1" applyFont="1" applyFill="1" applyAlignment="1">
      <alignment horizontal="left"/>
    </xf>
    <xf numFmtId="0" fontId="6" fillId="2" borderId="0" xfId="1" applyNumberFormat="1" applyFont="1" applyFill="1" applyAlignment="1">
      <alignment horizontal="center"/>
    </xf>
    <xf numFmtId="2" fontId="6" fillId="2" borderId="0" xfId="1" applyNumberFormat="1" applyFont="1" applyFill="1" applyAlignment="1">
      <alignment horizontal="center"/>
    </xf>
    <xf numFmtId="0" fontId="6" fillId="2" borderId="0" xfId="0" applyFont="1" applyFill="1" applyAlignment="1">
      <alignment horizontal="center"/>
    </xf>
    <xf numFmtId="166" fontId="5" fillId="2" borderId="0" xfId="4" applyFill="1"/>
    <xf numFmtId="166" fontId="6" fillId="2" borderId="0" xfId="0" applyNumberFormat="1" applyFont="1" applyFill="1"/>
    <xf numFmtId="166" fontId="4" fillId="2" borderId="0" xfId="1" applyFill="1"/>
    <xf numFmtId="166" fontId="5" fillId="2" borderId="0" xfId="1" applyFont="1" applyFill="1" applyAlignment="1">
      <alignment horizontal="center"/>
    </xf>
    <xf numFmtId="0" fontId="5" fillId="2" borderId="0" xfId="0" applyFont="1" applyFill="1" applyAlignment="1">
      <alignment horizontal="center"/>
    </xf>
    <xf numFmtId="166" fontId="5" fillId="2" borderId="0" xfId="1" applyFont="1" applyFill="1" applyAlignment="1">
      <alignment vertical="top" wrapText="1"/>
    </xf>
    <xf numFmtId="166" fontId="6" fillId="2" borderId="0" xfId="1" applyFont="1" applyFill="1" applyAlignment="1">
      <alignment vertical="top" wrapText="1"/>
    </xf>
    <xf numFmtId="2" fontId="5" fillId="2" borderId="0" xfId="1" applyNumberFormat="1" applyFont="1" applyFill="1" applyAlignment="1">
      <alignment horizontal="center" vertical="top" wrapText="1"/>
    </xf>
    <xf numFmtId="0" fontId="0" fillId="2" borderId="0" xfId="0" applyFill="1"/>
    <xf numFmtId="166" fontId="5" fillId="2" borderId="0" xfId="1" applyFont="1" applyFill="1" applyAlignment="1">
      <alignment horizontal="left" vertical="top" wrapText="1"/>
    </xf>
    <xf numFmtId="166" fontId="5" fillId="2" borderId="0" xfId="1" applyFont="1" applyFill="1" applyAlignment="1">
      <alignment horizontal="center" vertical="top" wrapText="1"/>
    </xf>
    <xf numFmtId="0" fontId="4" fillId="2" borderId="0" xfId="0" applyFont="1" applyFill="1"/>
    <xf numFmtId="166" fontId="6" fillId="4" borderId="0" xfId="1" applyFont="1" applyFill="1" applyAlignment="1">
      <alignment horizontal="left"/>
    </xf>
    <xf numFmtId="166" fontId="5" fillId="4" borderId="0" xfId="1" applyFont="1" applyFill="1"/>
    <xf numFmtId="166" fontId="6" fillId="4" borderId="0" xfId="1" applyFont="1" applyFill="1"/>
    <xf numFmtId="2" fontId="6" fillId="4" borderId="0" xfId="1" applyNumberFormat="1" applyFont="1" applyFill="1" applyAlignment="1">
      <alignment horizontal="center"/>
    </xf>
    <xf numFmtId="166" fontId="6" fillId="4" borderId="0" xfId="1" applyFont="1" applyFill="1" applyAlignment="1">
      <alignment horizontal="center"/>
    </xf>
    <xf numFmtId="0" fontId="6" fillId="4" borderId="0" xfId="1" applyNumberFormat="1" applyFont="1" applyFill="1" applyAlignment="1">
      <alignment horizontal="center"/>
    </xf>
    <xf numFmtId="0" fontId="6" fillId="4" borderId="0" xfId="0" applyFont="1" applyFill="1" applyAlignment="1">
      <alignment horizontal="center"/>
    </xf>
    <xf numFmtId="0" fontId="0" fillId="4" borderId="0" xfId="0" applyFill="1" applyAlignment="1">
      <alignment horizontal="center"/>
    </xf>
    <xf numFmtId="166" fontId="6" fillId="4" borderId="0" xfId="1" applyFont="1" applyFill="1" applyAlignment="1">
      <alignment vertical="top" wrapText="1"/>
    </xf>
    <xf numFmtId="166" fontId="6" fillId="4" borderId="0" xfId="1" applyFont="1" applyFill="1" applyAlignment="1">
      <alignment horizontal="center" vertical="top" wrapText="1"/>
    </xf>
    <xf numFmtId="166" fontId="5" fillId="4" borderId="0" xfId="1" applyFont="1" applyFill="1" applyAlignment="1">
      <alignment vertical="top" wrapText="1"/>
    </xf>
    <xf numFmtId="0" fontId="4" fillId="3" borderId="0" xfId="0" applyFont="1" applyFill="1"/>
    <xf numFmtId="0" fontId="4" fillId="3" borderId="0" xfId="0" applyFont="1" applyFill="1" applyAlignment="1">
      <alignment horizontal="center"/>
    </xf>
    <xf numFmtId="166" fontId="4" fillId="3" borderId="0" xfId="0" applyNumberFormat="1" applyFont="1" applyFill="1" applyAlignment="1">
      <alignment horizontal="center"/>
    </xf>
    <xf numFmtId="0" fontId="6" fillId="3" borderId="0" xfId="0" applyFont="1" applyFill="1" applyAlignment="1">
      <alignment horizontal="center"/>
    </xf>
    <xf numFmtId="166" fontId="4" fillId="3" borderId="0" xfId="1" applyFill="1" applyAlignment="1">
      <alignment horizontal="center"/>
    </xf>
    <xf numFmtId="0" fontId="39" fillId="3" borderId="0" xfId="0" applyFont="1" applyFill="1" applyAlignment="1">
      <alignment horizontal="center"/>
    </xf>
    <xf numFmtId="0" fontId="40" fillId="3" borderId="0" xfId="0" applyFont="1" applyFill="1" applyAlignment="1">
      <alignment horizontal="left"/>
    </xf>
    <xf numFmtId="166" fontId="4" fillId="3" borderId="0" xfId="0" applyNumberFormat="1" applyFont="1" applyFill="1"/>
    <xf numFmtId="166" fontId="6" fillId="3" borderId="0" xfId="1" applyFont="1" applyFill="1" applyAlignment="1">
      <alignment horizontal="center"/>
    </xf>
    <xf numFmtId="166" fontId="4" fillId="4" borderId="0" xfId="0" applyNumberFormat="1" applyFont="1" applyFill="1" applyAlignment="1">
      <alignment horizontal="center"/>
    </xf>
    <xf numFmtId="166" fontId="44" fillId="4" borderId="0" xfId="1" applyFont="1" applyFill="1" applyAlignment="1">
      <alignment horizontal="center"/>
    </xf>
    <xf numFmtId="166" fontId="41" fillId="5" borderId="0" xfId="1" applyFont="1" applyFill="1" applyAlignment="1">
      <alignment horizontal="center"/>
    </xf>
    <xf numFmtId="166" fontId="41" fillId="3" borderId="0" xfId="1" applyFont="1" applyFill="1" applyAlignment="1">
      <alignment horizontal="center"/>
    </xf>
    <xf numFmtId="166" fontId="4" fillId="4" borderId="0" xfId="1" applyFill="1" applyAlignment="1">
      <alignment horizontal="center"/>
    </xf>
    <xf numFmtId="2" fontId="41" fillId="3" borderId="0" xfId="1" applyNumberFormat="1" applyFont="1" applyFill="1" applyAlignment="1">
      <alignment horizontal="center"/>
    </xf>
    <xf numFmtId="0" fontId="6" fillId="5" borderId="1" xfId="0" applyFont="1" applyFill="1" applyBorder="1" applyAlignment="1">
      <alignment horizontal="center"/>
    </xf>
    <xf numFmtId="166" fontId="6" fillId="5" borderId="1" xfId="1" applyFont="1" applyFill="1" applyBorder="1" applyAlignment="1">
      <alignment horizontal="center"/>
    </xf>
    <xf numFmtId="0" fontId="45" fillId="6" borderId="0" xfId="0" applyFont="1" applyFill="1" applyAlignment="1">
      <alignment horizontal="left"/>
    </xf>
    <xf numFmtId="0" fontId="46" fillId="6" borderId="0" xfId="0" applyFont="1" applyFill="1" applyAlignment="1">
      <alignment horizontal="center"/>
    </xf>
    <xf numFmtId="166" fontId="46" fillId="6" borderId="0" xfId="0" applyNumberFormat="1" applyFont="1" applyFill="1" applyAlignment="1">
      <alignment horizontal="center"/>
    </xf>
    <xf numFmtId="2" fontId="6" fillId="5" borderId="1" xfId="1" applyNumberFormat="1" applyFont="1" applyFill="1" applyBorder="1" applyAlignment="1">
      <alignment horizontal="center"/>
    </xf>
    <xf numFmtId="2" fontId="41" fillId="5" borderId="1" xfId="1" applyNumberFormat="1" applyFont="1" applyFill="1" applyBorder="1" applyAlignment="1">
      <alignment horizontal="center"/>
    </xf>
    <xf numFmtId="1" fontId="23" fillId="2" borderId="1" xfId="0" applyNumberFormat="1" applyFont="1" applyFill="1" applyBorder="1" applyAlignment="1">
      <alignment horizontal="center" vertical="center" wrapText="1"/>
    </xf>
    <xf numFmtId="166" fontId="6" fillId="3" borderId="0" xfId="0" applyNumberFormat="1" applyFont="1" applyFill="1" applyAlignment="1">
      <alignment horizontal="center"/>
    </xf>
    <xf numFmtId="0" fontId="6" fillId="3" borderId="0" xfId="0" applyFont="1" applyFill="1"/>
    <xf numFmtId="166" fontId="6" fillId="3" borderId="0" xfId="1" applyFont="1" applyFill="1"/>
    <xf numFmtId="0" fontId="4" fillId="2" borderId="0" xfId="1" applyNumberFormat="1" applyFill="1" applyAlignment="1">
      <alignment horizontal="center"/>
    </xf>
    <xf numFmtId="166" fontId="40" fillId="6" borderId="1" xfId="1" applyFont="1" applyFill="1" applyBorder="1" applyAlignment="1">
      <alignment horizontal="center"/>
    </xf>
    <xf numFmtId="0" fontId="43" fillId="6" borderId="1" xfId="0" applyFont="1" applyFill="1" applyBorder="1" applyAlignment="1">
      <alignment horizontal="center"/>
    </xf>
    <xf numFmtId="0" fontId="6" fillId="5" borderId="9" xfId="0" applyFont="1" applyFill="1" applyBorder="1" applyAlignment="1">
      <alignment horizontal="center"/>
    </xf>
    <xf numFmtId="0" fontId="42" fillId="6" borderId="1" xfId="0" applyFont="1" applyFill="1" applyBorder="1" applyAlignment="1">
      <alignment horizontal="center"/>
    </xf>
    <xf numFmtId="166" fontId="43" fillId="6" borderId="1" xfId="0" applyNumberFormat="1" applyFont="1" applyFill="1" applyBorder="1" applyAlignment="1">
      <alignment horizontal="center"/>
    </xf>
    <xf numFmtId="0" fontId="40" fillId="6" borderId="1" xfId="0" applyFont="1" applyFill="1" applyBorder="1" applyAlignment="1">
      <alignment horizontal="left"/>
    </xf>
    <xf numFmtId="166" fontId="23" fillId="2" borderId="1" xfId="1" applyFont="1" applyFill="1" applyBorder="1" applyAlignment="1">
      <alignment horizontal="center" vertical="center" wrapText="1"/>
    </xf>
    <xf numFmtId="1" fontId="14" fillId="2" borderId="8" xfId="0" applyNumberFormat="1" applyFont="1" applyFill="1" applyBorder="1" applyAlignment="1">
      <alignment horizontal="center" vertical="center" wrapText="1"/>
    </xf>
    <xf numFmtId="1" fontId="23" fillId="2" borderId="9" xfId="0" applyNumberFormat="1" applyFont="1" applyFill="1" applyBorder="1" applyAlignment="1">
      <alignment horizontal="center" vertical="center" wrapText="1"/>
    </xf>
    <xf numFmtId="1" fontId="14" fillId="3" borderId="0" xfId="0" applyNumberFormat="1" applyFont="1" applyFill="1" applyAlignment="1">
      <alignment vertical="center" wrapText="1"/>
    </xf>
    <xf numFmtId="9" fontId="31" fillId="4" borderId="0" xfId="0" applyNumberFormat="1" applyFont="1" applyFill="1" applyAlignment="1">
      <alignment horizontal="center" vertical="center" wrapText="1"/>
    </xf>
    <xf numFmtId="166" fontId="31" fillId="8" borderId="0" xfId="0" applyNumberFormat="1" applyFont="1" applyFill="1" applyAlignment="1">
      <alignment horizontal="center" vertical="center"/>
    </xf>
    <xf numFmtId="166" fontId="31" fillId="8" borderId="0" xfId="3" applyNumberFormat="1" applyFont="1" applyFill="1" applyAlignment="1">
      <alignment horizontal="center" vertical="center" wrapText="1"/>
    </xf>
    <xf numFmtId="166" fontId="31" fillId="8" borderId="0" xfId="1" applyFont="1" applyFill="1" applyAlignment="1">
      <alignment horizontal="center" vertical="center" wrapText="1"/>
    </xf>
    <xf numFmtId="10" fontId="47" fillId="2" borderId="0" xfId="0" applyNumberFormat="1" applyFont="1" applyFill="1" applyAlignment="1">
      <alignment horizontal="center" vertical="center"/>
    </xf>
    <xf numFmtId="166" fontId="47" fillId="2" borderId="0" xfId="0" applyNumberFormat="1" applyFont="1" applyFill="1" applyAlignment="1">
      <alignment vertical="center"/>
    </xf>
    <xf numFmtId="171" fontId="47" fillId="2" borderId="0" xfId="0" applyNumberFormat="1" applyFont="1" applyFill="1" applyAlignment="1">
      <alignment vertical="center"/>
    </xf>
    <xf numFmtId="166" fontId="10" fillId="2" borderId="0" xfId="1" applyFont="1" applyFill="1" applyAlignment="1">
      <alignment horizontal="center" vertical="center"/>
    </xf>
    <xf numFmtId="0" fontId="12" fillId="2" borderId="0" xfId="0" applyFont="1" applyFill="1" applyAlignment="1">
      <alignment horizontal="center" vertical="center"/>
    </xf>
    <xf numFmtId="169" fontId="12" fillId="2" borderId="0" xfId="0" applyNumberFormat="1" applyFont="1" applyFill="1" applyAlignment="1">
      <alignment horizontal="center" vertical="center" wrapText="1"/>
    </xf>
    <xf numFmtId="167" fontId="32" fillId="3" borderId="0" xfId="3" applyNumberFormat="1" applyFont="1" applyFill="1" applyAlignment="1">
      <alignment vertical="center"/>
    </xf>
    <xf numFmtId="0" fontId="12" fillId="4" borderId="1" xfId="3" applyFont="1" applyFill="1" applyBorder="1" applyAlignment="1">
      <alignment vertical="center"/>
    </xf>
    <xf numFmtId="0" fontId="32" fillId="2" borderId="1" xfId="3" applyFont="1" applyFill="1" applyBorder="1" applyAlignment="1">
      <alignment horizontal="center" vertical="center" wrapText="1"/>
    </xf>
    <xf numFmtId="0" fontId="31" fillId="4" borderId="1" xfId="3" applyFont="1" applyFill="1" applyBorder="1" applyAlignment="1" applyProtection="1">
      <alignment vertical="center" wrapText="1"/>
      <protection locked="0"/>
    </xf>
    <xf numFmtId="0" fontId="23" fillId="2" borderId="15" xfId="3" applyFont="1" applyFill="1" applyBorder="1" applyAlignment="1">
      <alignment horizontal="center" vertical="center" wrapText="1"/>
    </xf>
    <xf numFmtId="0" fontId="31" fillId="4" borderId="1" xfId="3" applyFont="1" applyFill="1" applyBorder="1" applyAlignment="1" applyProtection="1">
      <alignment horizontal="center" vertical="center" wrapText="1"/>
      <protection locked="0"/>
    </xf>
    <xf numFmtId="167" fontId="28" fillId="2" borderId="0" xfId="3" applyNumberFormat="1" applyFont="1" applyFill="1" applyAlignment="1">
      <alignment horizontal="center" vertical="center"/>
    </xf>
    <xf numFmtId="0" fontId="50" fillId="3" borderId="1" xfId="3" applyFont="1" applyFill="1" applyBorder="1" applyAlignment="1">
      <alignment horizontal="center" vertical="center" wrapText="1"/>
    </xf>
    <xf numFmtId="167" fontId="11" fillId="3" borderId="1" xfId="3" applyNumberFormat="1" applyFont="1" applyFill="1" applyBorder="1" applyAlignment="1">
      <alignment vertical="center"/>
    </xf>
    <xf numFmtId="0" fontId="32" fillId="3" borderId="1" xfId="3" applyFont="1" applyFill="1" applyBorder="1" applyAlignment="1">
      <alignment horizontal="center" vertical="center" wrapText="1"/>
    </xf>
    <xf numFmtId="167" fontId="28" fillId="3" borderId="1" xfId="3" applyNumberFormat="1" applyFont="1" applyFill="1" applyBorder="1" applyAlignment="1">
      <alignment vertical="center"/>
    </xf>
    <xf numFmtId="0" fontId="3" fillId="3" borderId="1" xfId="3" applyFont="1" applyFill="1" applyBorder="1" applyAlignment="1">
      <alignment horizontal="center" vertical="center" wrapText="1"/>
    </xf>
    <xf numFmtId="166" fontId="24" fillId="2" borderId="0" xfId="0" applyNumberFormat="1" applyFont="1" applyFill="1" applyAlignment="1">
      <alignment horizontal="center" vertical="center"/>
    </xf>
    <xf numFmtId="0" fontId="3" fillId="3" borderId="15" xfId="3" applyFont="1" applyFill="1" applyBorder="1" applyAlignment="1">
      <alignment horizontal="center" vertical="center" wrapText="1"/>
    </xf>
    <xf numFmtId="167" fontId="28" fillId="3" borderId="15" xfId="3" applyNumberFormat="1" applyFont="1" applyFill="1" applyBorder="1" applyAlignment="1">
      <alignment vertical="center"/>
    </xf>
    <xf numFmtId="166" fontId="24" fillId="3" borderId="1" xfId="4" applyFont="1" applyFill="1" applyBorder="1" applyAlignment="1">
      <alignment horizontal="center" vertical="top" wrapText="1"/>
    </xf>
    <xf numFmtId="166" fontId="24" fillId="4" borderId="0" xfId="1" applyFont="1" applyFill="1" applyAlignment="1">
      <alignment horizontal="center" vertical="center" wrapText="1"/>
    </xf>
    <xf numFmtId="166" fontId="24" fillId="2" borderId="0" xfId="1" applyFont="1" applyFill="1" applyAlignment="1">
      <alignment horizontal="center" vertical="center" wrapText="1"/>
    </xf>
    <xf numFmtId="9" fontId="50" fillId="4" borderId="0" xfId="0" applyNumberFormat="1" applyFont="1" applyFill="1" applyAlignment="1">
      <alignment horizontal="center" vertical="center" wrapText="1"/>
    </xf>
    <xf numFmtId="0" fontId="31" fillId="3" borderId="0" xfId="3" applyFont="1" applyFill="1" applyAlignment="1">
      <alignment horizontal="left" vertical="center" wrapText="1"/>
    </xf>
    <xf numFmtId="166" fontId="4" fillId="2" borderId="0" xfId="1" applyFill="1" applyAlignment="1">
      <alignment vertical="top" wrapText="1"/>
    </xf>
    <xf numFmtId="0" fontId="22" fillId="2" borderId="0" xfId="0" applyFont="1" applyFill="1" applyAlignment="1">
      <alignment horizontal="center" vertical="center"/>
    </xf>
    <xf numFmtId="167" fontId="22" fillId="2" borderId="0" xfId="0" applyNumberFormat="1" applyFont="1" applyFill="1" applyAlignment="1">
      <alignment horizontal="center" vertical="center"/>
    </xf>
    <xf numFmtId="167" fontId="8" fillId="2" borderId="0" xfId="0" applyNumberFormat="1" applyFont="1" applyFill="1" applyAlignment="1">
      <alignment horizontal="center" vertical="center"/>
    </xf>
    <xf numFmtId="164" fontId="8" fillId="2" borderId="0" xfId="0" applyNumberFormat="1" applyFont="1" applyFill="1" applyAlignment="1">
      <alignment horizontal="center" vertical="center"/>
    </xf>
    <xf numFmtId="0" fontId="12" fillId="7" borderId="0" xfId="0" applyFont="1" applyFill="1"/>
    <xf numFmtId="166" fontId="12" fillId="7" borderId="0" xfId="0" applyNumberFormat="1" applyFont="1" applyFill="1" applyAlignment="1">
      <alignment horizontal="center"/>
    </xf>
    <xf numFmtId="0" fontId="31" fillId="4" borderId="0" xfId="0" applyFont="1" applyFill="1" applyAlignment="1">
      <alignment horizontal="center"/>
    </xf>
    <xf numFmtId="0" fontId="0" fillId="0" borderId="0" xfId="0" applyAlignment="1">
      <alignment horizontal="center"/>
    </xf>
    <xf numFmtId="17" fontId="50" fillId="0" borderId="0" xfId="0" applyNumberFormat="1" applyFont="1" applyAlignment="1">
      <alignment horizontal="center"/>
    </xf>
    <xf numFmtId="0" fontId="50" fillId="0" borderId="16" xfId="0" applyFont="1" applyBorder="1" applyAlignment="1">
      <alignment horizontal="center"/>
    </xf>
    <xf numFmtId="0" fontId="50" fillId="0" borderId="17" xfId="0" applyFont="1" applyBorder="1" applyAlignment="1">
      <alignment horizontal="center"/>
    </xf>
    <xf numFmtId="0" fontId="0" fillId="0" borderId="27" xfId="0" applyBorder="1"/>
    <xf numFmtId="0" fontId="50" fillId="13" borderId="28" xfId="0" applyFont="1" applyFill="1" applyBorder="1" applyAlignment="1">
      <alignment horizontal="center"/>
    </xf>
    <xf numFmtId="0" fontId="50" fillId="4" borderId="29" xfId="0" applyFont="1" applyFill="1" applyBorder="1" applyAlignment="1">
      <alignment horizontal="center"/>
    </xf>
    <xf numFmtId="0" fontId="50" fillId="0" borderId="15" xfId="0" applyFont="1" applyBorder="1" applyAlignment="1">
      <alignment horizontal="center"/>
    </xf>
    <xf numFmtId="0" fontId="50" fillId="12" borderId="15" xfId="0" applyFont="1" applyFill="1" applyBorder="1" applyAlignment="1">
      <alignment horizontal="center"/>
    </xf>
    <xf numFmtId="0" fontId="50" fillId="4" borderId="15" xfId="0" applyFont="1" applyFill="1" applyBorder="1" applyAlignment="1">
      <alignment horizontal="center"/>
    </xf>
    <xf numFmtId="0" fontId="50" fillId="2" borderId="15" xfId="0" applyFont="1" applyFill="1" applyBorder="1" applyAlignment="1">
      <alignment horizontal="center"/>
    </xf>
    <xf numFmtId="0" fontId="0" fillId="0" borderId="24" xfId="0" applyBorder="1"/>
    <xf numFmtId="0" fontId="0" fillId="13" borderId="30" xfId="0" applyFill="1" applyBorder="1"/>
    <xf numFmtId="0" fontId="50" fillId="0" borderId="28" xfId="0" applyFont="1" applyBorder="1"/>
    <xf numFmtId="173" fontId="0" fillId="4" borderId="16" xfId="0" applyNumberFormat="1" applyFill="1" applyBorder="1" applyAlignment="1">
      <alignment horizontal="center"/>
    </xf>
    <xf numFmtId="0" fontId="0" fillId="4" borderId="17" xfId="0" applyFill="1" applyBorder="1" applyAlignment="1">
      <alignment horizontal="center"/>
    </xf>
    <xf numFmtId="166" fontId="0" fillId="12" borderId="17" xfId="1" applyFont="1" applyFill="1" applyBorder="1" applyAlignment="1">
      <alignment horizontal="center"/>
    </xf>
    <xf numFmtId="0" fontId="0" fillId="12" borderId="17" xfId="0" applyFill="1" applyBorder="1" applyAlignment="1">
      <alignment horizontal="center"/>
    </xf>
    <xf numFmtId="173" fontId="0" fillId="4" borderId="17" xfId="0" applyNumberFormat="1" applyFill="1" applyBorder="1" applyAlignment="1">
      <alignment horizontal="center"/>
    </xf>
    <xf numFmtId="173" fontId="0" fillId="12" borderId="17" xfId="0" applyNumberFormat="1" applyFill="1" applyBorder="1" applyAlignment="1">
      <alignment horizontal="center"/>
    </xf>
    <xf numFmtId="0" fontId="0" fillId="0" borderId="27" xfId="0" applyBorder="1" applyAlignment="1">
      <alignment horizontal="center"/>
    </xf>
    <xf numFmtId="173" fontId="0" fillId="13" borderId="28" xfId="0" applyNumberFormat="1" applyFill="1" applyBorder="1"/>
    <xf numFmtId="0" fontId="50" fillId="0" borderId="31" xfId="0" applyFont="1" applyBorder="1"/>
    <xf numFmtId="173" fontId="0" fillId="4" borderId="19" xfId="0" applyNumberFormat="1" applyFill="1" applyBorder="1" applyAlignment="1">
      <alignment horizontal="center"/>
    </xf>
    <xf numFmtId="0" fontId="0" fillId="4" borderId="1" xfId="0" applyFill="1" applyBorder="1" applyAlignment="1">
      <alignment horizontal="center"/>
    </xf>
    <xf numFmtId="166" fontId="0" fillId="12" borderId="1" xfId="1" applyFont="1" applyFill="1" applyBorder="1" applyAlignment="1">
      <alignment horizontal="center"/>
    </xf>
    <xf numFmtId="0" fontId="0" fillId="12" borderId="1" xfId="0" applyFill="1" applyBorder="1" applyAlignment="1">
      <alignment horizontal="center"/>
    </xf>
    <xf numFmtId="173" fontId="0" fillId="4" borderId="1" xfId="0" applyNumberFormat="1" applyFill="1" applyBorder="1" applyAlignment="1">
      <alignment horizontal="center"/>
    </xf>
    <xf numFmtId="173" fontId="0" fillId="12" borderId="1" xfId="0" applyNumberFormat="1" applyFill="1" applyBorder="1" applyAlignment="1">
      <alignment horizontal="center"/>
    </xf>
    <xf numFmtId="0" fontId="0" fillId="0" borderId="8" xfId="0" applyBorder="1" applyAlignment="1">
      <alignment horizontal="center"/>
    </xf>
    <xf numFmtId="0" fontId="0" fillId="0" borderId="8" xfId="0" applyBorder="1"/>
    <xf numFmtId="173" fontId="0" fillId="13" borderId="31" xfId="0" applyNumberFormat="1" applyFill="1" applyBorder="1"/>
    <xf numFmtId="0" fontId="0" fillId="0" borderId="31" xfId="0" applyBorder="1"/>
    <xf numFmtId="0" fontId="0" fillId="0" borderId="19" xfId="0" applyBorder="1" applyAlignment="1">
      <alignment horizontal="center"/>
    </xf>
    <xf numFmtId="0" fontId="0" fillId="0" borderId="1" xfId="0" applyBorder="1" applyAlignment="1">
      <alignment horizontal="center"/>
    </xf>
    <xf numFmtId="0" fontId="50" fillId="0" borderId="30" xfId="0" applyFont="1" applyBorder="1"/>
    <xf numFmtId="0" fontId="0" fillId="0" borderId="29" xfId="0" applyBorder="1" applyAlignment="1">
      <alignment horizontal="center"/>
    </xf>
    <xf numFmtId="0" fontId="0" fillId="0" borderId="15" xfId="0" applyBorder="1" applyAlignment="1">
      <alignment horizontal="center"/>
    </xf>
    <xf numFmtId="0" fontId="0" fillId="0" borderId="24" xfId="0" applyBorder="1" applyAlignment="1">
      <alignment horizontal="center"/>
    </xf>
    <xf numFmtId="9" fontId="50" fillId="0" borderId="24" xfId="0" applyNumberFormat="1" applyFont="1" applyBorder="1" applyAlignment="1">
      <alignment horizontal="center"/>
    </xf>
    <xf numFmtId="173" fontId="0" fillId="13" borderId="30" xfId="0" applyNumberFormat="1" applyFill="1" applyBorder="1"/>
    <xf numFmtId="0" fontId="0" fillId="0" borderId="32" xfId="0" applyBorder="1"/>
    <xf numFmtId="0" fontId="0" fillId="0" borderId="21" xfId="0" applyBorder="1" applyAlignment="1">
      <alignment horizontal="center"/>
    </xf>
    <xf numFmtId="0" fontId="0" fillId="0" borderId="22" xfId="0" applyBorder="1" applyAlignment="1">
      <alignment horizontal="center"/>
    </xf>
    <xf numFmtId="0" fontId="0" fillId="0" borderId="33" xfId="0" applyBorder="1" applyAlignment="1">
      <alignment horizontal="center"/>
    </xf>
    <xf numFmtId="0" fontId="50" fillId="0" borderId="33" xfId="0" applyFont="1" applyBorder="1" applyAlignment="1">
      <alignment horizontal="center"/>
    </xf>
    <xf numFmtId="173" fontId="0" fillId="13" borderId="32" xfId="0" applyNumberFormat="1" applyFill="1" applyBorder="1"/>
    <xf numFmtId="0" fontId="50" fillId="2" borderId="17" xfId="0" applyFont="1" applyFill="1" applyBorder="1" applyAlignment="1">
      <alignment horizontal="center"/>
    </xf>
    <xf numFmtId="0" fontId="50" fillId="0" borderId="24" xfId="0" applyFont="1" applyBorder="1" applyAlignment="1">
      <alignment horizontal="center"/>
    </xf>
    <xf numFmtId="173" fontId="0" fillId="0" borderId="19" xfId="0" applyNumberFormat="1" applyBorder="1" applyAlignment="1">
      <alignment horizontal="center"/>
    </xf>
    <xf numFmtId="166" fontId="0" fillId="0" borderId="1" xfId="1" applyFont="1" applyBorder="1" applyAlignment="1">
      <alignment horizontal="center"/>
    </xf>
    <xf numFmtId="173" fontId="0" fillId="0" borderId="1" xfId="0" applyNumberFormat="1" applyBorder="1" applyAlignment="1">
      <alignment horizontal="center"/>
    </xf>
    <xf numFmtId="173" fontId="0" fillId="4" borderId="27" xfId="0" applyNumberFormat="1" applyFill="1" applyBorder="1" applyAlignment="1">
      <alignment horizontal="center"/>
    </xf>
    <xf numFmtId="173" fontId="0" fillId="4" borderId="8" xfId="0" applyNumberFormat="1" applyFill="1" applyBorder="1" applyAlignment="1">
      <alignment horizontal="center"/>
    </xf>
    <xf numFmtId="0" fontId="6" fillId="11" borderId="13" xfId="0" applyFont="1" applyFill="1" applyBorder="1" applyAlignment="1">
      <alignment horizontal="center" vertical="center"/>
    </xf>
    <xf numFmtId="173" fontId="6" fillId="4" borderId="5" xfId="0" applyNumberFormat="1" applyFont="1" applyFill="1" applyBorder="1"/>
    <xf numFmtId="166" fontId="52" fillId="4" borderId="0" xfId="0" applyNumberFormat="1" applyFont="1" applyFill="1" applyAlignment="1">
      <alignment horizontal="center" vertical="center"/>
    </xf>
    <xf numFmtId="0" fontId="51" fillId="4" borderId="0" xfId="0" applyFont="1" applyFill="1" applyAlignment="1">
      <alignment horizontal="center" vertical="center"/>
    </xf>
    <xf numFmtId="167" fontId="31" fillId="4" borderId="0" xfId="0" applyNumberFormat="1" applyFont="1" applyFill="1" applyAlignment="1">
      <alignment horizontal="center" vertical="center"/>
    </xf>
    <xf numFmtId="0" fontId="52" fillId="4" borderId="0" xfId="0" applyFont="1" applyFill="1" applyAlignment="1">
      <alignment horizontal="center"/>
    </xf>
    <xf numFmtId="0" fontId="51" fillId="4" borderId="0" xfId="0" applyFont="1" applyFill="1" applyAlignment="1">
      <alignment horizontal="center"/>
    </xf>
    <xf numFmtId="167" fontId="53" fillId="4" borderId="0" xfId="0" applyNumberFormat="1" applyFont="1" applyFill="1" applyAlignment="1">
      <alignment horizontal="center" vertical="center"/>
    </xf>
    <xf numFmtId="0" fontId="53" fillId="4" borderId="0" xfId="0" applyFont="1" applyFill="1" applyAlignment="1">
      <alignment horizontal="center"/>
    </xf>
    <xf numFmtId="168" fontId="7" fillId="3" borderId="0" xfId="0" applyNumberFormat="1" applyFont="1" applyFill="1"/>
    <xf numFmtId="168" fontId="54" fillId="3" borderId="7" xfId="0" applyNumberFormat="1" applyFont="1" applyFill="1" applyBorder="1"/>
    <xf numFmtId="0" fontId="4" fillId="3" borderId="0" xfId="0" applyFont="1" applyFill="1" applyAlignment="1">
      <alignment horizontal="center" vertical="center"/>
    </xf>
    <xf numFmtId="168" fontId="7" fillId="3" borderId="3" xfId="0" applyNumberFormat="1" applyFont="1" applyFill="1" applyBorder="1" applyAlignment="1">
      <alignment horizontal="center" vertical="center"/>
    </xf>
    <xf numFmtId="0" fontId="50" fillId="0" borderId="3" xfId="0" applyFont="1" applyBorder="1" applyAlignment="1">
      <alignment horizontal="left" vertical="center"/>
    </xf>
    <xf numFmtId="0" fontId="50" fillId="0" borderId="4" xfId="0" applyFont="1" applyBorder="1" applyAlignment="1">
      <alignment horizontal="left" vertical="center"/>
    </xf>
    <xf numFmtId="166" fontId="49" fillId="2" borderId="16" xfId="0" applyNumberFormat="1" applyFont="1" applyFill="1" applyBorder="1" applyAlignment="1">
      <alignment horizontal="right" vertical="center"/>
    </xf>
    <xf numFmtId="1" fontId="12" fillId="2" borderId="18" xfId="4" applyNumberFormat="1" applyFont="1" applyFill="1" applyBorder="1" applyAlignment="1">
      <alignment horizontal="center" vertical="center"/>
    </xf>
    <xf numFmtId="0" fontId="49" fillId="2" borderId="29" xfId="0" applyFont="1" applyFill="1" applyBorder="1" applyAlignment="1">
      <alignment horizontal="right" vertical="center"/>
    </xf>
    <xf numFmtId="171" fontId="49" fillId="2" borderId="10" xfId="0" applyNumberFormat="1" applyFont="1" applyFill="1" applyBorder="1" applyAlignment="1">
      <alignment horizontal="right" vertical="center"/>
    </xf>
    <xf numFmtId="0" fontId="12" fillId="2" borderId="34" xfId="0" applyFont="1" applyFill="1" applyBorder="1" applyAlignment="1" applyProtection="1">
      <alignment horizontal="center" vertical="center"/>
      <protection hidden="1"/>
    </xf>
    <xf numFmtId="2" fontId="31" fillId="5" borderId="11" xfId="4" applyNumberFormat="1" applyFont="1" applyFill="1" applyBorder="1" applyAlignment="1" applyProtection="1">
      <alignment horizontal="center" vertical="center"/>
      <protection hidden="1"/>
    </xf>
    <xf numFmtId="0" fontId="31" fillId="8" borderId="0" xfId="0" applyFont="1" applyFill="1" applyAlignment="1">
      <alignment horizontal="center" vertical="center" wrapText="1"/>
    </xf>
    <xf numFmtId="166" fontId="31" fillId="2" borderId="0" xfId="4" applyFont="1" applyFill="1"/>
    <xf numFmtId="172" fontId="31" fillId="2" borderId="0" xfId="4" applyNumberFormat="1" applyFont="1" applyFill="1" applyProtection="1">
      <protection hidden="1"/>
    </xf>
    <xf numFmtId="166" fontId="31" fillId="2" borderId="0" xfId="4" applyFont="1" applyFill="1" applyAlignment="1">
      <alignment horizontal="left" vertical="center"/>
    </xf>
    <xf numFmtId="166" fontId="31" fillId="11" borderId="12" xfId="4" applyFont="1" applyFill="1" applyBorder="1" applyAlignment="1">
      <alignment horizontal="left" vertical="center"/>
    </xf>
    <xf numFmtId="172" fontId="31" fillId="11" borderId="4" xfId="4" applyNumberFormat="1" applyFont="1" applyFill="1" applyBorder="1" applyProtection="1">
      <protection hidden="1"/>
    </xf>
    <xf numFmtId="0" fontId="57" fillId="3" borderId="0" xfId="0" applyFont="1" applyFill="1" applyAlignment="1">
      <alignment vertical="top" wrapText="1"/>
    </xf>
    <xf numFmtId="0" fontId="58" fillId="3" borderId="0" xfId="0" applyFont="1" applyFill="1" applyAlignment="1">
      <alignment vertical="top" wrapText="1"/>
    </xf>
    <xf numFmtId="0" fontId="32" fillId="3" borderId="0" xfId="0" applyFont="1" applyFill="1" applyAlignment="1">
      <alignment vertical="top" wrapText="1"/>
    </xf>
    <xf numFmtId="0" fontId="59" fillId="3" borderId="0" xfId="0" applyFont="1" applyFill="1" applyAlignment="1">
      <alignment vertical="top" wrapText="1"/>
    </xf>
    <xf numFmtId="17" fontId="22" fillId="3" borderId="0" xfId="0" applyNumberFormat="1" applyFont="1" applyFill="1" applyAlignment="1">
      <alignment horizontal="center" vertical="center"/>
    </xf>
    <xf numFmtId="0" fontId="62" fillId="2" borderId="0" xfId="0" applyFont="1" applyFill="1" applyAlignment="1">
      <alignment vertical="center"/>
    </xf>
    <xf numFmtId="0" fontId="8" fillId="3" borderId="0" xfId="0" applyFont="1" applyFill="1" applyAlignment="1">
      <alignment horizontal="left" vertical="top" wrapText="1"/>
    </xf>
    <xf numFmtId="0" fontId="8" fillId="14" borderId="0" xfId="0" applyFont="1" applyFill="1" applyAlignment="1">
      <alignment vertical="top" wrapText="1"/>
    </xf>
    <xf numFmtId="0" fontId="31" fillId="8" borderId="0" xfId="0" applyFont="1" applyFill="1" applyAlignment="1">
      <alignment horizontal="left" vertical="center" wrapText="1"/>
    </xf>
    <xf numFmtId="0" fontId="28" fillId="8" borderId="0" xfId="0" applyFont="1" applyFill="1" applyAlignment="1">
      <alignment horizontal="left" vertical="top" wrapText="1"/>
    </xf>
    <xf numFmtId="166" fontId="56" fillId="2" borderId="0" xfId="1" applyFont="1" applyFill="1"/>
    <xf numFmtId="166" fontId="6" fillId="2" borderId="0" xfId="1" applyFont="1" applyFill="1" applyAlignment="1">
      <alignment horizontal="left" vertical="center"/>
    </xf>
    <xf numFmtId="166" fontId="5" fillId="2" borderId="0" xfId="1" applyFont="1" applyFill="1" applyAlignment="1">
      <alignment horizontal="left" vertical="center"/>
    </xf>
    <xf numFmtId="0" fontId="63" fillId="2" borderId="0" xfId="1" applyNumberFormat="1" applyFont="1" applyFill="1" applyAlignment="1">
      <alignment horizontal="left" vertical="center"/>
    </xf>
    <xf numFmtId="166" fontId="64" fillId="2" borderId="0" xfId="1" applyFont="1" applyFill="1"/>
    <xf numFmtId="166" fontId="64" fillId="2" borderId="0" xfId="1" applyFont="1" applyFill="1" applyAlignment="1">
      <alignment horizontal="left"/>
    </xf>
    <xf numFmtId="166" fontId="64" fillId="2" borderId="0" xfId="0" applyNumberFormat="1" applyFont="1" applyFill="1"/>
    <xf numFmtId="166" fontId="64" fillId="2" borderId="0" xfId="4" applyFont="1" applyFill="1"/>
    <xf numFmtId="166" fontId="65" fillId="2" borderId="0" xfId="1" applyFont="1" applyFill="1"/>
    <xf numFmtId="166" fontId="66" fillId="2" borderId="0" xfId="1" applyFont="1" applyFill="1"/>
    <xf numFmtId="166" fontId="64" fillId="2" borderId="0" xfId="1" applyFont="1" applyFill="1" applyAlignment="1">
      <alignment horizontal="right" vertical="top" wrapText="1"/>
    </xf>
    <xf numFmtId="166" fontId="64" fillId="2" borderId="0" xfId="1" applyFont="1" applyFill="1" applyAlignment="1">
      <alignment vertical="top" wrapText="1"/>
    </xf>
    <xf numFmtId="0" fontId="6" fillId="16" borderId="1" xfId="0" applyFont="1" applyFill="1" applyBorder="1" applyAlignment="1">
      <alignment horizontal="left"/>
    </xf>
    <xf numFmtId="0" fontId="6" fillId="0" borderId="0" xfId="0" applyFont="1"/>
    <xf numFmtId="0" fontId="0" fillId="0" borderId="1" xfId="0" applyBorder="1" applyAlignment="1">
      <alignment horizontal="left"/>
    </xf>
    <xf numFmtId="166" fontId="0" fillId="0" borderId="1" xfId="1" applyFont="1" applyBorder="1" applyAlignment="1">
      <alignment horizontal="left"/>
    </xf>
    <xf numFmtId="0" fontId="0" fillId="16" borderId="1" xfId="0" applyFill="1" applyBorder="1" applyAlignment="1">
      <alignment horizontal="left"/>
    </xf>
    <xf numFmtId="0" fontId="0" fillId="16" borderId="1" xfId="0" applyFill="1" applyBorder="1" applyAlignment="1">
      <alignment horizontal="right"/>
    </xf>
    <xf numFmtId="0" fontId="61"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6" fontId="0" fillId="0" borderId="0" xfId="1" applyFont="1" applyAlignment="1">
      <alignment horizontal="left"/>
    </xf>
    <xf numFmtId="0" fontId="67" fillId="0" borderId="1" xfId="0" applyFont="1" applyBorder="1"/>
    <xf numFmtId="166" fontId="67" fillId="0" borderId="1" xfId="0" applyNumberFormat="1" applyFont="1" applyBorder="1" applyAlignment="1">
      <alignment horizontal="left"/>
    </xf>
    <xf numFmtId="167" fontId="10" fillId="14" borderId="2" xfId="3" applyNumberFormat="1" applyFont="1" applyFill="1" applyBorder="1" applyAlignment="1">
      <alignment vertical="center"/>
    </xf>
    <xf numFmtId="167" fontId="10" fillId="14" borderId="0" xfId="3" applyNumberFormat="1" applyFont="1" applyFill="1" applyAlignment="1">
      <alignment vertical="center"/>
    </xf>
    <xf numFmtId="0" fontId="4" fillId="2" borderId="8" xfId="1" applyNumberFormat="1" applyFill="1" applyBorder="1" applyAlignment="1">
      <alignment horizontal="left" vertical="center"/>
    </xf>
    <xf numFmtId="9" fontId="4" fillId="2" borderId="35" xfId="1" applyNumberFormat="1" applyFill="1" applyBorder="1" applyAlignment="1">
      <alignment horizontal="left" vertical="center"/>
    </xf>
    <xf numFmtId="166" fontId="4" fillId="2" borderId="7" xfId="1" applyFill="1" applyBorder="1" applyAlignment="1">
      <alignment horizontal="left"/>
    </xf>
    <xf numFmtId="173" fontId="4" fillId="4" borderId="1" xfId="0" applyNumberFormat="1" applyFont="1" applyFill="1" applyBorder="1" applyAlignment="1">
      <alignment horizontal="center"/>
    </xf>
    <xf numFmtId="166" fontId="4" fillId="12" borderId="1" xfId="1" applyFill="1" applyBorder="1" applyAlignment="1">
      <alignment horizontal="center"/>
    </xf>
    <xf numFmtId="0" fontId="0" fillId="0" borderId="17" xfId="0" applyBorder="1" applyAlignment="1">
      <alignment horizontal="center"/>
    </xf>
    <xf numFmtId="0" fontId="31" fillId="0" borderId="8" xfId="0" applyFont="1" applyBorder="1" applyAlignment="1">
      <alignment horizontal="center"/>
    </xf>
    <xf numFmtId="0" fontId="31" fillId="0" borderId="24" xfId="0" applyFont="1" applyBorder="1" applyAlignment="1">
      <alignment horizontal="center"/>
    </xf>
    <xf numFmtId="0" fontId="68" fillId="4" borderId="1" xfId="0" applyFont="1" applyFill="1" applyBorder="1" applyAlignment="1">
      <alignment horizontal="center" vertical="center"/>
    </xf>
    <xf numFmtId="166" fontId="68" fillId="4" borderId="1" xfId="0" applyNumberFormat="1" applyFont="1" applyFill="1" applyBorder="1" applyAlignment="1">
      <alignment horizontal="center" vertical="center"/>
    </xf>
    <xf numFmtId="0" fontId="69" fillId="3" borderId="0" xfId="0" applyFont="1" applyFill="1" applyAlignment="1">
      <alignment horizontal="center" vertical="center"/>
    </xf>
    <xf numFmtId="0" fontId="69" fillId="3" borderId="0" xfId="0" applyFont="1" applyFill="1" applyAlignment="1">
      <alignment vertical="center"/>
    </xf>
    <xf numFmtId="0" fontId="69" fillId="3" borderId="0" xfId="0" applyFont="1" applyFill="1" applyAlignment="1">
      <alignment horizontal="left" vertical="center"/>
    </xf>
    <xf numFmtId="0" fontId="70" fillId="4" borderId="1" xfId="0" applyFont="1" applyFill="1" applyBorder="1" applyAlignment="1">
      <alignment horizontal="center"/>
    </xf>
    <xf numFmtId="0" fontId="72" fillId="3" borderId="1" xfId="0" applyFont="1" applyFill="1" applyBorder="1" applyAlignment="1">
      <alignment horizontal="center"/>
    </xf>
    <xf numFmtId="166" fontId="72" fillId="3" borderId="1" xfId="0" applyNumberFormat="1" applyFont="1" applyFill="1" applyBorder="1" applyAlignment="1">
      <alignment horizontal="center"/>
    </xf>
    <xf numFmtId="0" fontId="72" fillId="3" borderId="0" xfId="0" applyFont="1" applyFill="1" applyAlignment="1">
      <alignment horizontal="center"/>
    </xf>
    <xf numFmtId="0" fontId="72" fillId="3" borderId="0" xfId="0" applyFont="1" applyFill="1"/>
    <xf numFmtId="166" fontId="72" fillId="3" borderId="0" xfId="0" applyNumberFormat="1" applyFont="1" applyFill="1" applyAlignment="1">
      <alignment horizontal="left"/>
    </xf>
    <xf numFmtId="0" fontId="72" fillId="3" borderId="0" xfId="0" applyFont="1" applyFill="1" applyAlignment="1">
      <alignment horizontal="left"/>
    </xf>
    <xf numFmtId="166" fontId="72" fillId="3" borderId="1" xfId="1" applyFont="1" applyFill="1" applyBorder="1" applyAlignment="1">
      <alignment horizontal="center"/>
    </xf>
    <xf numFmtId="0" fontId="72" fillId="3" borderId="0" xfId="0" applyFont="1" applyFill="1" applyAlignment="1">
      <alignment vertical="center" wrapText="1"/>
    </xf>
    <xf numFmtId="166" fontId="70" fillId="4" borderId="1" xfId="0" applyNumberFormat="1" applyFont="1" applyFill="1" applyBorder="1" applyAlignment="1">
      <alignment horizontal="center"/>
    </xf>
    <xf numFmtId="0" fontId="70" fillId="4" borderId="15" xfId="0" applyFont="1" applyFill="1" applyBorder="1" applyAlignment="1">
      <alignment horizontal="center"/>
    </xf>
    <xf numFmtId="0" fontId="72" fillId="3" borderId="15" xfId="0" applyFont="1" applyFill="1" applyBorder="1" applyAlignment="1">
      <alignment horizontal="center"/>
    </xf>
    <xf numFmtId="166" fontId="72" fillId="3" borderId="15" xfId="0" applyNumberFormat="1" applyFont="1" applyFill="1" applyBorder="1" applyAlignment="1">
      <alignment horizontal="center"/>
    </xf>
    <xf numFmtId="0" fontId="70" fillId="4" borderId="16" xfId="0" applyFont="1" applyFill="1" applyBorder="1" applyAlignment="1">
      <alignment horizontal="center"/>
    </xf>
    <xf numFmtId="0" fontId="70" fillId="4" borderId="17" xfId="0" applyFont="1" applyFill="1" applyBorder="1" applyAlignment="1">
      <alignment horizontal="center"/>
    </xf>
    <xf numFmtId="0" fontId="70" fillId="4" borderId="18" xfId="0" applyFont="1" applyFill="1" applyBorder="1" applyAlignment="1">
      <alignment horizontal="center"/>
    </xf>
    <xf numFmtId="0" fontId="72" fillId="3" borderId="17" xfId="0" applyFont="1" applyFill="1" applyBorder="1" applyAlignment="1">
      <alignment horizontal="center"/>
    </xf>
    <xf numFmtId="166" fontId="72" fillId="3" borderId="17" xfId="0" applyNumberFormat="1" applyFont="1" applyFill="1" applyBorder="1" applyAlignment="1">
      <alignment horizontal="center"/>
    </xf>
    <xf numFmtId="166" fontId="72" fillId="3" borderId="17" xfId="1" applyFont="1" applyFill="1" applyBorder="1" applyAlignment="1">
      <alignment horizontal="center"/>
    </xf>
    <xf numFmtId="166" fontId="72" fillId="3" borderId="18" xfId="0" applyNumberFormat="1" applyFont="1" applyFill="1" applyBorder="1" applyAlignment="1">
      <alignment horizontal="center"/>
    </xf>
    <xf numFmtId="0" fontId="70" fillId="4" borderId="20" xfId="0" applyFont="1" applyFill="1" applyBorder="1" applyAlignment="1">
      <alignment horizontal="center"/>
    </xf>
    <xf numFmtId="166" fontId="72" fillId="3" borderId="20" xfId="0" applyNumberFormat="1" applyFont="1" applyFill="1" applyBorder="1" applyAlignment="1">
      <alignment horizontal="center"/>
    </xf>
    <xf numFmtId="0" fontId="70" fillId="4" borderId="22" xfId="0" applyFont="1" applyFill="1" applyBorder="1" applyAlignment="1">
      <alignment horizontal="center"/>
    </xf>
    <xf numFmtId="0" fontId="70" fillId="4" borderId="23" xfId="0" applyFont="1" applyFill="1" applyBorder="1" applyAlignment="1">
      <alignment horizontal="center"/>
    </xf>
    <xf numFmtId="166" fontId="72" fillId="3" borderId="22" xfId="0" applyNumberFormat="1" applyFont="1" applyFill="1" applyBorder="1" applyAlignment="1">
      <alignment horizontal="center"/>
    </xf>
    <xf numFmtId="166" fontId="72" fillId="3" borderId="22" xfId="1" applyFont="1" applyFill="1" applyBorder="1" applyAlignment="1">
      <alignment horizontal="center"/>
    </xf>
    <xf numFmtId="0" fontId="72" fillId="3" borderId="22" xfId="0" applyFont="1" applyFill="1" applyBorder="1" applyAlignment="1">
      <alignment horizontal="center"/>
    </xf>
    <xf numFmtId="166" fontId="72" fillId="3" borderId="23" xfId="0" applyNumberFormat="1" applyFont="1" applyFill="1" applyBorder="1" applyAlignment="1">
      <alignment horizontal="center"/>
    </xf>
    <xf numFmtId="0" fontId="70" fillId="10" borderId="16" xfId="0" applyFont="1" applyFill="1" applyBorder="1" applyAlignment="1">
      <alignment horizontal="center"/>
    </xf>
    <xf numFmtId="0" fontId="70" fillId="10" borderId="19" xfId="0" applyFont="1" applyFill="1" applyBorder="1" applyAlignment="1">
      <alignment horizontal="center"/>
    </xf>
    <xf numFmtId="0" fontId="70" fillId="4" borderId="0" xfId="0" applyFont="1" applyFill="1" applyAlignment="1">
      <alignment horizontal="left"/>
    </xf>
    <xf numFmtId="0" fontId="70" fillId="4" borderId="0" xfId="0" applyFont="1" applyFill="1" applyAlignment="1">
      <alignment horizontal="center"/>
    </xf>
    <xf numFmtId="166" fontId="70" fillId="4" borderId="0" xfId="0" applyNumberFormat="1" applyFont="1" applyFill="1" applyAlignment="1">
      <alignment horizontal="center"/>
    </xf>
    <xf numFmtId="0" fontId="71" fillId="3" borderId="0" xfId="0" applyFont="1" applyFill="1" applyAlignment="1">
      <alignment horizontal="center"/>
    </xf>
    <xf numFmtId="166" fontId="72" fillId="3" borderId="0" xfId="0" applyNumberFormat="1" applyFont="1" applyFill="1" applyAlignment="1">
      <alignment horizontal="center"/>
    </xf>
    <xf numFmtId="0" fontId="76" fillId="2" borderId="0" xfId="0" applyFont="1" applyFill="1" applyAlignment="1">
      <alignment horizontal="center" vertical="center"/>
    </xf>
    <xf numFmtId="0" fontId="77" fillId="3" borderId="0" xfId="0" applyFont="1" applyFill="1" applyAlignment="1">
      <alignment vertical="center"/>
    </xf>
    <xf numFmtId="1" fontId="78" fillId="3" borderId="0" xfId="0" applyNumberFormat="1" applyFont="1" applyFill="1" applyAlignment="1">
      <alignment horizontal="center" vertical="center"/>
    </xf>
    <xf numFmtId="166" fontId="78" fillId="3" borderId="0" xfId="0" applyNumberFormat="1" applyFont="1" applyFill="1" applyAlignment="1">
      <alignment horizontal="center" vertical="center"/>
    </xf>
    <xf numFmtId="0" fontId="78" fillId="3" borderId="0" xfId="0" applyFont="1" applyFill="1" applyAlignment="1">
      <alignment horizontal="center" vertical="center"/>
    </xf>
    <xf numFmtId="2" fontId="78" fillId="3" borderId="0" xfId="0" applyNumberFormat="1" applyFont="1" applyFill="1" applyAlignment="1">
      <alignment horizontal="center" vertical="center"/>
    </xf>
    <xf numFmtId="169" fontId="78" fillId="3" borderId="0" xfId="0" applyNumberFormat="1" applyFont="1" applyFill="1" applyAlignment="1">
      <alignment horizontal="center" vertical="center"/>
    </xf>
    <xf numFmtId="0" fontId="78" fillId="0" borderId="0" xfId="0" applyFont="1" applyAlignment="1">
      <alignment vertical="center"/>
    </xf>
    <xf numFmtId="0" fontId="77" fillId="0" borderId="0" xfId="0" applyFont="1" applyAlignment="1">
      <alignment vertical="center"/>
    </xf>
    <xf numFmtId="167" fontId="77" fillId="0" borderId="0" xfId="0" applyNumberFormat="1" applyFont="1" applyAlignment="1">
      <alignment vertical="center"/>
    </xf>
    <xf numFmtId="169" fontId="78" fillId="0" borderId="0" xfId="0" applyNumberFormat="1" applyFont="1" applyAlignment="1">
      <alignment vertical="center"/>
    </xf>
    <xf numFmtId="0" fontId="79" fillId="0" borderId="0" xfId="0" applyFont="1" applyAlignment="1">
      <alignment vertical="center"/>
    </xf>
    <xf numFmtId="169" fontId="80" fillId="0" borderId="0" xfId="0" applyNumberFormat="1" applyFont="1" applyAlignment="1">
      <alignment vertical="center"/>
    </xf>
    <xf numFmtId="166" fontId="79" fillId="0" borderId="0" xfId="0" applyNumberFormat="1" applyFont="1" applyAlignment="1">
      <alignment vertical="center"/>
    </xf>
    <xf numFmtId="1" fontId="79" fillId="0" borderId="0" xfId="0" applyNumberFormat="1" applyFont="1" applyAlignment="1">
      <alignment horizontal="center" vertical="center"/>
    </xf>
    <xf numFmtId="169" fontId="79" fillId="0" borderId="0" xfId="0" applyNumberFormat="1" applyFont="1" applyAlignment="1">
      <alignment horizontal="center" vertical="center" wrapText="1"/>
    </xf>
    <xf numFmtId="166" fontId="80" fillId="0" borderId="0" xfId="0" applyNumberFormat="1" applyFont="1" applyAlignment="1">
      <alignment horizontal="center" vertical="center"/>
    </xf>
    <xf numFmtId="0" fontId="79" fillId="0" borderId="0" xfId="0" applyFont="1" applyAlignment="1">
      <alignment horizontal="center" vertical="center"/>
    </xf>
    <xf numFmtId="169" fontId="79" fillId="0" borderId="0" xfId="0" applyNumberFormat="1" applyFont="1" applyAlignment="1">
      <alignment horizontal="center" vertical="center"/>
    </xf>
    <xf numFmtId="166" fontId="79" fillId="0" borderId="0" xfId="0" applyNumberFormat="1" applyFont="1" applyAlignment="1">
      <alignment horizontal="center" vertical="center"/>
    </xf>
    <xf numFmtId="166" fontId="77" fillId="0" borderId="0" xfId="0" applyNumberFormat="1" applyFont="1" applyAlignment="1">
      <alignment horizontal="center" vertical="center"/>
    </xf>
    <xf numFmtId="167" fontId="78" fillId="0" borderId="0" xfId="0" applyNumberFormat="1" applyFont="1" applyAlignment="1">
      <alignment vertical="center"/>
    </xf>
    <xf numFmtId="0" fontId="81" fillId="0" borderId="0" xfId="0" applyFont="1" applyAlignment="1">
      <alignment vertical="center"/>
    </xf>
    <xf numFmtId="0" fontId="80" fillId="0" borderId="0" xfId="0" applyFont="1" applyAlignment="1">
      <alignment vertical="center" wrapText="1"/>
    </xf>
    <xf numFmtId="166" fontId="80" fillId="0" borderId="0" xfId="0" applyNumberFormat="1" applyFont="1" applyAlignment="1">
      <alignment vertical="center"/>
    </xf>
    <xf numFmtId="0" fontId="78" fillId="0" borderId="0" xfId="0" applyFont="1" applyAlignment="1">
      <alignment horizontal="center" vertical="center"/>
    </xf>
    <xf numFmtId="169" fontId="79" fillId="0" borderId="0" xfId="0" applyNumberFormat="1" applyFont="1" applyAlignment="1">
      <alignment vertical="center" wrapText="1"/>
    </xf>
    <xf numFmtId="2" fontId="79" fillId="0" borderId="0" xfId="0" applyNumberFormat="1" applyFont="1" applyAlignment="1">
      <alignment vertical="center"/>
    </xf>
    <xf numFmtId="164" fontId="78" fillId="0" borderId="0" xfId="0" applyNumberFormat="1" applyFont="1" applyAlignment="1">
      <alignment vertical="center"/>
    </xf>
    <xf numFmtId="0" fontId="80" fillId="0" borderId="0" xfId="0" applyFont="1" applyAlignment="1">
      <alignment vertical="center"/>
    </xf>
    <xf numFmtId="166" fontId="80" fillId="0" borderId="0" xfId="1" applyFont="1" applyAlignment="1">
      <alignment horizontal="center" vertical="center"/>
    </xf>
    <xf numFmtId="166" fontId="78" fillId="0" borderId="0" xfId="1" applyFont="1" applyAlignment="1">
      <alignment vertical="center"/>
    </xf>
    <xf numFmtId="169" fontId="78" fillId="0" borderId="0" xfId="0" applyNumberFormat="1" applyFont="1" applyAlignment="1">
      <alignment horizontal="center" vertical="center"/>
    </xf>
    <xf numFmtId="166" fontId="80" fillId="0" borderId="0" xfId="0" applyNumberFormat="1" applyFont="1" applyAlignment="1">
      <alignment horizontal="center" vertical="center" wrapText="1"/>
    </xf>
    <xf numFmtId="1" fontId="78" fillId="0" borderId="0" xfId="0" applyNumberFormat="1" applyFont="1" applyAlignment="1">
      <alignment horizontal="center" vertical="center"/>
    </xf>
    <xf numFmtId="166" fontId="78" fillId="0" borderId="0" xfId="0" applyNumberFormat="1" applyFont="1" applyAlignment="1">
      <alignment horizontal="center" vertical="center"/>
    </xf>
    <xf numFmtId="0" fontId="83" fillId="6" borderId="0" xfId="0" applyFont="1" applyFill="1" applyAlignment="1">
      <alignment horizontal="center" vertical="center"/>
    </xf>
    <xf numFmtId="166" fontId="83" fillId="6" borderId="0" xfId="0" applyNumberFormat="1" applyFont="1" applyFill="1" applyAlignment="1">
      <alignment horizontal="center" vertical="center"/>
    </xf>
    <xf numFmtId="9" fontId="83" fillId="6" borderId="0" xfId="0" applyNumberFormat="1" applyFont="1" applyFill="1" applyAlignment="1">
      <alignment horizontal="center" vertical="center"/>
    </xf>
    <xf numFmtId="166" fontId="82" fillId="8" borderId="0" xfId="0" applyNumberFormat="1" applyFont="1" applyFill="1" applyAlignment="1">
      <alignment horizontal="center" vertical="center"/>
    </xf>
    <xf numFmtId="1" fontId="77" fillId="5" borderId="0" xfId="0" applyNumberFormat="1" applyFont="1" applyFill="1" applyAlignment="1">
      <alignment horizontal="center" vertical="center" wrapText="1"/>
    </xf>
    <xf numFmtId="1" fontId="77" fillId="5" borderId="0" xfId="0" applyNumberFormat="1" applyFont="1" applyFill="1" applyAlignment="1">
      <alignment horizontal="center" vertical="center"/>
    </xf>
    <xf numFmtId="166" fontId="77" fillId="5" borderId="0" xfId="0" applyNumberFormat="1" applyFont="1" applyFill="1" applyAlignment="1">
      <alignment horizontal="center" vertical="center" wrapText="1"/>
    </xf>
    <xf numFmtId="0" fontId="77" fillId="5" borderId="0" xfId="0" applyFont="1" applyFill="1" applyAlignment="1">
      <alignment horizontal="center" vertical="center" wrapText="1"/>
    </xf>
    <xf numFmtId="2" fontId="77" fillId="5" borderId="0" xfId="0" applyNumberFormat="1" applyFont="1" applyFill="1" applyAlignment="1">
      <alignment horizontal="center" vertical="center" wrapText="1"/>
    </xf>
    <xf numFmtId="169" fontId="77" fillId="5" borderId="0" xfId="0" applyNumberFormat="1" applyFont="1" applyFill="1" applyAlignment="1">
      <alignment horizontal="center" vertical="center" wrapText="1"/>
    </xf>
    <xf numFmtId="166" fontId="77" fillId="5" borderId="0" xfId="0" applyNumberFormat="1" applyFont="1" applyFill="1" applyAlignment="1">
      <alignment horizontal="center" vertical="center"/>
    </xf>
    <xf numFmtId="164" fontId="77" fillId="0" borderId="0" xfId="0" applyNumberFormat="1" applyFont="1" applyAlignment="1">
      <alignment vertical="center"/>
    </xf>
    <xf numFmtId="0" fontId="77" fillId="0" borderId="0" xfId="0" applyFont="1" applyAlignment="1">
      <alignment horizontal="center" vertical="center" wrapText="1"/>
    </xf>
    <xf numFmtId="1" fontId="77" fillId="0" borderId="0" xfId="0" applyNumberFormat="1" applyFont="1" applyAlignment="1">
      <alignment horizontal="center" vertical="center" wrapText="1"/>
    </xf>
    <xf numFmtId="1" fontId="83" fillId="0" borderId="0" xfId="0" applyNumberFormat="1" applyFont="1" applyAlignment="1">
      <alignment horizontal="center" vertical="center" wrapText="1"/>
    </xf>
    <xf numFmtId="166" fontId="77" fillId="0" borderId="0" xfId="0" applyNumberFormat="1" applyFont="1" applyAlignment="1">
      <alignment horizontal="center" vertical="center" wrapText="1"/>
    </xf>
    <xf numFmtId="2" fontId="77" fillId="0" borderId="0" xfId="0" applyNumberFormat="1" applyFont="1" applyAlignment="1">
      <alignment horizontal="center" vertical="center" wrapText="1"/>
    </xf>
    <xf numFmtId="169" fontId="77" fillId="0" borderId="0" xfId="0" applyNumberFormat="1" applyFont="1" applyAlignment="1">
      <alignment horizontal="center" vertical="center" wrapText="1"/>
    </xf>
    <xf numFmtId="1" fontId="83" fillId="6" borderId="0" xfId="0" applyNumberFormat="1" applyFont="1" applyFill="1" applyAlignment="1">
      <alignment horizontal="center" vertical="center" wrapText="1"/>
    </xf>
    <xf numFmtId="0" fontId="83" fillId="6" borderId="0" xfId="0" applyFont="1" applyFill="1" applyAlignment="1">
      <alignment horizontal="center" vertical="center" wrapText="1"/>
    </xf>
    <xf numFmtId="166" fontId="77" fillId="6" borderId="0" xfId="0" applyNumberFormat="1" applyFont="1" applyFill="1" applyAlignment="1">
      <alignment horizontal="center" vertical="center" wrapText="1"/>
    </xf>
    <xf numFmtId="166" fontId="83" fillId="6" borderId="0" xfId="1" applyFont="1" applyFill="1" applyAlignment="1">
      <alignment horizontal="center" vertical="center" wrapText="1"/>
    </xf>
    <xf numFmtId="0" fontId="85" fillId="5" borderId="0" xfId="0" applyFont="1" applyFill="1" applyAlignment="1">
      <alignment vertical="center" wrapText="1"/>
    </xf>
    <xf numFmtId="0" fontId="85" fillId="5" borderId="0" xfId="0" applyFont="1" applyFill="1" applyAlignment="1">
      <alignment horizontal="center" vertical="center" wrapText="1"/>
    </xf>
    <xf numFmtId="1" fontId="85" fillId="5" borderId="0" xfId="0" applyNumberFormat="1" applyFont="1" applyFill="1" applyAlignment="1">
      <alignment horizontal="center" vertical="center" wrapText="1"/>
    </xf>
    <xf numFmtId="166" fontId="86" fillId="5" borderId="0" xfId="0" applyNumberFormat="1" applyFont="1" applyFill="1" applyAlignment="1">
      <alignment horizontal="center" vertical="center" wrapText="1"/>
    </xf>
    <xf numFmtId="0" fontId="78" fillId="5" borderId="0" xfId="0" applyFont="1" applyFill="1" applyAlignment="1">
      <alignment horizontal="center" vertical="center"/>
    </xf>
    <xf numFmtId="169" fontId="78" fillId="5" borderId="0" xfId="0" applyNumberFormat="1" applyFont="1" applyFill="1" applyAlignment="1">
      <alignment horizontal="center" vertical="center"/>
    </xf>
    <xf numFmtId="166" fontId="78" fillId="5" borderId="0" xfId="0" applyNumberFormat="1" applyFont="1" applyFill="1" applyAlignment="1">
      <alignment horizontal="center" vertical="center"/>
    </xf>
    <xf numFmtId="0" fontId="78" fillId="3" borderId="0" xfId="0" applyFont="1" applyFill="1" applyAlignment="1">
      <alignment vertical="top" wrapText="1"/>
    </xf>
    <xf numFmtId="1" fontId="87" fillId="2" borderId="1" xfId="0" applyNumberFormat="1" applyFont="1" applyFill="1" applyBorder="1" applyAlignment="1">
      <alignment horizontal="center" vertical="center" wrapText="1"/>
    </xf>
    <xf numFmtId="0" fontId="87" fillId="4" borderId="1" xfId="0" applyFont="1" applyFill="1" applyBorder="1" applyAlignment="1" applyProtection="1">
      <alignment horizontal="center" vertical="center" wrapText="1"/>
      <protection locked="0"/>
    </xf>
    <xf numFmtId="0" fontId="87" fillId="4" borderId="1" xfId="0" applyFont="1" applyFill="1" applyBorder="1" applyAlignment="1">
      <alignment horizontal="center" wrapText="1"/>
    </xf>
    <xf numFmtId="0" fontId="84" fillId="2" borderId="1" xfId="0" applyFont="1" applyFill="1" applyBorder="1" applyAlignment="1">
      <alignment horizontal="center" vertical="center" wrapText="1"/>
    </xf>
    <xf numFmtId="166" fontId="88" fillId="3" borderId="0" xfId="4" applyFont="1" applyFill="1" applyAlignment="1">
      <alignment horizontal="center" vertical="top" wrapText="1"/>
    </xf>
    <xf numFmtId="166" fontId="88" fillId="3" borderId="0" xfId="1" applyFont="1" applyFill="1" applyAlignment="1">
      <alignment horizontal="center" vertical="center" wrapText="1"/>
    </xf>
    <xf numFmtId="9" fontId="87" fillId="4" borderId="1" xfId="0" applyNumberFormat="1" applyFont="1" applyFill="1" applyBorder="1" applyAlignment="1">
      <alignment horizontal="center" vertical="center" wrapText="1"/>
    </xf>
    <xf numFmtId="166" fontId="77" fillId="3" borderId="0" xfId="1" applyFont="1" applyFill="1" applyAlignment="1">
      <alignment horizontal="center" vertical="center" wrapText="1"/>
    </xf>
    <xf numFmtId="166" fontId="88" fillId="3" borderId="0" xfId="0" applyNumberFormat="1" applyFont="1" applyFill="1" applyAlignment="1">
      <alignment horizontal="center" vertical="center"/>
    </xf>
    <xf numFmtId="1" fontId="87" fillId="3" borderId="1" xfId="0" applyNumberFormat="1" applyFont="1" applyFill="1" applyBorder="1" applyAlignment="1">
      <alignment horizontal="center" vertical="center" wrapText="1"/>
    </xf>
    <xf numFmtId="0" fontId="87" fillId="3" borderId="1" xfId="0" applyFont="1" applyFill="1" applyBorder="1" applyAlignment="1">
      <alignment horizontal="center" vertical="center" wrapText="1"/>
    </xf>
    <xf numFmtId="0" fontId="84" fillId="3" borderId="1" xfId="0" applyFont="1" applyFill="1" applyBorder="1" applyAlignment="1">
      <alignment horizontal="center" vertical="center"/>
    </xf>
    <xf numFmtId="0" fontId="88" fillId="3" borderId="0" xfId="0" applyFont="1" applyFill="1" applyAlignment="1">
      <alignment vertical="center" wrapText="1"/>
    </xf>
    <xf numFmtId="166" fontId="78" fillId="0" borderId="0" xfId="0" applyNumberFormat="1" applyFont="1" applyAlignment="1">
      <alignment vertical="center"/>
    </xf>
    <xf numFmtId="0" fontId="78" fillId="3" borderId="1" xfId="0" applyFont="1" applyFill="1" applyBorder="1" applyAlignment="1">
      <alignment vertical="center"/>
    </xf>
    <xf numFmtId="0" fontId="78" fillId="3" borderId="2" xfId="0" applyFont="1" applyFill="1" applyBorder="1" applyAlignment="1">
      <alignment vertical="center" wrapText="1"/>
    </xf>
    <xf numFmtId="0" fontId="78" fillId="3" borderId="0" xfId="0" applyFont="1" applyFill="1" applyAlignment="1">
      <alignment vertical="center" wrapText="1"/>
    </xf>
    <xf numFmtId="0" fontId="77" fillId="3" borderId="0" xfId="0" applyFont="1" applyFill="1" applyAlignment="1">
      <alignment vertical="center" wrapText="1"/>
    </xf>
    <xf numFmtId="1" fontId="77" fillId="3" borderId="0" xfId="0" applyNumberFormat="1" applyFont="1" applyFill="1" applyAlignment="1">
      <alignment horizontal="center" vertical="center" wrapText="1"/>
    </xf>
    <xf numFmtId="1" fontId="88" fillId="3" borderId="0" xfId="0" applyNumberFormat="1" applyFont="1" applyFill="1" applyAlignment="1">
      <alignment horizontal="center" vertical="center" wrapText="1"/>
    </xf>
    <xf numFmtId="1" fontId="87" fillId="4" borderId="1" xfId="0" applyNumberFormat="1" applyFont="1" applyFill="1" applyBorder="1" applyAlignment="1">
      <alignment horizontal="center" vertical="center" wrapText="1"/>
    </xf>
    <xf numFmtId="0" fontId="87" fillId="3" borderId="2" xfId="0" applyFont="1" applyFill="1" applyBorder="1" applyAlignment="1">
      <alignment horizontal="center" vertical="center" wrapText="1"/>
    </xf>
    <xf numFmtId="0" fontId="78" fillId="3" borderId="0" xfId="0" applyFont="1" applyFill="1" applyAlignment="1">
      <alignment vertical="center"/>
    </xf>
    <xf numFmtId="1" fontId="89" fillId="3" borderId="0" xfId="0" applyNumberFormat="1" applyFont="1" applyFill="1" applyAlignment="1">
      <alignment horizontal="center" vertical="center" wrapText="1"/>
    </xf>
    <xf numFmtId="1" fontId="84" fillId="2" borderId="1" xfId="0" applyNumberFormat="1" applyFont="1" applyFill="1" applyBorder="1" applyAlignment="1">
      <alignment horizontal="center" vertical="center" wrapText="1"/>
    </xf>
    <xf numFmtId="0" fontId="87" fillId="3" borderId="0" xfId="0" applyFont="1" applyFill="1" applyAlignment="1">
      <alignment horizontal="center" vertical="center"/>
    </xf>
    <xf numFmtId="0" fontId="88" fillId="3" borderId="0" xfId="0" applyFont="1" applyFill="1" applyAlignment="1">
      <alignment horizontal="center" vertical="center"/>
    </xf>
    <xf numFmtId="2" fontId="87" fillId="3" borderId="0" xfId="0" applyNumberFormat="1" applyFont="1" applyFill="1" applyAlignment="1">
      <alignment horizontal="center" vertical="center"/>
    </xf>
    <xf numFmtId="0" fontId="87" fillId="3" borderId="0" xfId="0" applyFont="1" applyFill="1" applyAlignment="1">
      <alignment horizontal="left" vertical="center" wrapText="1"/>
    </xf>
    <xf numFmtId="0" fontId="88" fillId="3" borderId="6" xfId="0" applyFont="1" applyFill="1" applyBorder="1" applyAlignment="1">
      <alignment horizontal="center" vertical="center"/>
    </xf>
    <xf numFmtId="2" fontId="90" fillId="3" borderId="6" xfId="0" applyNumberFormat="1" applyFont="1" applyFill="1" applyBorder="1" applyAlignment="1">
      <alignment horizontal="center" vertical="center"/>
    </xf>
    <xf numFmtId="2" fontId="88" fillId="3" borderId="0" xfId="0" applyNumberFormat="1" applyFont="1" applyFill="1" applyAlignment="1">
      <alignment horizontal="center" vertical="center" wrapText="1"/>
    </xf>
    <xf numFmtId="3" fontId="87" fillId="3" borderId="0" xfId="0" applyNumberFormat="1" applyFont="1" applyFill="1" applyAlignment="1">
      <alignment horizontal="center" vertical="center" wrapText="1"/>
    </xf>
    <xf numFmtId="174" fontId="87" fillId="3" borderId="0" xfId="0" applyNumberFormat="1" applyFont="1" applyFill="1" applyAlignment="1">
      <alignment horizontal="center" vertical="center" wrapText="1"/>
    </xf>
    <xf numFmtId="2" fontId="87" fillId="3" borderId="0" xfId="0" applyNumberFormat="1" applyFont="1" applyFill="1" applyAlignment="1">
      <alignment horizontal="center" vertical="center" wrapText="1"/>
    </xf>
    <xf numFmtId="0" fontId="77" fillId="3" borderId="0" xfId="0" applyFont="1" applyFill="1" applyAlignment="1">
      <alignment horizontal="center" vertical="center" wrapText="1"/>
    </xf>
    <xf numFmtId="168" fontId="78" fillId="0" borderId="0" xfId="0" applyNumberFormat="1" applyFont="1" applyAlignment="1">
      <alignment vertical="center"/>
    </xf>
    <xf numFmtId="0" fontId="90" fillId="3" borderId="6" xfId="0" applyFont="1" applyFill="1" applyBorder="1" applyAlignment="1">
      <alignment horizontal="center" vertical="center"/>
    </xf>
    <xf numFmtId="0" fontId="77" fillId="0" borderId="0" xfId="0" applyFont="1" applyAlignment="1">
      <alignment vertical="center" wrapText="1"/>
    </xf>
    <xf numFmtId="166" fontId="77" fillId="0" borderId="0" xfId="1" applyFont="1" applyAlignment="1">
      <alignment horizontal="center" vertical="center" wrapText="1"/>
    </xf>
    <xf numFmtId="9" fontId="77" fillId="0" borderId="0" xfId="0" applyNumberFormat="1" applyFont="1" applyAlignment="1">
      <alignment horizontal="center" vertical="center" wrapText="1"/>
    </xf>
    <xf numFmtId="166" fontId="83" fillId="6" borderId="0" xfId="0" applyNumberFormat="1" applyFont="1" applyFill="1" applyAlignment="1">
      <alignment horizontal="center" vertical="center" wrapText="1"/>
    </xf>
    <xf numFmtId="174" fontId="77" fillId="4" borderId="1" xfId="0" applyNumberFormat="1" applyFont="1" applyFill="1" applyBorder="1" applyAlignment="1">
      <alignment horizontal="center" vertical="center" wrapText="1"/>
    </xf>
    <xf numFmtId="0" fontId="77" fillId="4" borderId="1" xfId="0" applyFont="1" applyFill="1" applyBorder="1" applyAlignment="1">
      <alignment vertical="center" wrapText="1"/>
    </xf>
    <xf numFmtId="166" fontId="88" fillId="3" borderId="0" xfId="0" applyNumberFormat="1" applyFont="1" applyFill="1" applyAlignment="1">
      <alignment horizontal="center" vertical="center" wrapText="1"/>
    </xf>
    <xf numFmtId="1" fontId="77" fillId="4" borderId="1" xfId="0" applyNumberFormat="1" applyFont="1" applyFill="1" applyBorder="1" applyAlignment="1">
      <alignment horizontal="center" vertical="center" wrapText="1"/>
    </xf>
    <xf numFmtId="0" fontId="78" fillId="0" borderId="0" xfId="0" applyFont="1" applyAlignment="1">
      <alignment vertical="center" wrapText="1"/>
    </xf>
    <xf numFmtId="1" fontId="78" fillId="0" borderId="0" xfId="0" applyNumberFormat="1" applyFont="1" applyAlignment="1">
      <alignment horizontal="center" vertical="center" wrapText="1"/>
    </xf>
    <xf numFmtId="166" fontId="78" fillId="0" borderId="0" xfId="0" applyNumberFormat="1" applyFont="1" applyAlignment="1">
      <alignment horizontal="center" vertical="center" wrapText="1"/>
    </xf>
    <xf numFmtId="168" fontId="77" fillId="0" borderId="0" xfId="0" applyNumberFormat="1" applyFont="1" applyAlignment="1">
      <alignment horizontal="center" vertical="center" wrapText="1"/>
    </xf>
    <xf numFmtId="169" fontId="89" fillId="3" borderId="0" xfId="0" applyNumberFormat="1" applyFont="1" applyFill="1"/>
    <xf numFmtId="0" fontId="79" fillId="3" borderId="0" xfId="0" applyFont="1" applyFill="1" applyAlignment="1">
      <alignment horizontal="center"/>
    </xf>
    <xf numFmtId="0" fontId="79" fillId="3" borderId="0" xfId="0" applyFont="1" applyFill="1"/>
    <xf numFmtId="1" fontId="79" fillId="3" borderId="0" xfId="0" applyNumberFormat="1" applyFont="1" applyFill="1" applyAlignment="1">
      <alignment horizontal="center"/>
    </xf>
    <xf numFmtId="169" fontId="77" fillId="0" borderId="0" xfId="0" applyNumberFormat="1" applyFont="1" applyAlignment="1">
      <alignment vertical="center"/>
    </xf>
    <xf numFmtId="0" fontId="91" fillId="3" borderId="0" xfId="0" applyFont="1" applyFill="1"/>
    <xf numFmtId="166" fontId="91" fillId="4" borderId="0" xfId="0" applyNumberFormat="1" applyFont="1" applyFill="1" applyAlignment="1">
      <alignment horizontal="center"/>
    </xf>
    <xf numFmtId="0" fontId="91" fillId="3" borderId="0" xfId="0" applyFont="1" applyFill="1" applyAlignment="1">
      <alignment horizontal="center"/>
    </xf>
    <xf numFmtId="0" fontId="77" fillId="3" borderId="0" xfId="0" applyFont="1" applyFill="1" applyAlignment="1">
      <alignment vertical="top" wrapText="1"/>
    </xf>
    <xf numFmtId="0" fontId="26" fillId="3" borderId="0" xfId="0" applyFont="1" applyFill="1" applyAlignment="1">
      <alignment vertical="top" wrapText="1"/>
    </xf>
    <xf numFmtId="166" fontId="56" fillId="2" borderId="0" xfId="1" applyFont="1" applyFill="1" applyAlignment="1">
      <alignment horizontal="right" vertical="top" wrapText="1"/>
    </xf>
    <xf numFmtId="0" fontId="92" fillId="3" borderId="0" xfId="0" applyFont="1" applyFill="1" applyAlignment="1">
      <alignment horizontal="left" vertical="top" wrapText="1"/>
    </xf>
    <xf numFmtId="0" fontId="26" fillId="3" borderId="0" xfId="0" applyFont="1" applyFill="1" applyAlignment="1">
      <alignment horizontal="left" vertical="top" wrapText="1"/>
    </xf>
    <xf numFmtId="0" fontId="26" fillId="2" borderId="0" xfId="0" applyFont="1" applyFill="1" applyAlignment="1">
      <alignment horizontal="center" vertical="center"/>
    </xf>
    <xf numFmtId="0" fontId="8" fillId="3" borderId="2" xfId="0" applyFont="1" applyFill="1" applyBorder="1" applyAlignment="1">
      <alignment vertical="center" wrapText="1"/>
    </xf>
    <xf numFmtId="166" fontId="9" fillId="2" borderId="8" xfId="0" applyNumberFormat="1" applyFont="1" applyFill="1" applyBorder="1" applyAlignment="1">
      <alignment horizontal="center" vertical="center"/>
    </xf>
    <xf numFmtId="166" fontId="83" fillId="2" borderId="1" xfId="0" applyNumberFormat="1" applyFont="1" applyFill="1" applyBorder="1" applyAlignment="1">
      <alignment horizontal="center" vertical="center"/>
    </xf>
    <xf numFmtId="0" fontId="16" fillId="4" borderId="1" xfId="3" applyFont="1" applyFill="1" applyBorder="1" applyAlignment="1">
      <alignment vertical="center" wrapText="1"/>
    </xf>
    <xf numFmtId="166" fontId="24" fillId="5" borderId="1" xfId="4" applyFont="1" applyFill="1" applyBorder="1" applyAlignment="1">
      <alignment horizontal="center" vertical="top" wrapText="1"/>
    </xf>
    <xf numFmtId="0" fontId="31" fillId="4" borderId="1" xfId="3" applyFont="1" applyFill="1" applyBorder="1" applyAlignment="1">
      <alignment vertical="center" wrapText="1"/>
    </xf>
    <xf numFmtId="167" fontId="31" fillId="3" borderId="1" xfId="3" applyNumberFormat="1" applyFont="1" applyFill="1" applyBorder="1" applyAlignment="1">
      <alignment horizontal="center" vertical="center"/>
    </xf>
    <xf numFmtId="0" fontId="4" fillId="4" borderId="1" xfId="0" applyFont="1" applyFill="1" applyBorder="1" applyAlignment="1">
      <alignment horizontal="center"/>
    </xf>
    <xf numFmtId="166" fontId="25" fillId="3" borderId="0" xfId="4" applyFont="1" applyFill="1" applyAlignment="1">
      <alignment horizontal="center" vertical="top" wrapText="1"/>
    </xf>
    <xf numFmtId="166" fontId="25" fillId="5" borderId="1" xfId="4" applyFont="1" applyFill="1" applyBorder="1" applyAlignment="1">
      <alignment horizontal="center" vertical="top" wrapText="1"/>
    </xf>
    <xf numFmtId="0" fontId="95" fillId="3" borderId="0" xfId="0" applyFont="1" applyFill="1"/>
    <xf numFmtId="0" fontId="94" fillId="3" borderId="0" xfId="0" applyFont="1" applyFill="1"/>
    <xf numFmtId="166" fontId="94" fillId="2" borderId="0" xfId="1" applyFont="1" applyFill="1" applyAlignment="1">
      <alignment vertical="top" wrapText="1"/>
    </xf>
    <xf numFmtId="0" fontId="8" fillId="8" borderId="0" xfId="0" applyFont="1" applyFill="1" applyAlignment="1">
      <alignment horizontal="center" vertical="center" wrapText="1"/>
    </xf>
    <xf numFmtId="0" fontId="49" fillId="2" borderId="0" xfId="0" applyFont="1" applyFill="1" applyAlignment="1">
      <alignment horizontal="right" vertical="center"/>
    </xf>
    <xf numFmtId="0" fontId="12" fillId="2" borderId="0" xfId="0" applyFont="1" applyFill="1" applyAlignment="1" applyProtection="1">
      <alignment horizontal="center" vertical="center"/>
      <protection hidden="1"/>
    </xf>
    <xf numFmtId="171" fontId="49" fillId="2" borderId="0" xfId="0" applyNumberFormat="1" applyFont="1" applyFill="1" applyAlignment="1">
      <alignment horizontal="right" vertical="center"/>
    </xf>
    <xf numFmtId="2" fontId="31" fillId="2" borderId="0" xfId="4" applyNumberFormat="1" applyFont="1" applyFill="1" applyBorder="1" applyAlignment="1" applyProtection="1">
      <alignment horizontal="center" vertical="center"/>
      <protection hidden="1"/>
    </xf>
    <xf numFmtId="166" fontId="4" fillId="2" borderId="0" xfId="1" applyFont="1" applyFill="1" applyAlignment="1">
      <alignment vertical="top" wrapText="1"/>
    </xf>
    <xf numFmtId="166" fontId="28" fillId="2" borderId="0" xfId="4" applyFont="1" applyFill="1" applyBorder="1"/>
    <xf numFmtId="0" fontId="16" fillId="3" borderId="0" xfId="0" applyFont="1" applyFill="1" applyAlignment="1">
      <alignment horizontal="left" vertical="top" wrapText="1" indent="1"/>
    </xf>
    <xf numFmtId="166" fontId="4" fillId="2" borderId="0" xfId="1" applyFont="1" applyFill="1"/>
    <xf numFmtId="171" fontId="98" fillId="2" borderId="0" xfId="0" applyNumberFormat="1" applyFont="1" applyFill="1" applyAlignment="1">
      <alignment horizontal="center" vertical="center"/>
    </xf>
    <xf numFmtId="175" fontId="98" fillId="2" borderId="0" xfId="0" applyNumberFormat="1" applyFont="1" applyFill="1" applyAlignment="1">
      <alignment horizontal="center" vertical="center"/>
    </xf>
    <xf numFmtId="0" fontId="98" fillId="2" borderId="0" xfId="0" applyFont="1" applyFill="1" applyAlignment="1">
      <alignment horizontal="center" vertical="center"/>
    </xf>
    <xf numFmtId="166" fontId="32" fillId="2" borderId="0" xfId="4" applyFont="1" applyFill="1" applyBorder="1" applyAlignment="1">
      <alignment horizontal="left"/>
    </xf>
    <xf numFmtId="166" fontId="28" fillId="2" borderId="0" xfId="1" applyFont="1" applyFill="1" applyBorder="1"/>
    <xf numFmtId="168" fontId="97" fillId="2" borderId="0" xfId="0" applyNumberFormat="1" applyFont="1" applyFill="1"/>
    <xf numFmtId="166" fontId="96" fillId="2" borderId="0" xfId="1" applyFont="1" applyFill="1" applyBorder="1"/>
    <xf numFmtId="0" fontId="47" fillId="2" borderId="0" xfId="0" applyFont="1" applyFill="1"/>
    <xf numFmtId="166" fontId="28" fillId="2" borderId="0" xfId="4" applyFont="1" applyFill="1" applyBorder="1" applyAlignment="1"/>
    <xf numFmtId="166" fontId="5" fillId="2" borderId="0" xfId="1" applyFont="1" applyFill="1" applyBorder="1" applyAlignment="1">
      <alignment horizontal="center" vertical="top" wrapText="1"/>
    </xf>
    <xf numFmtId="166" fontId="5" fillId="2" borderId="0" xfId="1" applyFont="1" applyFill="1" applyBorder="1" applyAlignment="1">
      <alignment vertical="top" wrapText="1"/>
    </xf>
    <xf numFmtId="166" fontId="94" fillId="2" borderId="0" xfId="1" applyFont="1" applyFill="1" applyBorder="1" applyAlignment="1">
      <alignment vertical="top" wrapText="1"/>
    </xf>
    <xf numFmtId="166" fontId="32" fillId="2" borderId="0" xfId="4" applyFont="1" applyFill="1" applyBorder="1" applyAlignment="1"/>
    <xf numFmtId="166" fontId="5" fillId="2" borderId="0" xfId="1" applyFont="1" applyFill="1" applyBorder="1"/>
    <xf numFmtId="166" fontId="66" fillId="2" borderId="0" xfId="1" applyFont="1" applyFill="1" applyBorder="1"/>
    <xf numFmtId="166" fontId="4" fillId="2" borderId="0" xfId="1" applyFont="1" applyFill="1" applyBorder="1" applyAlignment="1">
      <alignment vertical="top" wrapText="1"/>
    </xf>
    <xf numFmtId="175" fontId="5" fillId="2" borderId="0" xfId="1" applyNumberFormat="1" applyFont="1" applyFill="1" applyBorder="1"/>
    <xf numFmtId="166" fontId="5" fillId="2" borderId="0" xfId="1" applyFont="1" applyFill="1" applyBorder="1" applyAlignment="1">
      <alignment horizontal="left" vertical="center"/>
    </xf>
    <xf numFmtId="166" fontId="97" fillId="2" borderId="0" xfId="1" applyFont="1" applyFill="1" applyBorder="1"/>
    <xf numFmtId="166" fontId="4" fillId="2" borderId="0" xfId="1" applyFont="1" applyFill="1" applyBorder="1" applyAlignment="1">
      <alignment horizontal="left" vertical="center"/>
    </xf>
    <xf numFmtId="166" fontId="4" fillId="2" borderId="0" xfId="1" applyFont="1" applyFill="1" applyBorder="1"/>
    <xf numFmtId="166" fontId="24" fillId="17" borderId="0" xfId="1" applyFont="1" applyFill="1" applyAlignment="1">
      <alignment horizontal="center" vertical="center" wrapText="1"/>
    </xf>
    <xf numFmtId="166" fontId="99" fillId="2" borderId="1" xfId="4" applyFont="1" applyFill="1" applyBorder="1" applyAlignment="1">
      <alignment horizontal="center"/>
    </xf>
    <xf numFmtId="176" fontId="99" fillId="2" borderId="1" xfId="0" applyNumberFormat="1" applyFont="1" applyFill="1" applyBorder="1" applyAlignment="1">
      <alignment horizontal="center" vertical="center"/>
    </xf>
    <xf numFmtId="9" fontId="100" fillId="2" borderId="35" xfId="1" applyNumberFormat="1" applyFont="1" applyFill="1" applyBorder="1" applyAlignment="1">
      <alignment horizontal="left" vertical="center"/>
    </xf>
    <xf numFmtId="166" fontId="101" fillId="2" borderId="0" xfId="1" applyFont="1" applyFill="1" applyAlignment="1">
      <alignment horizontal="left" vertical="center"/>
    </xf>
    <xf numFmtId="166" fontId="100" fillId="2" borderId="0" xfId="1" applyFont="1" applyFill="1"/>
    <xf numFmtId="0" fontId="26" fillId="0" borderId="0" xfId="0" applyFont="1" applyAlignment="1">
      <alignment vertical="center"/>
    </xf>
    <xf numFmtId="166" fontId="14" fillId="16" borderId="0" xfId="4" applyFont="1" applyFill="1" applyBorder="1" applyAlignment="1">
      <alignment horizontal="center" vertical="top" wrapText="1"/>
    </xf>
    <xf numFmtId="0" fontId="14" fillId="2" borderId="1" xfId="0" applyFont="1" applyFill="1" applyBorder="1" applyAlignment="1">
      <alignment horizontal="center" wrapText="1"/>
    </xf>
    <xf numFmtId="0" fontId="14" fillId="2" borderId="7" xfId="0" applyFont="1" applyFill="1" applyBorder="1" applyAlignment="1">
      <alignment horizontal="center" wrapText="1"/>
    </xf>
    <xf numFmtId="0" fontId="13" fillId="4" borderId="1" xfId="0" applyFont="1" applyFill="1" applyBorder="1" applyAlignment="1">
      <alignment horizontal="center" wrapText="1"/>
    </xf>
    <xf numFmtId="0" fontId="13" fillId="6" borderId="0" xfId="0" applyFont="1" applyFill="1" applyAlignment="1">
      <alignment horizontal="center" vertical="center"/>
    </xf>
    <xf numFmtId="173" fontId="4" fillId="4" borderId="16" xfId="0" applyNumberFormat="1" applyFont="1" applyFill="1" applyBorder="1" applyAlignment="1">
      <alignment horizontal="center"/>
    </xf>
    <xf numFmtId="0" fontId="4" fillId="4" borderId="17" xfId="0" applyFont="1" applyFill="1" applyBorder="1" applyAlignment="1">
      <alignment horizontal="center"/>
    </xf>
    <xf numFmtId="166" fontId="4" fillId="12" borderId="17" xfId="1" applyFont="1" applyFill="1" applyBorder="1" applyAlignment="1">
      <alignment horizontal="center"/>
    </xf>
    <xf numFmtId="0" fontId="4" fillId="12" borderId="17" xfId="0" applyFont="1" applyFill="1" applyBorder="1" applyAlignment="1">
      <alignment horizontal="center"/>
    </xf>
    <xf numFmtId="173" fontId="4" fillId="4" borderId="17" xfId="0" applyNumberFormat="1" applyFont="1" applyFill="1" applyBorder="1" applyAlignment="1">
      <alignment horizontal="center"/>
    </xf>
    <xf numFmtId="173" fontId="4" fillId="12" borderId="17" xfId="0" applyNumberFormat="1" applyFont="1" applyFill="1" applyBorder="1" applyAlignment="1">
      <alignment horizontal="center"/>
    </xf>
    <xf numFmtId="173" fontId="4" fillId="4" borderId="19" xfId="0" applyNumberFormat="1" applyFont="1" applyFill="1" applyBorder="1" applyAlignment="1">
      <alignment horizontal="center"/>
    </xf>
    <xf numFmtId="166" fontId="4" fillId="12" borderId="1" xfId="1" applyFont="1" applyFill="1" applyBorder="1" applyAlignment="1">
      <alignment horizontal="center"/>
    </xf>
    <xf numFmtId="0" fontId="4" fillId="12" borderId="1" xfId="0" applyFont="1" applyFill="1" applyBorder="1" applyAlignment="1">
      <alignment horizontal="center"/>
    </xf>
    <xf numFmtId="173" fontId="4" fillId="12" borderId="1" xfId="0" applyNumberFormat="1" applyFont="1" applyFill="1" applyBorder="1" applyAlignment="1">
      <alignment horizontal="center"/>
    </xf>
    <xf numFmtId="0" fontId="14" fillId="3" borderId="1" xfId="0" applyFont="1" applyFill="1" applyBorder="1" applyAlignment="1">
      <alignment horizontal="center" vertical="center" wrapText="1"/>
    </xf>
    <xf numFmtId="1" fontId="14" fillId="3" borderId="1" xfId="0" applyNumberFormat="1" applyFont="1" applyFill="1" applyBorder="1" applyAlignment="1">
      <alignment horizontal="center" vertical="center" wrapText="1"/>
    </xf>
    <xf numFmtId="0" fontId="14" fillId="4" borderId="1" xfId="0" applyFont="1" applyFill="1" applyBorder="1" applyAlignment="1" applyProtection="1">
      <alignment horizontal="center" vertical="center" wrapText="1"/>
      <protection locked="0"/>
    </xf>
    <xf numFmtId="166" fontId="4" fillId="2" borderId="0" xfId="1" applyFill="1" applyAlignment="1"/>
    <xf numFmtId="165" fontId="78" fillId="0" borderId="0" xfId="0" applyNumberFormat="1" applyFont="1" applyAlignment="1">
      <alignment vertical="center"/>
    </xf>
    <xf numFmtId="166" fontId="102" fillId="2" borderId="0" xfId="4" applyFont="1" applyFill="1" applyBorder="1" applyAlignment="1"/>
    <xf numFmtId="0" fontId="32" fillId="3" borderId="0" xfId="0" applyFont="1" applyFill="1" applyAlignment="1">
      <alignment horizontal="center" vertical="top" wrapText="1"/>
    </xf>
    <xf numFmtId="0" fontId="23" fillId="3" borderId="0" xfId="0" applyFont="1" applyFill="1" applyAlignment="1">
      <alignment vertical="top" wrapText="1"/>
    </xf>
    <xf numFmtId="0" fontId="31" fillId="3" borderId="0" xfId="0" applyFont="1" applyFill="1" applyAlignment="1">
      <alignment vertical="top" wrapText="1"/>
    </xf>
    <xf numFmtId="0" fontId="103" fillId="3" borderId="0" xfId="0" applyFont="1" applyFill="1" applyAlignment="1">
      <alignment vertical="top" wrapText="1"/>
    </xf>
    <xf numFmtId="0" fontId="23" fillId="3" borderId="0" xfId="0" applyFont="1" applyFill="1" applyAlignment="1">
      <alignment horizontal="center" vertical="top" wrapText="1"/>
    </xf>
    <xf numFmtId="0" fontId="52" fillId="3" borderId="0" xfId="0" applyFont="1" applyFill="1" applyAlignment="1">
      <alignment vertical="top" wrapText="1"/>
    </xf>
    <xf numFmtId="0" fontId="51" fillId="3" borderId="0" xfId="0" applyFont="1" applyFill="1" applyAlignment="1">
      <alignment vertical="top" wrapText="1"/>
    </xf>
    <xf numFmtId="0" fontId="51" fillId="3" borderId="0" xfId="0" applyFont="1" applyFill="1" applyAlignment="1">
      <alignment horizontal="center" vertical="top" wrapText="1"/>
    </xf>
    <xf numFmtId="0" fontId="32" fillId="2" borderId="1" xfId="0" applyFont="1" applyFill="1" applyBorder="1"/>
    <xf numFmtId="167" fontId="32" fillId="2" borderId="1" xfId="0" applyNumberFormat="1" applyFont="1" applyFill="1" applyBorder="1"/>
    <xf numFmtId="0" fontId="16" fillId="2" borderId="1" xfId="0" applyFont="1" applyFill="1" applyBorder="1" applyAlignment="1">
      <alignment vertical="center"/>
    </xf>
    <xf numFmtId="167" fontId="10" fillId="2" borderId="0" xfId="3" applyNumberFormat="1" applyFont="1" applyFill="1" applyAlignment="1">
      <alignment horizontal="center" vertical="center"/>
    </xf>
    <xf numFmtId="167" fontId="10" fillId="2" borderId="0" xfId="3" applyNumberFormat="1" applyFont="1" applyFill="1" applyAlignment="1">
      <alignment vertical="center"/>
    </xf>
    <xf numFmtId="0" fontId="104" fillId="4" borderId="1" xfId="0" applyFont="1" applyFill="1" applyBorder="1"/>
    <xf numFmtId="167" fontId="31" fillId="4" borderId="1" xfId="3" applyNumberFormat="1" applyFont="1" applyFill="1" applyBorder="1" applyAlignment="1">
      <alignment horizontal="center" vertical="center"/>
    </xf>
    <xf numFmtId="167" fontId="26" fillId="4" borderId="1" xfId="3" applyNumberFormat="1" applyFont="1" applyFill="1" applyBorder="1" applyAlignment="1">
      <alignment horizontal="center" vertical="center"/>
    </xf>
    <xf numFmtId="167" fontId="28" fillId="4" borderId="1" xfId="3" applyNumberFormat="1" applyFont="1" applyFill="1" applyBorder="1" applyAlignment="1">
      <alignment vertical="center"/>
    </xf>
    <xf numFmtId="166" fontId="26" fillId="5" borderId="1" xfId="4" applyFont="1" applyFill="1" applyBorder="1" applyAlignment="1">
      <alignment horizontal="center" vertical="top" wrapText="1"/>
    </xf>
    <xf numFmtId="0" fontId="26" fillId="3" borderId="1" xfId="3" applyFont="1" applyFill="1" applyBorder="1" applyAlignment="1">
      <alignment horizontal="center" vertical="center" wrapText="1"/>
    </xf>
    <xf numFmtId="0" fontId="31" fillId="4" borderId="1" xfId="0" applyFont="1" applyFill="1" applyBorder="1" applyAlignment="1">
      <alignment horizontal="center" wrapText="1"/>
    </xf>
    <xf numFmtId="0" fontId="31" fillId="2" borderId="1" xfId="0" applyFont="1" applyFill="1" applyBorder="1" applyAlignment="1">
      <alignment horizontal="center" wrapText="1"/>
    </xf>
    <xf numFmtId="0" fontId="31" fillId="2" borderId="7" xfId="0" applyFont="1" applyFill="1" applyBorder="1" applyAlignment="1">
      <alignment horizontal="center" wrapText="1"/>
    </xf>
    <xf numFmtId="0" fontId="8" fillId="2" borderId="1" xfId="0" applyFont="1" applyFill="1" applyBorder="1" applyAlignment="1">
      <alignment vertical="center" wrapText="1"/>
    </xf>
    <xf numFmtId="1" fontId="14" fillId="2" borderId="1" xfId="0" applyNumberFormat="1" applyFont="1" applyFill="1" applyBorder="1" applyAlignment="1">
      <alignment vertical="center" wrapText="1"/>
    </xf>
    <xf numFmtId="0" fontId="8" fillId="2"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31" fillId="2" borderId="1" xfId="0" applyFont="1" applyFill="1" applyBorder="1" applyAlignment="1">
      <alignment horizontal="center" vertical="center"/>
    </xf>
    <xf numFmtId="1" fontId="31"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xf>
    <xf numFmtId="166" fontId="14" fillId="5" borderId="1" xfId="4" applyFont="1" applyFill="1" applyBorder="1" applyAlignment="1">
      <alignment horizontal="center" vertical="top" wrapText="1"/>
    </xf>
    <xf numFmtId="0" fontId="16" fillId="5" borderId="0" xfId="0" applyFont="1" applyFill="1" applyAlignment="1">
      <alignment vertical="top" wrapText="1"/>
    </xf>
    <xf numFmtId="0" fontId="8" fillId="5" borderId="0" xfId="0" applyFont="1" applyFill="1" applyAlignment="1">
      <alignment vertical="top" wrapText="1"/>
    </xf>
    <xf numFmtId="0" fontId="26" fillId="4" borderId="1" xfId="3" applyFont="1" applyFill="1" applyBorder="1" applyAlignment="1" applyProtection="1">
      <alignment horizontal="center" vertical="center" wrapText="1"/>
      <protection locked="0"/>
    </xf>
    <xf numFmtId="9" fontId="4" fillId="3" borderId="0" xfId="0" applyNumberFormat="1" applyFont="1" applyFill="1" applyAlignment="1">
      <alignment horizontal="center"/>
    </xf>
    <xf numFmtId="165" fontId="4" fillId="3" borderId="0" xfId="0" applyNumberFormat="1" applyFont="1" applyFill="1" applyAlignment="1">
      <alignment horizontal="center"/>
    </xf>
    <xf numFmtId="173" fontId="4" fillId="3" borderId="0" xfId="1" applyNumberFormat="1" applyFont="1" applyFill="1" applyAlignment="1">
      <alignment horizontal="center"/>
    </xf>
    <xf numFmtId="166" fontId="6" fillId="2" borderId="0" xfId="1" applyFont="1" applyFill="1" applyAlignment="1">
      <alignment horizontal="right" vertical="top" wrapText="1"/>
    </xf>
    <xf numFmtId="166" fontId="105" fillId="2" borderId="0" xfId="1" applyFont="1" applyFill="1" applyAlignment="1">
      <alignment horizontal="right" vertical="top" wrapText="1"/>
    </xf>
    <xf numFmtId="166" fontId="105" fillId="2" borderId="1" xfId="1" applyFont="1" applyFill="1" applyBorder="1" applyAlignment="1">
      <alignment horizontal="center"/>
    </xf>
    <xf numFmtId="166" fontId="7" fillId="2" borderId="0" xfId="1" applyFont="1" applyFill="1" applyAlignment="1">
      <alignment horizontal="right" vertical="top" wrapText="1"/>
    </xf>
    <xf numFmtId="17" fontId="4" fillId="3" borderId="0" xfId="0" applyNumberFormat="1" applyFont="1" applyFill="1"/>
    <xf numFmtId="166" fontId="106" fillId="2" borderId="0" xfId="1" applyFont="1" applyFill="1"/>
    <xf numFmtId="0" fontId="23" fillId="2" borderId="1" xfId="0" applyFont="1" applyFill="1" applyBorder="1" applyAlignment="1">
      <alignment horizontal="center" wrapText="1"/>
    </xf>
    <xf numFmtId="0" fontId="23" fillId="2" borderId="7" xfId="0" applyFont="1" applyFill="1" applyBorder="1" applyAlignment="1">
      <alignment horizontal="center" wrapText="1"/>
    </xf>
    <xf numFmtId="168" fontId="14" fillId="4"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wrapText="1"/>
    </xf>
    <xf numFmtId="0" fontId="23" fillId="2" borderId="1" xfId="0" applyFont="1" applyFill="1" applyBorder="1" applyAlignment="1">
      <alignment horizontal="center" vertical="center"/>
    </xf>
    <xf numFmtId="0" fontId="31" fillId="8" borderId="0" xfId="0" applyFont="1" applyFill="1" applyAlignment="1">
      <alignment horizontal="center" vertical="center"/>
    </xf>
    <xf numFmtId="166" fontId="31" fillId="2" borderId="0" xfId="4" applyFont="1" applyFill="1" applyProtection="1">
      <protection hidden="1"/>
    </xf>
    <xf numFmtId="166" fontId="31" fillId="11" borderId="4" xfId="4" applyFont="1" applyFill="1" applyBorder="1" applyProtection="1">
      <protection hidden="1"/>
    </xf>
    <xf numFmtId="0" fontId="10" fillId="8" borderId="0" xfId="0" applyFont="1" applyFill="1" applyAlignment="1">
      <alignment horizontal="center" vertical="center" wrapText="1"/>
    </xf>
    <xf numFmtId="166" fontId="107" fillId="2" borderId="0" xfId="1" applyFont="1" applyFill="1"/>
    <xf numFmtId="166" fontId="4" fillId="2" borderId="0" xfId="4" applyFont="1" applyFill="1"/>
    <xf numFmtId="166" fontId="61" fillId="2" borderId="0" xfId="4" applyFont="1" applyFill="1"/>
    <xf numFmtId="166" fontId="7" fillId="2" borderId="1" xfId="1" applyFont="1" applyFill="1" applyBorder="1" applyAlignment="1">
      <alignment horizontal="center"/>
    </xf>
    <xf numFmtId="17" fontId="7" fillId="2" borderId="0" xfId="1" applyNumberFormat="1" applyFont="1" applyFill="1"/>
    <xf numFmtId="166" fontId="7" fillId="2" borderId="0" xfId="1" applyFont="1" applyFill="1" applyAlignment="1">
      <alignment horizontal="left" vertical="top" wrapText="1"/>
    </xf>
    <xf numFmtId="166" fontId="7" fillId="2" borderId="0" xfId="1" applyFont="1" applyFill="1" applyAlignment="1">
      <alignment vertical="top" wrapText="1"/>
    </xf>
    <xf numFmtId="166" fontId="44" fillId="2" borderId="0" xfId="1" applyFont="1" applyFill="1" applyBorder="1" applyAlignment="1">
      <alignment horizontal="center" vertical="top" wrapText="1"/>
    </xf>
    <xf numFmtId="166" fontId="44" fillId="2" borderId="0" xfId="1" applyFont="1" applyFill="1" applyBorder="1" applyAlignment="1">
      <alignment vertical="top" wrapText="1"/>
    </xf>
    <xf numFmtId="168" fontId="2" fillId="2" borderId="0" xfId="0" applyNumberFormat="1" applyFont="1" applyFill="1"/>
    <xf numFmtId="166" fontId="61" fillId="2" borderId="0" xfId="1" applyFont="1" applyFill="1" applyAlignment="1">
      <alignment vertical="top" wrapText="1"/>
    </xf>
    <xf numFmtId="166" fontId="26" fillId="2" borderId="0" xfId="1" applyFont="1" applyFill="1" applyBorder="1"/>
    <xf numFmtId="166" fontId="7" fillId="2" borderId="0" xfId="1" applyFont="1" applyFill="1"/>
    <xf numFmtId="0" fontId="50" fillId="4" borderId="1" xfId="3" applyFont="1" applyFill="1" applyBorder="1" applyAlignment="1">
      <alignment vertical="center" wrapText="1"/>
    </xf>
    <xf numFmtId="0" fontId="50" fillId="4" borderId="1" xfId="3" applyFont="1" applyFill="1" applyBorder="1" applyAlignment="1" applyProtection="1">
      <alignment vertical="center" wrapText="1"/>
      <protection locked="0"/>
    </xf>
    <xf numFmtId="0" fontId="108" fillId="4" borderId="1" xfId="3" applyFont="1" applyFill="1" applyBorder="1" applyAlignment="1" applyProtection="1">
      <alignment vertical="center" wrapText="1"/>
      <protection locked="0"/>
    </xf>
    <xf numFmtId="0" fontId="16" fillId="18" borderId="0" xfId="0" applyFont="1" applyFill="1" applyAlignment="1">
      <alignment vertical="top" wrapText="1"/>
    </xf>
    <xf numFmtId="1" fontId="26" fillId="2" borderId="8" xfId="0" applyNumberFormat="1" applyFont="1" applyFill="1" applyBorder="1" applyAlignment="1">
      <alignment horizontal="center" vertical="center" wrapText="1"/>
    </xf>
    <xf numFmtId="0" fontId="1" fillId="3" borderId="0" xfId="0" applyFont="1" applyFill="1" applyAlignment="1">
      <alignment vertical="top" wrapText="1"/>
    </xf>
    <xf numFmtId="0" fontId="109" fillId="3" borderId="0" xfId="3" applyFont="1" applyFill="1" applyAlignment="1">
      <alignment horizontal="left" vertical="center" wrapText="1"/>
    </xf>
    <xf numFmtId="166" fontId="110" fillId="3" borderId="0" xfId="4" applyFont="1" applyFill="1" applyAlignment="1">
      <alignment horizontal="center" vertical="top" wrapText="1"/>
    </xf>
    <xf numFmtId="167" fontId="26" fillId="3" borderId="1" xfId="3" applyNumberFormat="1" applyFont="1" applyFill="1" applyBorder="1" applyAlignment="1">
      <alignment horizontal="center" vertical="center"/>
    </xf>
    <xf numFmtId="166" fontId="88" fillId="2" borderId="0" xfId="1" applyFont="1" applyFill="1" applyAlignment="1">
      <alignment horizontal="center" vertical="center" wrapText="1"/>
    </xf>
    <xf numFmtId="0" fontId="78" fillId="2" borderId="0" xfId="0" applyFont="1" applyFill="1" applyAlignment="1">
      <alignment vertical="center"/>
    </xf>
    <xf numFmtId="0" fontId="54" fillId="3" borderId="0" xfId="0" applyFont="1" applyFill="1"/>
    <xf numFmtId="167" fontId="4" fillId="3" borderId="0" xfId="0" applyNumberFormat="1" applyFont="1" applyFill="1"/>
    <xf numFmtId="17" fontId="4" fillId="19" borderId="0" xfId="0" applyNumberFormat="1" applyFont="1" applyFill="1" applyAlignment="1">
      <alignment horizontal="right" vertical="top"/>
    </xf>
    <xf numFmtId="9" fontId="111" fillId="2" borderId="1" xfId="1" applyNumberFormat="1" applyFont="1" applyFill="1" applyBorder="1" applyAlignment="1">
      <alignment horizontal="center"/>
    </xf>
    <xf numFmtId="166" fontId="111" fillId="2" borderId="1" xfId="1" applyFont="1" applyFill="1" applyBorder="1" applyAlignment="1">
      <alignment horizontal="center"/>
    </xf>
    <xf numFmtId="166" fontId="14" fillId="3" borderId="0" xfId="4" applyFont="1" applyFill="1" applyBorder="1" applyAlignment="1">
      <alignment horizontal="center" vertical="top" wrapText="1"/>
    </xf>
    <xf numFmtId="0" fontId="113" fillId="0" borderId="0" xfId="0" applyFont="1" applyAlignment="1">
      <alignment horizontal="left"/>
    </xf>
    <xf numFmtId="9" fontId="113" fillId="0" borderId="0" xfId="0" applyNumberFormat="1" applyFont="1"/>
    <xf numFmtId="0" fontId="50" fillId="3" borderId="0" xfId="0" applyFont="1" applyFill="1" applyAlignment="1">
      <alignment vertical="top" wrapText="1"/>
    </xf>
    <xf numFmtId="166" fontId="6" fillId="2" borderId="0" xfId="1" applyFont="1" applyFill="1" applyAlignment="1">
      <alignment horizontal="center"/>
    </xf>
    <xf numFmtId="0" fontId="31" fillId="14" borderId="0" xfId="0" applyFont="1" applyFill="1" applyAlignment="1">
      <alignment vertical="top" wrapText="1"/>
    </xf>
    <xf numFmtId="166" fontId="5" fillId="0" borderId="0" xfId="1" applyFont="1" applyFill="1"/>
    <xf numFmtId="0" fontId="63" fillId="0" borderId="0" xfId="1" applyNumberFormat="1" applyFont="1" applyFill="1" applyAlignment="1">
      <alignment horizontal="left" vertical="center"/>
    </xf>
    <xf numFmtId="166" fontId="6" fillId="21" borderId="0" xfId="1" applyFont="1" applyFill="1" applyAlignment="1">
      <alignment horizontal="left" vertical="center"/>
    </xf>
    <xf numFmtId="166" fontId="5" fillId="21" borderId="0" xfId="1" applyFont="1" applyFill="1" applyAlignment="1">
      <alignment horizontal="left" vertical="center"/>
    </xf>
    <xf numFmtId="166" fontId="5" fillId="21" borderId="0" xfId="1" applyFont="1" applyFill="1"/>
    <xf numFmtId="173" fontId="0" fillId="21" borderId="1" xfId="0" applyNumberFormat="1" applyFill="1" applyBorder="1"/>
    <xf numFmtId="0" fontId="8" fillId="20" borderId="0" xfId="0" applyFont="1" applyFill="1" applyAlignment="1">
      <alignment vertical="top" wrapText="1"/>
    </xf>
    <xf numFmtId="174" fontId="77" fillId="20" borderId="1" xfId="0" applyNumberFormat="1" applyFont="1" applyFill="1" applyBorder="1" applyAlignment="1">
      <alignment horizontal="center" vertical="center" wrapText="1"/>
    </xf>
    <xf numFmtId="168" fontId="84" fillId="22" borderId="1" xfId="0" applyNumberFormat="1" applyFont="1" applyFill="1" applyBorder="1" applyAlignment="1">
      <alignment horizontal="center" vertical="center"/>
    </xf>
    <xf numFmtId="168" fontId="23" fillId="22" borderId="1" xfId="0" applyNumberFormat="1" applyFont="1" applyFill="1" applyBorder="1" applyAlignment="1">
      <alignment horizontal="center" vertical="center"/>
    </xf>
    <xf numFmtId="0" fontId="32" fillId="2" borderId="0" xfId="3" applyFont="1" applyFill="1" applyAlignment="1">
      <alignment vertical="center"/>
    </xf>
    <xf numFmtId="168" fontId="31" fillId="22" borderId="1" xfId="0" applyNumberFormat="1" applyFont="1" applyFill="1" applyBorder="1" applyAlignment="1">
      <alignment horizontal="center" vertical="center"/>
    </xf>
    <xf numFmtId="168" fontId="23" fillId="0" borderId="1" xfId="0" applyNumberFormat="1" applyFont="1" applyBorder="1" applyAlignment="1">
      <alignment horizontal="center" vertical="center"/>
    </xf>
    <xf numFmtId="168" fontId="84" fillId="0" borderId="1" xfId="0" applyNumberFormat="1" applyFont="1" applyBorder="1" applyAlignment="1">
      <alignment horizontal="center" vertical="center"/>
    </xf>
    <xf numFmtId="0" fontId="87" fillId="20" borderId="1" xfId="0" applyFont="1" applyFill="1" applyBorder="1" applyAlignment="1">
      <alignment horizontal="center" vertical="center" wrapText="1"/>
    </xf>
    <xf numFmtId="0" fontId="77" fillId="20" borderId="1" xfId="0" applyFont="1" applyFill="1" applyBorder="1" applyAlignment="1">
      <alignment vertical="center" wrapText="1"/>
    </xf>
    <xf numFmtId="0" fontId="16" fillId="20" borderId="0" xfId="0" applyFont="1" applyFill="1" applyAlignment="1">
      <alignment vertical="top" wrapText="1"/>
    </xf>
    <xf numFmtId="1" fontId="14" fillId="23" borderId="8" xfId="0" applyNumberFormat="1" applyFont="1" applyFill="1" applyBorder="1" applyAlignment="1">
      <alignment horizontal="center" vertical="center" wrapText="1"/>
    </xf>
    <xf numFmtId="166" fontId="6" fillId="23" borderId="0" xfId="1" applyFont="1" applyFill="1" applyAlignment="1">
      <alignment horizontal="left" vertical="center"/>
    </xf>
    <xf numFmtId="166" fontId="5" fillId="23" borderId="0" xfId="1" applyFont="1" applyFill="1" applyAlignment="1">
      <alignment horizontal="left" vertical="center"/>
    </xf>
    <xf numFmtId="166" fontId="5" fillId="23" borderId="0" xfId="1" applyFont="1" applyFill="1"/>
    <xf numFmtId="173" fontId="0" fillId="23" borderId="0" xfId="0" applyNumberFormat="1" applyFill="1"/>
    <xf numFmtId="1" fontId="77" fillId="25" borderId="1" xfId="0" applyNumberFormat="1" applyFont="1" applyFill="1" applyBorder="1" applyAlignment="1">
      <alignment horizontal="center" vertical="center" wrapText="1"/>
    </xf>
    <xf numFmtId="174" fontId="77" fillId="26" borderId="1" xfId="0" applyNumberFormat="1" applyFont="1" applyFill="1" applyBorder="1" applyAlignment="1" applyProtection="1">
      <alignment horizontal="center" vertical="center" wrapText="1"/>
      <protection locked="0"/>
    </xf>
    <xf numFmtId="1" fontId="77" fillId="24" borderId="1" xfId="0" applyNumberFormat="1" applyFont="1" applyFill="1" applyBorder="1" applyAlignment="1" applyProtection="1">
      <alignment horizontal="center" vertical="center" wrapText="1"/>
      <protection locked="0"/>
    </xf>
    <xf numFmtId="0" fontId="109" fillId="3" borderId="0" xfId="0" applyFont="1" applyFill="1" applyAlignment="1">
      <alignment vertical="top" wrapText="1"/>
    </xf>
    <xf numFmtId="0" fontId="116" fillId="3" borderId="0" xfId="0" applyFont="1" applyFill="1" applyAlignment="1">
      <alignment vertical="top" wrapText="1"/>
    </xf>
    <xf numFmtId="0" fontId="78" fillId="3" borderId="1" xfId="0" applyFont="1" applyFill="1" applyBorder="1" applyAlignment="1">
      <alignment horizontal="center" vertical="center"/>
    </xf>
    <xf numFmtId="10" fontId="9" fillId="22" borderId="0" xfId="0" applyNumberFormat="1" applyFont="1" applyFill="1" applyAlignment="1">
      <alignment horizontal="center" vertical="center"/>
    </xf>
    <xf numFmtId="10" fontId="83" fillId="22" borderId="0" xfId="0" applyNumberFormat="1" applyFont="1" applyFill="1" applyAlignment="1">
      <alignment horizontal="center" vertical="center"/>
    </xf>
    <xf numFmtId="10" fontId="83" fillId="6" borderId="0" xfId="0" applyNumberFormat="1" applyFont="1" applyFill="1" applyAlignment="1">
      <alignment horizontal="center" vertical="center"/>
    </xf>
    <xf numFmtId="10" fontId="9" fillId="6" borderId="0" xfId="0" applyNumberFormat="1" applyFont="1" applyFill="1" applyAlignment="1">
      <alignment horizontal="center" vertical="center"/>
    </xf>
    <xf numFmtId="0" fontId="8" fillId="14" borderId="1" xfId="0" applyFont="1" applyFill="1" applyBorder="1" applyAlignment="1">
      <alignment horizontal="center" vertical="center"/>
    </xf>
    <xf numFmtId="164" fontId="8" fillId="14" borderId="1" xfId="0" applyNumberFormat="1" applyFont="1" applyFill="1" applyBorder="1" applyAlignment="1">
      <alignment horizontal="center" vertical="center"/>
    </xf>
    <xf numFmtId="166" fontId="16" fillId="0" borderId="0" xfId="0" applyNumberFormat="1" applyFont="1" applyAlignment="1">
      <alignment vertical="center"/>
    </xf>
    <xf numFmtId="10" fontId="16" fillId="0" borderId="0" xfId="0" applyNumberFormat="1" applyFont="1" applyAlignment="1">
      <alignment vertical="center"/>
    </xf>
    <xf numFmtId="17" fontId="121" fillId="3" borderId="0" xfId="0" applyNumberFormat="1" applyFont="1" applyFill="1" applyAlignment="1">
      <alignment horizontal="center" vertical="center"/>
    </xf>
    <xf numFmtId="17" fontId="40" fillId="27" borderId="0" xfId="1" applyNumberFormat="1" applyFont="1" applyFill="1"/>
    <xf numFmtId="0" fontId="77" fillId="14" borderId="0" xfId="0" applyFont="1" applyFill="1" applyAlignment="1">
      <alignment vertical="center" wrapText="1"/>
    </xf>
    <xf numFmtId="0" fontId="16" fillId="14" borderId="0" xfId="0" applyFont="1" applyFill="1" applyAlignment="1">
      <alignment vertical="top" wrapText="1"/>
    </xf>
    <xf numFmtId="1" fontId="87" fillId="14" borderId="1" xfId="0" applyNumberFormat="1" applyFont="1" applyFill="1" applyBorder="1" applyAlignment="1">
      <alignment horizontal="center" vertical="center" wrapText="1"/>
    </xf>
    <xf numFmtId="0" fontId="84" fillId="14" borderId="1" xfId="0" applyFont="1" applyFill="1" applyBorder="1" applyAlignment="1">
      <alignment horizontal="center" vertical="center" wrapText="1"/>
    </xf>
    <xf numFmtId="0" fontId="87" fillId="14" borderId="2" xfId="0" applyFont="1" applyFill="1" applyBorder="1" applyAlignment="1">
      <alignment horizontal="center" vertical="center" wrapText="1"/>
    </xf>
    <xf numFmtId="0" fontId="78" fillId="14" borderId="0" xfId="0" applyFont="1" applyFill="1" applyAlignment="1">
      <alignment vertical="center"/>
    </xf>
    <xf numFmtId="1" fontId="77" fillId="14" borderId="0" xfId="0" applyNumberFormat="1" applyFont="1" applyFill="1" applyAlignment="1">
      <alignment horizontal="center" vertical="center" wrapText="1"/>
    </xf>
    <xf numFmtId="1" fontId="89" fillId="14" borderId="0" xfId="0" applyNumberFormat="1" applyFont="1" applyFill="1" applyAlignment="1">
      <alignment horizontal="center" vertical="center" wrapText="1"/>
    </xf>
    <xf numFmtId="166" fontId="88" fillId="14" borderId="0" xfId="4" applyFont="1" applyFill="1" applyAlignment="1">
      <alignment horizontal="center" vertical="top" wrapText="1"/>
    </xf>
    <xf numFmtId="166" fontId="88" fillId="14" borderId="0" xfId="1" applyFont="1" applyFill="1" applyAlignment="1">
      <alignment horizontal="center" vertical="center" wrapText="1"/>
    </xf>
    <xf numFmtId="9" fontId="87" fillId="14" borderId="1" xfId="0" applyNumberFormat="1" applyFont="1" applyFill="1" applyBorder="1" applyAlignment="1">
      <alignment horizontal="center" vertical="center" wrapText="1"/>
    </xf>
    <xf numFmtId="166" fontId="77" fillId="14" borderId="0" xfId="1" applyFont="1" applyFill="1" applyAlignment="1">
      <alignment horizontal="center" vertical="center" wrapText="1"/>
    </xf>
    <xf numFmtId="166" fontId="88" fillId="14" borderId="0" xfId="0" applyNumberFormat="1" applyFont="1" applyFill="1" applyAlignment="1">
      <alignment horizontal="center" vertical="center"/>
    </xf>
    <xf numFmtId="0" fontId="16" fillId="14" borderId="0" xfId="0" applyFont="1" applyFill="1" applyAlignment="1">
      <alignment vertical="center"/>
    </xf>
    <xf numFmtId="0" fontId="32" fillId="14" borderId="0" xfId="0" applyFont="1" applyFill="1" applyAlignment="1">
      <alignment vertical="top" wrapText="1"/>
    </xf>
    <xf numFmtId="1" fontId="14" fillId="14" borderId="1" xfId="0" applyNumberFormat="1" applyFont="1" applyFill="1" applyBorder="1" applyAlignment="1">
      <alignment horizontal="center" vertical="center" wrapText="1"/>
    </xf>
    <xf numFmtId="0" fontId="8" fillId="14" borderId="1" xfId="0" applyFont="1" applyFill="1" applyBorder="1" applyAlignment="1">
      <alignment horizontal="center" vertical="top" wrapText="1"/>
    </xf>
    <xf numFmtId="0" fontId="16" fillId="14" borderId="0" xfId="0" applyFont="1" applyFill="1" applyAlignment="1">
      <alignment horizontal="center" vertical="top" wrapText="1"/>
    </xf>
    <xf numFmtId="166" fontId="24" fillId="14" borderId="0" xfId="4" applyFont="1" applyFill="1" applyAlignment="1">
      <alignment horizontal="center" vertical="top" wrapText="1"/>
    </xf>
    <xf numFmtId="166" fontId="24" fillId="14" borderId="0" xfId="1" applyFont="1" applyFill="1" applyAlignment="1">
      <alignment horizontal="center" vertical="center" wrapText="1"/>
    </xf>
    <xf numFmtId="9" fontId="14" fillId="14" borderId="0" xfId="0" applyNumberFormat="1" applyFont="1" applyFill="1" applyAlignment="1">
      <alignment horizontal="center" vertical="center" wrapText="1"/>
    </xf>
    <xf numFmtId="166" fontId="8" fillId="14" borderId="0" xfId="1" applyFont="1" applyFill="1" applyAlignment="1">
      <alignment horizontal="center" vertical="center" wrapText="1"/>
    </xf>
    <xf numFmtId="166" fontId="24" fillId="14" borderId="0" xfId="0" applyNumberFormat="1" applyFont="1" applyFill="1" applyAlignment="1">
      <alignment horizontal="center" vertical="center"/>
    </xf>
    <xf numFmtId="171" fontId="47" fillId="14" borderId="0" xfId="0" applyNumberFormat="1" applyFont="1" applyFill="1" applyAlignment="1">
      <alignment vertical="center"/>
    </xf>
    <xf numFmtId="171" fontId="116" fillId="14" borderId="0" xfId="0" applyNumberFormat="1" applyFont="1" applyFill="1" applyAlignment="1">
      <alignment vertical="center"/>
    </xf>
    <xf numFmtId="0" fontId="14" fillId="14" borderId="1" xfId="0" applyFont="1" applyFill="1" applyBorder="1" applyAlignment="1">
      <alignment horizontal="center" vertical="top" wrapText="1"/>
    </xf>
    <xf numFmtId="0" fontId="26" fillId="14" borderId="0" xfId="0" applyFont="1" applyFill="1" applyAlignment="1">
      <alignment vertical="top" wrapText="1"/>
    </xf>
    <xf numFmtId="9" fontId="14" fillId="14" borderId="0" xfId="0" applyNumberFormat="1" applyFont="1" applyFill="1" applyAlignment="1">
      <alignment horizontal="center" vertical="top" wrapText="1"/>
    </xf>
    <xf numFmtId="166" fontId="8" fillId="14" borderId="0" xfId="1" applyFont="1" applyFill="1" applyAlignment="1">
      <alignment horizontal="center" vertical="top" wrapText="1"/>
    </xf>
    <xf numFmtId="166" fontId="24" fillId="14" borderId="0" xfId="3" applyNumberFormat="1" applyFont="1" applyFill="1" applyAlignment="1">
      <alignment horizontal="center" vertical="center" wrapText="1"/>
    </xf>
    <xf numFmtId="166" fontId="24" fillId="14" borderId="0" xfId="0" applyNumberFormat="1" applyFont="1" applyFill="1" applyAlignment="1">
      <alignment horizontal="center"/>
    </xf>
    <xf numFmtId="0" fontId="16" fillId="14" borderId="0" xfId="0" applyFont="1" applyFill="1"/>
    <xf numFmtId="0" fontId="14" fillId="14" borderId="1" xfId="3" applyFont="1" applyFill="1" applyBorder="1" applyAlignment="1">
      <alignment horizontal="center" vertical="center" wrapText="1"/>
    </xf>
    <xf numFmtId="0" fontId="16" fillId="14" borderId="0" xfId="3" applyFont="1" applyFill="1" applyAlignment="1">
      <alignment horizontal="left" vertical="center" wrapText="1"/>
    </xf>
    <xf numFmtId="0" fontId="28" fillId="14" borderId="0" xfId="3" applyFont="1" applyFill="1" applyAlignment="1">
      <alignment horizontal="center" vertical="center"/>
    </xf>
    <xf numFmtId="0" fontId="109" fillId="14" borderId="0" xfId="3" applyFont="1" applyFill="1" applyAlignment="1">
      <alignment horizontal="left" vertical="center"/>
    </xf>
    <xf numFmtId="0" fontId="16" fillId="14" borderId="0" xfId="3" applyFont="1" applyFill="1" applyAlignment="1">
      <alignment vertical="center" wrapText="1"/>
    </xf>
    <xf numFmtId="0" fontId="30" fillId="14" borderId="1" xfId="3" applyFont="1" applyFill="1" applyBorder="1" applyAlignment="1">
      <alignment horizontal="center" vertical="center" wrapText="1"/>
    </xf>
    <xf numFmtId="0" fontId="16" fillId="14" borderId="0" xfId="0" applyFont="1" applyFill="1" applyAlignment="1">
      <alignment vertical="center" wrapText="1"/>
    </xf>
    <xf numFmtId="167" fontId="11" fillId="14" borderId="0" xfId="3" applyNumberFormat="1" applyFont="1" applyFill="1" applyAlignment="1">
      <alignment vertical="center"/>
    </xf>
    <xf numFmtId="9" fontId="50" fillId="14" borderId="0" xfId="0" applyNumberFormat="1" applyFont="1" applyFill="1" applyAlignment="1">
      <alignment horizontal="center" vertical="center" wrapText="1"/>
    </xf>
    <xf numFmtId="0" fontId="11" fillId="14" borderId="1" xfId="3" applyFont="1" applyFill="1" applyBorder="1" applyAlignment="1">
      <alignment vertical="center"/>
    </xf>
    <xf numFmtId="0" fontId="11" fillId="14" borderId="1" xfId="3" applyFont="1" applyFill="1" applyBorder="1" applyAlignment="1">
      <alignment horizontal="center" vertical="center"/>
    </xf>
    <xf numFmtId="0" fontId="11" fillId="14" borderId="0" xfId="3" applyFont="1" applyFill="1" applyAlignment="1">
      <alignment vertical="center"/>
    </xf>
    <xf numFmtId="9" fontId="31" fillId="14" borderId="0" xfId="0" applyNumberFormat="1" applyFont="1" applyFill="1" applyAlignment="1">
      <alignment horizontal="center" vertical="center" wrapText="1"/>
    </xf>
    <xf numFmtId="166" fontId="8" fillId="14" borderId="0" xfId="3" applyNumberFormat="1" applyFont="1" applyFill="1" applyAlignment="1">
      <alignment horizontal="center" vertical="center"/>
    </xf>
    <xf numFmtId="0" fontId="115" fillId="14" borderId="0" xfId="3" applyFont="1" applyFill="1" applyAlignment="1">
      <alignment vertical="center"/>
    </xf>
    <xf numFmtId="167" fontId="115" fillId="14" borderId="0" xfId="3" applyNumberFormat="1" applyFont="1" applyFill="1" applyAlignment="1">
      <alignment vertical="center"/>
    </xf>
    <xf numFmtId="1" fontId="14" fillId="14" borderId="8" xfId="0" applyNumberFormat="1" applyFont="1" applyFill="1" applyBorder="1" applyAlignment="1">
      <alignment horizontal="center" vertical="center" wrapText="1"/>
    </xf>
    <xf numFmtId="1" fontId="23" fillId="14" borderId="1" xfId="0" applyNumberFormat="1" applyFont="1" applyFill="1" applyBorder="1" applyAlignment="1">
      <alignment horizontal="center" vertical="center" wrapText="1"/>
    </xf>
    <xf numFmtId="0" fontId="23" fillId="14" borderId="1" xfId="0" applyFont="1" applyFill="1" applyBorder="1" applyAlignment="1">
      <alignment horizontal="center" vertical="center" wrapText="1"/>
    </xf>
    <xf numFmtId="0" fontId="23" fillId="14" borderId="7" xfId="0" applyFont="1" applyFill="1" applyBorder="1" applyAlignment="1">
      <alignment horizontal="center" vertical="center"/>
    </xf>
    <xf numFmtId="1" fontId="8" fillId="14" borderId="0" xfId="0" applyNumberFormat="1" applyFont="1" applyFill="1" applyAlignment="1">
      <alignment horizontal="center" vertical="center" wrapText="1"/>
    </xf>
    <xf numFmtId="9" fontId="14" fillId="14" borderId="1" xfId="0" applyNumberFormat="1" applyFont="1" applyFill="1" applyBorder="1" applyAlignment="1">
      <alignment horizontal="center" vertical="center" wrapText="1"/>
    </xf>
    <xf numFmtId="1" fontId="14" fillId="14" borderId="0" xfId="0" applyNumberFormat="1" applyFont="1" applyFill="1" applyAlignment="1">
      <alignment vertical="center" wrapText="1"/>
    </xf>
    <xf numFmtId="0" fontId="8" fillId="14" borderId="0" xfId="0" applyFont="1" applyFill="1" applyAlignment="1">
      <alignment vertical="center" wrapText="1"/>
    </xf>
    <xf numFmtId="166" fontId="14" fillId="14" borderId="0" xfId="4" applyFont="1" applyFill="1" applyBorder="1" applyAlignment="1">
      <alignment horizontal="center" vertical="top" wrapText="1"/>
    </xf>
    <xf numFmtId="1" fontId="13" fillId="6" borderId="0" xfId="0" applyNumberFormat="1" applyFont="1" applyFill="1" applyAlignment="1">
      <alignment horizontal="center" vertical="center"/>
    </xf>
    <xf numFmtId="166" fontId="7" fillId="0" borderId="1" xfId="1" applyFont="1" applyFill="1" applyBorder="1" applyAlignment="1">
      <alignment horizontal="center"/>
    </xf>
    <xf numFmtId="166" fontId="7" fillId="2" borderId="1" xfId="0" applyNumberFormat="1" applyFont="1" applyFill="1" applyBorder="1" applyAlignment="1">
      <alignment horizontal="center"/>
    </xf>
    <xf numFmtId="0" fontId="4" fillId="20" borderId="0" xfId="0" applyFont="1" applyFill="1"/>
    <xf numFmtId="17" fontId="4" fillId="20" borderId="0" xfId="0" applyNumberFormat="1" applyFont="1" applyFill="1"/>
    <xf numFmtId="166" fontId="6" fillId="20" borderId="1" xfId="1" applyFont="1" applyFill="1" applyBorder="1" applyAlignment="1">
      <alignment horizontal="center"/>
    </xf>
    <xf numFmtId="166" fontId="122" fillId="3" borderId="1" xfId="0" applyNumberFormat="1" applyFont="1" applyFill="1" applyBorder="1" applyAlignment="1">
      <alignment horizontal="center"/>
    </xf>
    <xf numFmtId="166" fontId="73" fillId="20" borderId="25" xfId="1" applyFont="1" applyFill="1" applyBorder="1" applyAlignment="1">
      <alignment horizontal="left" vertical="center"/>
    </xf>
    <xf numFmtId="166" fontId="74" fillId="20" borderId="36" xfId="1" applyFont="1" applyFill="1" applyBorder="1" applyAlignment="1">
      <alignment horizontal="left" vertical="center"/>
    </xf>
    <xf numFmtId="166" fontId="74" fillId="20" borderId="14" xfId="1" applyFont="1" applyFill="1" applyBorder="1"/>
    <xf numFmtId="0" fontId="75" fillId="20" borderId="37" xfId="1" applyNumberFormat="1" applyFont="1" applyFill="1" applyBorder="1" applyAlignment="1">
      <alignment horizontal="left" vertical="center"/>
    </xf>
    <xf numFmtId="0" fontId="75" fillId="20" borderId="0" xfId="1" applyNumberFormat="1" applyFont="1" applyFill="1" applyAlignment="1">
      <alignment horizontal="left" vertical="center"/>
    </xf>
    <xf numFmtId="166" fontId="74" fillId="20" borderId="38" xfId="1" applyFont="1" applyFill="1" applyBorder="1"/>
    <xf numFmtId="14" fontId="74" fillId="20" borderId="39" xfId="1" applyNumberFormat="1" applyFont="1" applyFill="1" applyBorder="1" applyAlignment="1">
      <alignment horizontal="left" vertical="center"/>
    </xf>
    <xf numFmtId="9" fontId="74" fillId="20" borderId="40" xfId="1" applyNumberFormat="1" applyFont="1" applyFill="1" applyBorder="1" applyAlignment="1">
      <alignment horizontal="left" vertical="center"/>
    </xf>
    <xf numFmtId="166" fontId="74" fillId="20" borderId="41" xfId="1" applyFont="1" applyFill="1" applyBorder="1" applyAlignment="1">
      <alignment horizontal="left"/>
    </xf>
    <xf numFmtId="17" fontId="6" fillId="20" borderId="0" xfId="1" applyNumberFormat="1" applyFont="1" applyFill="1"/>
    <xf numFmtId="166" fontId="0" fillId="2" borderId="0" xfId="0" applyNumberFormat="1" applyFill="1" applyAlignment="1">
      <alignment horizontal="center"/>
    </xf>
    <xf numFmtId="166" fontId="64" fillId="2" borderId="0" xfId="1" applyFont="1" applyFill="1" applyAlignment="1">
      <alignment horizontal="left" vertical="top" wrapText="1"/>
    </xf>
    <xf numFmtId="166" fontId="54" fillId="2" borderId="0" xfId="1" applyFont="1" applyFill="1" applyAlignment="1">
      <alignment horizontal="left" vertical="top" wrapText="1"/>
    </xf>
    <xf numFmtId="17" fontId="40" fillId="28" borderId="0" xfId="2" applyNumberFormat="1" applyFont="1" applyFill="1" applyAlignment="1">
      <alignment horizontal="center"/>
    </xf>
    <xf numFmtId="17" fontId="39" fillId="28" borderId="0" xfId="1" applyNumberFormat="1" applyFont="1" applyFill="1"/>
    <xf numFmtId="17" fontId="40" fillId="28" borderId="0" xfId="1" applyNumberFormat="1" applyFont="1" applyFill="1"/>
    <xf numFmtId="166" fontId="60" fillId="2" borderId="0" xfId="1" applyFont="1" applyFill="1" applyBorder="1" applyAlignment="1">
      <alignment horizontal="center" vertical="center"/>
    </xf>
    <xf numFmtId="166" fontId="64" fillId="4" borderId="0" xfId="1" applyFont="1" applyFill="1" applyAlignment="1">
      <alignment horizontal="left"/>
    </xf>
    <xf numFmtId="166" fontId="66" fillId="4" borderId="0" xfId="1" applyFont="1" applyFill="1"/>
    <xf numFmtId="166" fontId="54" fillId="2" borderId="0" xfId="1" applyFont="1" applyFill="1" applyAlignment="1">
      <alignment vertical="top" wrapText="1"/>
    </xf>
    <xf numFmtId="9" fontId="4" fillId="2" borderId="0" xfId="1" applyNumberFormat="1" applyFill="1" applyAlignment="1">
      <alignment horizontal="left" vertical="top"/>
    </xf>
    <xf numFmtId="14" fontId="6" fillId="2" borderId="8" xfId="1" applyNumberFormat="1" applyFont="1" applyFill="1" applyBorder="1" applyAlignment="1">
      <alignment horizontal="left" vertical="center"/>
    </xf>
    <xf numFmtId="0" fontId="16" fillId="3" borderId="2" xfId="0" applyFont="1" applyFill="1" applyBorder="1" applyAlignment="1">
      <alignment vertical="top" wrapText="1"/>
    </xf>
    <xf numFmtId="0" fontId="16" fillId="29" borderId="0" xfId="0" applyFont="1" applyFill="1" applyAlignment="1">
      <alignment vertical="center"/>
    </xf>
    <xf numFmtId="1" fontId="114" fillId="10" borderId="8" xfId="0" applyNumberFormat="1" applyFont="1" applyFill="1" applyBorder="1" applyAlignment="1">
      <alignment horizontal="center" vertical="center" wrapText="1"/>
    </xf>
    <xf numFmtId="1" fontId="14" fillId="10" borderId="8" xfId="0" applyNumberFormat="1" applyFont="1" applyFill="1" applyBorder="1" applyAlignment="1">
      <alignment horizontal="center" vertical="center" wrapText="1"/>
    </xf>
    <xf numFmtId="1" fontId="26" fillId="10" borderId="8" xfId="0" applyNumberFormat="1" applyFont="1" applyFill="1" applyBorder="1" applyAlignment="1">
      <alignment horizontal="center" vertical="center" wrapText="1"/>
    </xf>
    <xf numFmtId="17" fontId="6" fillId="30" borderId="0" xfId="1" applyNumberFormat="1" applyFont="1" applyFill="1"/>
    <xf numFmtId="0" fontId="31" fillId="8" borderId="0" xfId="0" applyFont="1" applyFill="1" applyAlignment="1">
      <alignment horizontal="left" vertical="center"/>
    </xf>
    <xf numFmtId="1" fontId="31" fillId="8" borderId="0" xfId="0" applyNumberFormat="1" applyFont="1" applyFill="1" applyAlignment="1">
      <alignment horizontal="left" vertical="center"/>
    </xf>
    <xf numFmtId="168" fontId="31" fillId="8" borderId="0" xfId="0" applyNumberFormat="1" applyFont="1" applyFill="1" applyAlignment="1">
      <alignment horizontal="left" vertical="center"/>
    </xf>
    <xf numFmtId="170" fontId="31" fillId="8" borderId="0" xfId="0" applyNumberFormat="1" applyFont="1" applyFill="1" applyAlignment="1">
      <alignment horizontal="left" vertical="center"/>
    </xf>
    <xf numFmtId="0" fontId="67" fillId="16" borderId="8" xfId="0" applyFont="1" applyFill="1" applyBorder="1" applyAlignment="1">
      <alignment horizontal="right"/>
    </xf>
    <xf numFmtId="0" fontId="67" fillId="16" borderId="7" xfId="0" applyFont="1" applyFill="1" applyBorder="1" applyAlignment="1">
      <alignment horizontal="right"/>
    </xf>
    <xf numFmtId="0" fontId="61" fillId="15" borderId="1" xfId="0" applyFont="1" applyFill="1" applyBorder="1" applyAlignment="1">
      <alignment horizontal="center" vertical="center" textRotation="90"/>
    </xf>
    <xf numFmtId="0" fontId="50" fillId="0" borderId="12" xfId="0" applyFont="1" applyBorder="1" applyAlignment="1">
      <alignment horizontal="center" vertical="center"/>
    </xf>
    <xf numFmtId="0" fontId="50" fillId="0" borderId="26" xfId="0" applyFont="1" applyBorder="1" applyAlignment="1">
      <alignment horizontal="center" vertical="center"/>
    </xf>
    <xf numFmtId="0" fontId="50" fillId="0" borderId="4" xfId="0" applyFont="1" applyBorder="1" applyAlignment="1">
      <alignment horizontal="center" vertical="center"/>
    </xf>
    <xf numFmtId="0" fontId="6" fillId="0" borderId="0" xfId="0" applyFont="1" applyAlignment="1">
      <alignment horizontal="left"/>
    </xf>
    <xf numFmtId="166" fontId="9" fillId="22" borderId="0" xfId="0" applyNumberFormat="1" applyFont="1" applyFill="1" applyAlignment="1">
      <alignment horizontal="center" vertical="center"/>
    </xf>
    <xf numFmtId="0" fontId="92" fillId="3" borderId="2" xfId="0" applyFont="1" applyFill="1" applyBorder="1" applyAlignment="1">
      <alignment horizontal="left" vertical="top" wrapText="1"/>
    </xf>
    <xf numFmtId="0" fontId="92" fillId="3" borderId="0" xfId="0" applyFont="1" applyFill="1" applyAlignment="1">
      <alignment horizontal="left" vertical="top" wrapText="1"/>
    </xf>
    <xf numFmtId="0" fontId="9" fillId="6" borderId="0" xfId="0" applyFont="1" applyFill="1" applyAlignment="1">
      <alignment vertical="center" wrapText="1"/>
    </xf>
    <xf numFmtId="0" fontId="93" fillId="14" borderId="12" xfId="0" applyFont="1" applyFill="1" applyBorder="1" applyAlignment="1">
      <alignment horizontal="center" vertical="center"/>
    </xf>
    <xf numFmtId="0" fontId="93" fillId="14" borderId="26" xfId="0" applyFont="1" applyFill="1" applyBorder="1" applyAlignment="1">
      <alignment horizontal="center" vertical="center"/>
    </xf>
    <xf numFmtId="0" fontId="93" fillId="14" borderId="4" xfId="0" applyFont="1" applyFill="1" applyBorder="1" applyAlignment="1">
      <alignment horizontal="center" vertical="center"/>
    </xf>
    <xf numFmtId="0" fontId="32" fillId="2" borderId="10" xfId="0" applyFont="1" applyFill="1" applyBorder="1"/>
    <xf numFmtId="0" fontId="32" fillId="2" borderId="42" xfId="0" applyFont="1" applyFill="1" applyBorder="1"/>
    <xf numFmtId="0" fontId="32" fillId="2" borderId="11" xfId="0" applyFont="1" applyFill="1" applyBorder="1"/>
    <xf numFmtId="164" fontId="93" fillId="14" borderId="0" xfId="0" applyNumberFormat="1" applyFont="1" applyFill="1" applyAlignment="1">
      <alignment horizontal="center" vertical="center"/>
    </xf>
    <xf numFmtId="1" fontId="87" fillId="3" borderId="0" xfId="0" applyNumberFormat="1" applyFont="1" applyFill="1" applyAlignment="1">
      <alignment horizontal="center" vertical="center" wrapText="1"/>
    </xf>
    <xf numFmtId="2" fontId="87" fillId="3" borderId="0" xfId="0" applyNumberFormat="1" applyFont="1" applyFill="1" applyAlignment="1">
      <alignment horizontal="center" vertical="center" wrapText="1"/>
    </xf>
    <xf numFmtId="0" fontId="77" fillId="3" borderId="2" xfId="0" applyFont="1" applyFill="1" applyBorder="1" applyAlignment="1">
      <alignment vertical="center" wrapText="1"/>
    </xf>
    <xf numFmtId="0" fontId="77" fillId="3" borderId="0" xfId="0" applyFont="1" applyFill="1" applyAlignment="1">
      <alignment vertical="center" wrapText="1"/>
    </xf>
    <xf numFmtId="0" fontId="9" fillId="3" borderId="0" xfId="0" applyFont="1" applyFill="1" applyAlignment="1">
      <alignment horizontal="center" vertical="center" wrapText="1"/>
    </xf>
    <xf numFmtId="0" fontId="8" fillId="3" borderId="2" xfId="0" applyFont="1" applyFill="1" applyBorder="1" applyAlignment="1">
      <alignment vertical="center" wrapText="1"/>
    </xf>
    <xf numFmtId="0" fontId="22" fillId="3" borderId="0" xfId="0" applyFont="1" applyFill="1" applyAlignment="1">
      <alignment horizontal="center" vertical="center"/>
    </xf>
    <xf numFmtId="0" fontId="22" fillId="2" borderId="0" xfId="0" applyFont="1" applyFill="1" applyAlignment="1">
      <alignment horizontal="center" vertical="center"/>
    </xf>
    <xf numFmtId="0" fontId="82" fillId="8" borderId="0" xfId="0" applyFont="1" applyFill="1" applyAlignment="1">
      <alignment horizontal="left" vertical="center"/>
    </xf>
    <xf numFmtId="1" fontId="82" fillId="8" borderId="0" xfId="0" applyNumberFormat="1" applyFont="1" applyFill="1" applyAlignment="1">
      <alignment horizontal="left" vertical="center"/>
    </xf>
    <xf numFmtId="170" fontId="82" fillId="8" borderId="0" xfId="0" applyNumberFormat="1" applyFont="1" applyFill="1" applyAlignment="1">
      <alignment horizontal="left" vertical="center"/>
    </xf>
    <xf numFmtId="0" fontId="8" fillId="3" borderId="2" xfId="0" applyFont="1" applyFill="1" applyBorder="1" applyAlignment="1">
      <alignment vertical="top" wrapText="1"/>
    </xf>
    <xf numFmtId="0" fontId="77" fillId="3" borderId="0" xfId="0" applyFont="1" applyFill="1" applyAlignment="1">
      <alignment vertical="top" wrapText="1"/>
    </xf>
    <xf numFmtId="0" fontId="77" fillId="14" borderId="2" xfId="0" applyFont="1" applyFill="1" applyBorder="1" applyAlignment="1">
      <alignment vertical="center" wrapText="1"/>
    </xf>
    <xf numFmtId="0" fontId="77" fillId="14" borderId="0" xfId="0" applyFont="1" applyFill="1" applyAlignment="1">
      <alignment vertical="center" wrapText="1"/>
    </xf>
    <xf numFmtId="0" fontId="8" fillId="3" borderId="2" xfId="0" applyFont="1" applyFill="1" applyBorder="1" applyAlignment="1">
      <alignment horizontal="left" vertical="center" wrapText="1"/>
    </xf>
    <xf numFmtId="0" fontId="8" fillId="3" borderId="0" xfId="0" applyFont="1" applyFill="1" applyAlignment="1">
      <alignment horizontal="left" vertical="center" wrapText="1"/>
    </xf>
    <xf numFmtId="0" fontId="50" fillId="21" borderId="2" xfId="0" applyFont="1" applyFill="1" applyBorder="1" applyAlignment="1">
      <alignment vertical="center" wrapText="1"/>
    </xf>
    <xf numFmtId="0" fontId="50" fillId="21" borderId="0" xfId="0" applyFont="1" applyFill="1" applyAlignment="1">
      <alignment vertical="center" wrapText="1"/>
    </xf>
    <xf numFmtId="0" fontId="79" fillId="7" borderId="0" xfId="0" applyFont="1" applyFill="1" applyAlignment="1">
      <alignment horizontal="left"/>
    </xf>
    <xf numFmtId="0" fontId="8" fillId="2" borderId="0" xfId="0" applyFont="1" applyFill="1" applyAlignment="1">
      <alignment horizontal="center" vertical="center"/>
    </xf>
    <xf numFmtId="0" fontId="77" fillId="2" borderId="0" xfId="0" applyFont="1" applyFill="1" applyAlignment="1">
      <alignment horizontal="center" vertical="center"/>
    </xf>
    <xf numFmtId="0" fontId="26" fillId="7" borderId="0" xfId="0" applyFont="1" applyFill="1"/>
    <xf numFmtId="0" fontId="83" fillId="6" borderId="0" xfId="0" applyFont="1" applyFill="1" applyAlignment="1">
      <alignment vertical="center" wrapText="1"/>
    </xf>
    <xf numFmtId="0" fontId="50" fillId="3" borderId="2" xfId="0" applyFont="1" applyFill="1" applyBorder="1" applyAlignment="1">
      <alignment horizontal="left" vertical="top" wrapText="1"/>
    </xf>
    <xf numFmtId="0" fontId="50" fillId="3" borderId="0" xfId="0" applyFont="1" applyFill="1" applyAlignment="1">
      <alignment horizontal="left" vertical="top" wrapText="1"/>
    </xf>
    <xf numFmtId="0" fontId="26" fillId="3" borderId="2" xfId="0" applyFont="1" applyFill="1" applyBorder="1" applyAlignment="1">
      <alignment vertical="top" wrapText="1"/>
    </xf>
    <xf numFmtId="0" fontId="26" fillId="3" borderId="0" xfId="0" applyFont="1" applyFill="1" applyAlignment="1">
      <alignment vertical="top" wrapText="1"/>
    </xf>
    <xf numFmtId="0" fontId="26" fillId="3" borderId="2" xfId="0" applyFont="1" applyFill="1" applyBorder="1" applyAlignment="1">
      <alignment horizontal="left" vertical="top" wrapText="1"/>
    </xf>
    <xf numFmtId="0" fontId="26" fillId="3" borderId="0" xfId="0" applyFont="1" applyFill="1" applyAlignment="1">
      <alignment horizontal="left" vertical="top" wrapText="1"/>
    </xf>
    <xf numFmtId="0" fontId="26" fillId="7" borderId="0" xfId="0" applyFont="1" applyFill="1" applyAlignment="1">
      <alignment horizontal="left"/>
    </xf>
    <xf numFmtId="0" fontId="26" fillId="3" borderId="0" xfId="0" applyFont="1" applyFill="1" applyAlignment="1">
      <alignment horizontal="center" vertical="center" wrapText="1"/>
    </xf>
    <xf numFmtId="0" fontId="77" fillId="3" borderId="2" xfId="0" applyFont="1" applyFill="1" applyBorder="1" applyAlignment="1">
      <alignment vertical="top" wrapText="1"/>
    </xf>
    <xf numFmtId="0" fontId="26" fillId="3" borderId="2" xfId="0" applyFont="1" applyFill="1" applyBorder="1" applyAlignment="1">
      <alignment vertical="center" wrapText="1"/>
    </xf>
    <xf numFmtId="0" fontId="26" fillId="3" borderId="0" xfId="0" applyFont="1" applyFill="1" applyAlignment="1">
      <alignment vertical="center" wrapText="1"/>
    </xf>
    <xf numFmtId="0" fontId="8" fillId="20" borderId="2" xfId="0" applyFont="1" applyFill="1" applyBorder="1" applyAlignment="1">
      <alignment horizontal="left" vertical="center" wrapText="1"/>
    </xf>
    <xf numFmtId="0" fontId="8" fillId="20" borderId="0" xfId="0" applyFont="1" applyFill="1" applyAlignment="1">
      <alignment horizontal="left" vertical="center" wrapText="1"/>
    </xf>
    <xf numFmtId="0" fontId="26" fillId="20" borderId="2" xfId="0" applyFont="1" applyFill="1" applyBorder="1" applyAlignment="1">
      <alignment vertical="center" wrapText="1"/>
    </xf>
    <xf numFmtId="0" fontId="26" fillId="20" borderId="0" xfId="0" applyFont="1" applyFill="1" applyAlignment="1">
      <alignment vertical="center" wrapText="1"/>
    </xf>
    <xf numFmtId="0" fontId="8" fillId="20" borderId="2" xfId="0" applyFont="1" applyFill="1" applyBorder="1" applyAlignment="1">
      <alignment vertical="center" wrapText="1"/>
    </xf>
    <xf numFmtId="0" fontId="77" fillId="20" borderId="0" xfId="0" applyFont="1" applyFill="1" applyAlignment="1">
      <alignment vertical="center" wrapText="1"/>
    </xf>
    <xf numFmtId="0" fontId="16" fillId="3" borderId="2" xfId="0" applyFont="1" applyFill="1" applyBorder="1" applyAlignment="1">
      <alignment horizontal="left" vertical="top" wrapText="1"/>
    </xf>
    <xf numFmtId="0" fontId="16" fillId="3" borderId="0" xfId="0" applyFont="1" applyFill="1" applyAlignment="1">
      <alignment horizontal="left" vertical="top" wrapText="1"/>
    </xf>
    <xf numFmtId="0" fontId="10" fillId="8" borderId="0" xfId="0" applyFont="1" applyFill="1" applyAlignment="1">
      <alignment horizontal="center" vertical="center" wrapText="1"/>
    </xf>
    <xf numFmtId="166" fontId="32" fillId="2" borderId="0" xfId="4" applyFont="1" applyFill="1" applyBorder="1" applyAlignment="1">
      <alignment horizontal="left"/>
    </xf>
    <xf numFmtId="0" fontId="12" fillId="14" borderId="12" xfId="0" applyFont="1" applyFill="1" applyBorder="1" applyAlignment="1">
      <alignment horizontal="center"/>
    </xf>
    <xf numFmtId="0" fontId="12" fillId="14" borderId="4" xfId="0" applyFont="1" applyFill="1" applyBorder="1" applyAlignment="1">
      <alignment horizontal="center"/>
    </xf>
    <xf numFmtId="168" fontId="12" fillId="2" borderId="0" xfId="0" applyNumberFormat="1" applyFont="1" applyFill="1"/>
    <xf numFmtId="168" fontId="97" fillId="2" borderId="0" xfId="0" applyNumberFormat="1" applyFont="1" applyFill="1"/>
    <xf numFmtId="166" fontId="48" fillId="9" borderId="12" xfId="4" applyFont="1" applyFill="1" applyBorder="1" applyAlignment="1">
      <alignment horizontal="center"/>
    </xf>
    <xf numFmtId="166" fontId="48" fillId="9" borderId="4" xfId="4" applyFont="1" applyFill="1" applyBorder="1" applyAlignment="1">
      <alignment horizontal="center"/>
    </xf>
    <xf numFmtId="0" fontId="37" fillId="3" borderId="0" xfId="0" applyFont="1" applyFill="1" applyAlignment="1">
      <alignment horizontal="center" vertical="top"/>
    </xf>
    <xf numFmtId="0" fontId="28" fillId="2" borderId="0" xfId="0" applyFont="1" applyFill="1" applyAlignment="1">
      <alignment horizontal="center"/>
    </xf>
    <xf numFmtId="0" fontId="10" fillId="8" borderId="0" xfId="0" applyFont="1" applyFill="1" applyAlignment="1">
      <alignment horizontal="left" vertical="center" wrapText="1"/>
    </xf>
    <xf numFmtId="1" fontId="10" fillId="8" borderId="0" xfId="0" applyNumberFormat="1" applyFont="1" applyFill="1" applyAlignment="1">
      <alignment horizontal="left" vertical="center"/>
    </xf>
    <xf numFmtId="14" fontId="10" fillId="8" borderId="0" xfId="0" applyNumberFormat="1" applyFont="1" applyFill="1" applyAlignment="1">
      <alignment horizontal="left" vertical="center"/>
    </xf>
    <xf numFmtId="166" fontId="28" fillId="2" borderId="0" xfId="4" applyFont="1" applyFill="1" applyBorder="1"/>
    <xf numFmtId="168" fontId="28" fillId="2" borderId="0" xfId="0" applyNumberFormat="1" applyFont="1" applyFill="1"/>
    <xf numFmtId="0" fontId="28" fillId="2" borderId="0" xfId="0" applyFont="1" applyFill="1"/>
    <xf numFmtId="0" fontId="32" fillId="8" borderId="0" xfId="0" applyFont="1" applyFill="1" applyAlignment="1">
      <alignment horizontal="left" vertical="top" wrapText="1"/>
    </xf>
    <xf numFmtId="166" fontId="48" fillId="9" borderId="25" xfId="4" applyFont="1" applyFill="1" applyBorder="1" applyAlignment="1">
      <alignment horizontal="center"/>
    </xf>
    <xf numFmtId="166" fontId="48" fillId="9" borderId="14" xfId="4" applyFont="1" applyFill="1" applyBorder="1" applyAlignment="1">
      <alignment horizontal="center"/>
    </xf>
    <xf numFmtId="0" fontId="37" fillId="3" borderId="0" xfId="0" applyFont="1" applyFill="1" applyAlignment="1">
      <alignment horizontal="left" vertical="top"/>
    </xf>
    <xf numFmtId="0" fontId="37" fillId="3" borderId="0" xfId="0" applyFont="1" applyFill="1" applyAlignment="1">
      <alignment horizontal="center" vertical="center"/>
    </xf>
    <xf numFmtId="0" fontId="31" fillId="8" borderId="0" xfId="0" applyFont="1" applyFill="1" applyAlignment="1">
      <alignment horizontal="left" vertical="center" wrapText="1"/>
    </xf>
    <xf numFmtId="170" fontId="10" fillId="8" borderId="0" xfId="0" applyNumberFormat="1" applyFont="1" applyFill="1" applyAlignment="1">
      <alignment horizontal="left" vertical="center"/>
    </xf>
    <xf numFmtId="0" fontId="109" fillId="3" borderId="2" xfId="0" applyFont="1" applyFill="1" applyBorder="1" applyAlignment="1">
      <alignment horizontal="left" vertical="top" wrapText="1"/>
    </xf>
    <xf numFmtId="0" fontId="109" fillId="3" borderId="0" xfId="0" applyFont="1" applyFill="1" applyAlignment="1">
      <alignment horizontal="left" vertical="top" wrapText="1"/>
    </xf>
    <xf numFmtId="170" fontId="31" fillId="8" borderId="0" xfId="3" applyNumberFormat="1" applyFont="1" applyFill="1" applyAlignment="1">
      <alignment horizontal="left" vertical="center"/>
    </xf>
    <xf numFmtId="0" fontId="37" fillId="3" borderId="0" xfId="3" applyFont="1" applyFill="1" applyAlignment="1">
      <alignment horizontal="center" vertical="top"/>
    </xf>
    <xf numFmtId="0" fontId="31" fillId="8" borderId="0" xfId="3" applyFont="1" applyFill="1" applyAlignment="1">
      <alignment horizontal="left" vertical="center"/>
    </xf>
    <xf numFmtId="166" fontId="9" fillId="0" borderId="0" xfId="0" applyNumberFormat="1" applyFont="1" applyAlignment="1">
      <alignment horizontal="center" vertical="center"/>
    </xf>
    <xf numFmtId="167" fontId="11" fillId="2" borderId="0" xfId="3" applyNumberFormat="1" applyFont="1" applyFill="1" applyAlignment="1">
      <alignment horizontal="center" vertical="center"/>
    </xf>
    <xf numFmtId="0" fontId="8" fillId="3" borderId="0" xfId="0" applyFont="1" applyFill="1" applyAlignment="1">
      <alignment vertical="top" wrapText="1"/>
    </xf>
    <xf numFmtId="0" fontId="8" fillId="3" borderId="0" xfId="0" applyFont="1" applyFill="1" applyAlignment="1">
      <alignment vertical="center" wrapText="1"/>
    </xf>
    <xf numFmtId="167" fontId="120" fillId="14" borderId="2" xfId="3" applyNumberFormat="1" applyFont="1" applyFill="1" applyBorder="1" applyAlignment="1">
      <alignment horizontal="center" vertical="center"/>
    </xf>
    <xf numFmtId="167" fontId="120" fillId="14" borderId="0" xfId="3" applyNumberFormat="1" applyFont="1" applyFill="1" applyAlignment="1">
      <alignment horizontal="center" vertical="center"/>
    </xf>
    <xf numFmtId="0" fontId="16" fillId="0" borderId="0" xfId="0" applyFont="1" applyAlignment="1">
      <alignment horizontal="left" vertical="center"/>
    </xf>
    <xf numFmtId="0" fontId="8" fillId="0" borderId="0" xfId="0" applyFont="1" applyAlignment="1">
      <alignment horizontal="left" vertical="center"/>
    </xf>
    <xf numFmtId="0" fontId="8" fillId="14" borderId="2" xfId="0" applyFont="1" applyFill="1" applyBorder="1" applyAlignment="1">
      <alignment horizontal="left" vertical="center" wrapText="1"/>
    </xf>
    <xf numFmtId="0" fontId="8" fillId="14" borderId="0" xfId="0" applyFont="1" applyFill="1" applyAlignment="1">
      <alignment horizontal="left" vertical="center" wrapText="1"/>
    </xf>
    <xf numFmtId="0" fontId="16" fillId="14" borderId="0" xfId="0" applyFont="1" applyFill="1" applyAlignment="1">
      <alignment horizontal="left" vertical="center"/>
    </xf>
    <xf numFmtId="0" fontId="8" fillId="23" borderId="0" xfId="0" applyFont="1" applyFill="1" applyAlignment="1">
      <alignment horizontal="left" vertical="center"/>
    </xf>
    <xf numFmtId="168" fontId="32" fillId="8" borderId="0" xfId="0" applyNumberFormat="1" applyFont="1" applyFill="1" applyAlignment="1">
      <alignment horizontal="left" vertical="center"/>
    </xf>
    <xf numFmtId="166" fontId="4" fillId="2" borderId="0" xfId="1" applyFont="1" applyFill="1" applyAlignment="1">
      <alignment horizontal="center"/>
    </xf>
    <xf numFmtId="166" fontId="5" fillId="2" borderId="0" xfId="1" applyFont="1" applyFill="1" applyAlignment="1">
      <alignment horizontal="center"/>
    </xf>
    <xf numFmtId="166" fontId="6" fillId="20" borderId="8" xfId="1" applyFont="1" applyFill="1" applyBorder="1" applyAlignment="1">
      <alignment horizontal="left" vertical="center"/>
    </xf>
    <xf numFmtId="166" fontId="6" fillId="20" borderId="35" xfId="1" applyFont="1" applyFill="1" applyBorder="1" applyAlignment="1">
      <alignment horizontal="left" vertical="center"/>
    </xf>
    <xf numFmtId="166" fontId="6" fillId="20" borderId="7" xfId="1" applyFont="1" applyFill="1" applyBorder="1" applyAlignment="1">
      <alignment horizontal="left" vertical="center"/>
    </xf>
    <xf numFmtId="170" fontId="6" fillId="0" borderId="0" xfId="1" applyNumberFormat="1" applyFont="1" applyFill="1" applyAlignment="1">
      <alignment horizontal="center"/>
    </xf>
    <xf numFmtId="166" fontId="5" fillId="2" borderId="0" xfId="1" applyFont="1" applyFill="1" applyAlignment="1">
      <alignment horizontal="center" vertical="top" wrapText="1"/>
    </xf>
    <xf numFmtId="0" fontId="8" fillId="3" borderId="0" xfId="0" applyFont="1" applyFill="1" applyBorder="1" applyAlignment="1">
      <alignment vertical="center" wrapText="1"/>
    </xf>
    <xf numFmtId="0" fontId="77" fillId="14" borderId="0" xfId="0" applyFont="1" applyFill="1" applyBorder="1" applyAlignment="1">
      <alignment vertical="center" wrapText="1"/>
    </xf>
  </cellXfs>
  <cellStyles count="6">
    <cellStyle name="Currency" xfId="1" builtinId="4"/>
    <cellStyle name="Currency 2" xfId="4" xr:uid="{00000000-0005-0000-0000-000001000000}"/>
    <cellStyle name="Normal" xfId="0" builtinId="0"/>
    <cellStyle name="Normal 2" xfId="3" xr:uid="{00000000-0005-0000-0000-000003000000}"/>
    <cellStyle name="Percent" xfId="2" builtinId="5"/>
    <cellStyle name="Percent 2" xfId="5" xr:uid="{00000000-0005-0000-0000-000005000000}"/>
  </cellStyles>
  <dxfs count="12981">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8" tint="-0.24994659260841701"/>
        </patternFill>
      </fill>
    </dxf>
    <dxf>
      <font>
        <color theme="0"/>
      </font>
      <fill>
        <patternFill>
          <bgColor theme="8" tint="-0.24994659260841701"/>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numFmt numFmtId="179" formatCode="_-[$€-2]\ * #,##0.00_-;\-[$€-2]\ * #,##0.00_-;_-[$€-2]\ * &quot;-&quot;??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numFmt numFmtId="179" formatCode="_-[$€-2]\ * #,##0.00_-;\-[$€-2]\ * #,##0.00_-;_-[$€-2]\ * &quot;-&quot;??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numFmt numFmtId="179"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auto="1"/>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409]* #,##0.00_ ;_-[$$-409]* \-#,##0.00\ ;_-[$$-409]* &quot;-&quot;??_ ;_-@_ "/>
    </dxf>
    <dxf>
      <font>
        <b/>
        <i val="0"/>
        <color theme="8" tint="-0.499984740745262"/>
      </font>
      <fill>
        <patternFill>
          <bgColor theme="8" tint="0.59996337778862885"/>
        </patternFill>
      </fill>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font>
        <b/>
        <i val="0"/>
        <color theme="8" tint="-0.499984740745262"/>
      </font>
      <fill>
        <patternFill>
          <bgColor theme="8" tint="0.59996337778862885"/>
        </patternFill>
      </fill>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dxf>
    <dxf>
      <font>
        <b/>
        <i val="0"/>
        <color rgb="FFC00000"/>
      </font>
      <fill>
        <patternFill>
          <bgColor theme="0"/>
        </patternFill>
      </fill>
    </dxf>
    <dxf>
      <font>
        <b/>
        <i val="0"/>
        <color auto="1"/>
      </font>
      <fill>
        <patternFill>
          <bgColor theme="8" tint="0.79998168889431442"/>
        </patternFill>
      </fill>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9"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numFmt numFmtId="179"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9" formatCode="_-[$€-2]\ * #,##0.00_-;\-[$€-2]\ * #,##0.00_-;_-[$€-2]\ * &quot;-&quot;??_-;_-@_-"/>
    </dxf>
    <dxf>
      <numFmt numFmtId="180" formatCode="_-* #,##0.00\ [$Kč-405]_-;\-* #,##0.00\ [$Kč-405]_-;_-* &quot;-&quot;??\ [$Kč-405]_-;_-@_-"/>
    </dxf>
    <dxf>
      <numFmt numFmtId="177" formatCode="_-* #,##0.00\ [$zł-415]_-;\-* #,##0.00\ [$zł-415]_-;_-* &quot;-&quot;??\ [$zł-415]_-;_-@_-"/>
    </dxf>
    <dxf>
      <numFmt numFmtId="178" formatCode="_-[$$-409]* #,##0.00_ ;_-[$$-409]* \-#,##0.00\ ;_-[$$-409]* &quot;-&quot;??_ ;_-@_ "/>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numFmt numFmtId="179"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numFmt numFmtId="180" formatCode="_-* #,##0.00\ [$Kč-405]_-;\-* #,##0.00\ [$Kč-405]_-;_-* &quot;-&quot;??\ [$Kč-405]_-;_-@_-"/>
    </dxf>
    <dxf>
      <numFmt numFmtId="177" formatCode="_-* #,##0.00\ [$zł-415]_-;\-* #,##0.00\ [$zł-415]_-;_-* &quot;-&quot;??\ [$zł-415]_-;_-@_-"/>
    </dxf>
    <dxf>
      <numFmt numFmtId="178" formatCode="_-[$$-409]* #,##0.00_ ;_-[$$-409]* \-#,##0.00\ ;_-[$$-409]* &quot;-&quot;??_ ;_-@_ "/>
    </dxf>
    <dxf>
      <numFmt numFmtId="179" formatCode="_-[$€-2]\ * #,##0.00_-;\-[$€-2]\ * #,##0.00_-;_-[$€-2]\ * &quot;-&quot;??_-;_-@_-"/>
    </dxf>
    <dxf>
      <font>
        <color theme="8" tint="-0.499984740745262"/>
      </font>
      <fill>
        <patternFill>
          <bgColor theme="8" tint="0.59996337778862885"/>
        </patternFill>
      </fill>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9" formatCode="_-[$€-2]\ * #,##0.00_-;\-[$€-2]\ * #,##0.00_-;_-[$€-2]\ * &quot;-&quot;??_-;_-@_-"/>
    </dxf>
    <dxf>
      <numFmt numFmtId="178" formatCode="_-[$$-409]* #,##0.00_ ;_-[$$-409]* \-#,##0.00\ ;_-[$$-409]* &quot;-&quot;??_ ;_-@_ "/>
    </dxf>
    <dxf>
      <numFmt numFmtId="180" formatCode="_-* #,##0.00\ [$Kč-405]_-;\-* #,##0.00\ [$Kč-405]_-;_-* &quot;-&quot;??\ [$Kč-405]_-;_-@_-"/>
    </dxf>
    <dxf>
      <numFmt numFmtId="177" formatCode="_-* #,##0.00\ [$zł-415]_-;\-* #,##0.00\ [$zł-415]_-;_-* &quot;-&quot;??\ [$zł-415]_-;_-@_-"/>
    </dxf>
    <dxf>
      <font>
        <b/>
        <i val="0"/>
        <color theme="8" tint="-0.499984740745262"/>
      </font>
      <fill>
        <patternFill>
          <bgColor theme="8" tint="0.59996337778862885"/>
        </patternFill>
      </fill>
    </dxf>
    <dxf>
      <numFmt numFmtId="179" formatCode="_-[$€-2]\ * #,##0.00_-;\-[$€-2]\ * #,##0.00_-;_-[$€-2]\ * &quot;-&quot;??_-;_-@_-"/>
    </dxf>
    <dxf>
      <font>
        <b val="0"/>
        <i val="0"/>
        <color rgb="FFC00000"/>
      </font>
      <fill>
        <patternFill patternType="none">
          <bgColor auto="1"/>
        </patternFill>
      </fill>
    </dxf>
    <dxf>
      <font>
        <b val="0"/>
        <i val="0"/>
        <color rgb="FFC00000"/>
      </font>
      <fill>
        <patternFill patternType="none">
          <bgColor auto="1"/>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colors>
    <mruColors>
      <color rgb="FF00CC00"/>
      <color rgb="FFC40000"/>
      <color rgb="FFFFC5FF"/>
      <color rgb="FF007A37"/>
      <color rgb="FF8439BD"/>
      <color rgb="FFD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externalLink" Target="externalLinks/externalLink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1.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15562" y="438151"/>
          <a:ext cx="1753012" cy="380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4B81E2C3-9184-7742-9EFA-E5C9201421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898379</xdr:colOff>
      <xdr:row>4</xdr:row>
      <xdr:rowOff>947</xdr:rowOff>
    </xdr:to>
    <xdr:pic>
      <xdr:nvPicPr>
        <xdr:cNvPr id="2" name="Picture 1">
          <a:extLst>
            <a:ext uri="{FF2B5EF4-FFF2-40B4-BE49-F238E27FC236}">
              <a16:creationId xmlns:a16="http://schemas.microsoft.com/office/drawing/2014/main" id="{B4F2276E-A17E-8A4E-8BD7-8B36817886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50879" cy="38194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18601</xdr:rowOff>
    </xdr:to>
    <xdr:pic>
      <xdr:nvPicPr>
        <xdr:cNvPr id="2" name="Picture 1">
          <a:extLst>
            <a:ext uri="{FF2B5EF4-FFF2-40B4-BE49-F238E27FC236}">
              <a16:creationId xmlns:a16="http://schemas.microsoft.com/office/drawing/2014/main" id="{B13E2ED8-B98A-4149-B217-8BFC7AEC9D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37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60959</xdr:rowOff>
    </xdr:to>
    <xdr:pic>
      <xdr:nvPicPr>
        <xdr:cNvPr id="2" name="Picture 1">
          <a:extLst>
            <a:ext uri="{FF2B5EF4-FFF2-40B4-BE49-F238E27FC236}">
              <a16:creationId xmlns:a16="http://schemas.microsoft.com/office/drawing/2014/main" id="{34C79103-47F4-7544-9FE5-5C5006335D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29075" y="438150"/>
          <a:ext cx="1873026" cy="3848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55FA2BA8-D6E9-274B-A06A-BAD2949F99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42614EAB-36A9-8949-87DB-A333349370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898379</xdr:colOff>
      <xdr:row>4</xdr:row>
      <xdr:rowOff>947</xdr:rowOff>
    </xdr:to>
    <xdr:pic>
      <xdr:nvPicPr>
        <xdr:cNvPr id="2" name="Picture 1">
          <a:extLst>
            <a:ext uri="{FF2B5EF4-FFF2-40B4-BE49-F238E27FC236}">
              <a16:creationId xmlns:a16="http://schemas.microsoft.com/office/drawing/2014/main" id="{CB76CD1B-0F21-EE48-A206-2CFD5FBF85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50879" cy="3819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18601</xdr:rowOff>
    </xdr:to>
    <xdr:pic>
      <xdr:nvPicPr>
        <xdr:cNvPr id="2" name="Picture 1">
          <a:extLst>
            <a:ext uri="{FF2B5EF4-FFF2-40B4-BE49-F238E27FC236}">
              <a16:creationId xmlns:a16="http://schemas.microsoft.com/office/drawing/2014/main" id="{98BD0823-F537-2D40-B137-6711D65E01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374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60959</xdr:rowOff>
    </xdr:to>
    <xdr:pic>
      <xdr:nvPicPr>
        <xdr:cNvPr id="2" name="Picture 1">
          <a:extLst>
            <a:ext uri="{FF2B5EF4-FFF2-40B4-BE49-F238E27FC236}">
              <a16:creationId xmlns:a16="http://schemas.microsoft.com/office/drawing/2014/main" id="{B94DA7B1-EC61-0B41-9E79-35450A9F54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29075" y="438150"/>
          <a:ext cx="1873026" cy="3848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B4A7C556-9B85-9049-9EFB-C3321EA4E0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FE55FB2-F521-AD4C-8BEF-A2508C6E5C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898379</xdr:colOff>
      <xdr:row>4</xdr:row>
      <xdr:rowOff>947</xdr:rowOff>
    </xdr:to>
    <xdr:pic>
      <xdr:nvPicPr>
        <xdr:cNvPr id="2" name="Picture 1">
          <a:extLst>
            <a:ext uri="{FF2B5EF4-FFF2-40B4-BE49-F238E27FC236}">
              <a16:creationId xmlns:a16="http://schemas.microsoft.com/office/drawing/2014/main" id="{5F46008B-8A85-FF47-AF93-6205CE54C1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50879" cy="3819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18601</xdr:rowOff>
    </xdr:to>
    <xdr:pic>
      <xdr:nvPicPr>
        <xdr:cNvPr id="2" name="Picture 1">
          <a:extLst>
            <a:ext uri="{FF2B5EF4-FFF2-40B4-BE49-F238E27FC236}">
              <a16:creationId xmlns:a16="http://schemas.microsoft.com/office/drawing/2014/main" id="{816A3B67-3A27-D348-89FD-4F960DD910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374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60959</xdr:rowOff>
    </xdr:to>
    <xdr:pic>
      <xdr:nvPicPr>
        <xdr:cNvPr id="2" name="Picture 1">
          <a:extLst>
            <a:ext uri="{FF2B5EF4-FFF2-40B4-BE49-F238E27FC236}">
              <a16:creationId xmlns:a16="http://schemas.microsoft.com/office/drawing/2014/main" id="{2723B496-85AD-8142-AC93-6AF58DBAD9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29075" y="438150"/>
          <a:ext cx="1873026" cy="38480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B0F23C91-6EB8-3A46-8746-6D55BA568C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40CD422D-C717-AB40-9733-94BC94CBE1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898379</xdr:colOff>
      <xdr:row>4</xdr:row>
      <xdr:rowOff>947</xdr:rowOff>
    </xdr:to>
    <xdr:pic>
      <xdr:nvPicPr>
        <xdr:cNvPr id="2" name="Picture 1">
          <a:extLst>
            <a:ext uri="{FF2B5EF4-FFF2-40B4-BE49-F238E27FC236}">
              <a16:creationId xmlns:a16="http://schemas.microsoft.com/office/drawing/2014/main" id="{03F13F14-EE75-6746-B8FD-512BD5C7E7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50879" cy="38194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18601</xdr:rowOff>
    </xdr:to>
    <xdr:pic>
      <xdr:nvPicPr>
        <xdr:cNvPr id="2" name="Picture 1">
          <a:extLst>
            <a:ext uri="{FF2B5EF4-FFF2-40B4-BE49-F238E27FC236}">
              <a16:creationId xmlns:a16="http://schemas.microsoft.com/office/drawing/2014/main" id="{0A7FBBD6-A1C2-D045-8B02-877860196A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374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60959</xdr:rowOff>
    </xdr:to>
    <xdr:pic>
      <xdr:nvPicPr>
        <xdr:cNvPr id="2" name="Picture 1">
          <a:extLst>
            <a:ext uri="{FF2B5EF4-FFF2-40B4-BE49-F238E27FC236}">
              <a16:creationId xmlns:a16="http://schemas.microsoft.com/office/drawing/2014/main" id="{4D2B92C9-36D7-B14D-A230-D9519D12E7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29075" y="438150"/>
          <a:ext cx="1873026" cy="38480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4F707578-4304-5D4D-9C8D-BADA276F248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7D9520A8-5370-1A4C-9FE7-874733E3CB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898379</xdr:colOff>
      <xdr:row>4</xdr:row>
      <xdr:rowOff>947</xdr:rowOff>
    </xdr:to>
    <xdr:pic>
      <xdr:nvPicPr>
        <xdr:cNvPr id="2" name="Picture 1">
          <a:extLst>
            <a:ext uri="{FF2B5EF4-FFF2-40B4-BE49-F238E27FC236}">
              <a16:creationId xmlns:a16="http://schemas.microsoft.com/office/drawing/2014/main" id="{27B2906A-9223-2C4E-BBEC-A66D44D308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50879" cy="38194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18601</xdr:rowOff>
    </xdr:to>
    <xdr:pic>
      <xdr:nvPicPr>
        <xdr:cNvPr id="2" name="Picture 1">
          <a:extLst>
            <a:ext uri="{FF2B5EF4-FFF2-40B4-BE49-F238E27FC236}">
              <a16:creationId xmlns:a16="http://schemas.microsoft.com/office/drawing/2014/main" id="{0BD39081-A9DF-E844-8C90-BAF4CBE42F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3742"/>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60959</xdr:rowOff>
    </xdr:to>
    <xdr:pic>
      <xdr:nvPicPr>
        <xdr:cNvPr id="2" name="Picture 1">
          <a:extLst>
            <a:ext uri="{FF2B5EF4-FFF2-40B4-BE49-F238E27FC236}">
              <a16:creationId xmlns:a16="http://schemas.microsoft.com/office/drawing/2014/main" id="{6D40EB1C-9B5C-6F4F-A4FF-561BA21D3D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29075" y="438150"/>
          <a:ext cx="1873026" cy="38480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D0B6B2C0-9EC4-DB4E-8041-3946E80B2F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B33954A0-E236-D640-9702-220CE808EA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898379</xdr:colOff>
      <xdr:row>4</xdr:row>
      <xdr:rowOff>947</xdr:rowOff>
    </xdr:to>
    <xdr:pic>
      <xdr:nvPicPr>
        <xdr:cNvPr id="2" name="Picture 1">
          <a:extLst>
            <a:ext uri="{FF2B5EF4-FFF2-40B4-BE49-F238E27FC236}">
              <a16:creationId xmlns:a16="http://schemas.microsoft.com/office/drawing/2014/main" id="{B9E367AD-F800-5C49-BDE3-A86FA5020F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50879" cy="38194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18601</xdr:rowOff>
    </xdr:to>
    <xdr:pic>
      <xdr:nvPicPr>
        <xdr:cNvPr id="2" name="Picture 1">
          <a:extLst>
            <a:ext uri="{FF2B5EF4-FFF2-40B4-BE49-F238E27FC236}">
              <a16:creationId xmlns:a16="http://schemas.microsoft.com/office/drawing/2014/main" id="{CE9C8D8C-3D49-E94F-ADE1-35AA51C6CB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374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60959</xdr:rowOff>
    </xdr:to>
    <xdr:pic>
      <xdr:nvPicPr>
        <xdr:cNvPr id="2" name="Picture 1">
          <a:extLst>
            <a:ext uri="{FF2B5EF4-FFF2-40B4-BE49-F238E27FC236}">
              <a16:creationId xmlns:a16="http://schemas.microsoft.com/office/drawing/2014/main" id="{7898C76A-B2D9-EE40-8419-279EC6D08F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29075" y="438150"/>
          <a:ext cx="1873026" cy="384809"/>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25BDCC3A-BDCE-984E-85F0-16AC0CB027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9322" y="461681"/>
          <a:ext cx="1714912" cy="385482"/>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61929" y="457199"/>
          <a:ext cx="1753012" cy="380999"/>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1094482-5DBC-BF4A-9555-A92DDF9734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898379</xdr:colOff>
      <xdr:row>4</xdr:row>
      <xdr:rowOff>947</xdr:rowOff>
    </xdr:to>
    <xdr:pic>
      <xdr:nvPicPr>
        <xdr:cNvPr id="2" name="Picture 1">
          <a:extLst>
            <a:ext uri="{FF2B5EF4-FFF2-40B4-BE49-F238E27FC236}">
              <a16:creationId xmlns:a16="http://schemas.microsoft.com/office/drawing/2014/main" id="{3A12D665-1CE0-DB43-93BE-4C9440F0B7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50879" cy="381947"/>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18601</xdr:rowOff>
    </xdr:to>
    <xdr:pic>
      <xdr:nvPicPr>
        <xdr:cNvPr id="2" name="Picture 1">
          <a:extLst>
            <a:ext uri="{FF2B5EF4-FFF2-40B4-BE49-F238E27FC236}">
              <a16:creationId xmlns:a16="http://schemas.microsoft.com/office/drawing/2014/main" id="{0533C627-DC59-B646-B564-36D07F5870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1241" y="658159"/>
          <a:ext cx="1978959" cy="363742"/>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60959</xdr:rowOff>
    </xdr:to>
    <xdr:pic>
      <xdr:nvPicPr>
        <xdr:cNvPr id="2" name="Picture 1">
          <a:extLst>
            <a:ext uri="{FF2B5EF4-FFF2-40B4-BE49-F238E27FC236}">
              <a16:creationId xmlns:a16="http://schemas.microsoft.com/office/drawing/2014/main" id="{DA04F040-DC63-7345-ADE9-1442927AD8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29075" y="438150"/>
          <a:ext cx="1873026" cy="384809"/>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A3854510-2D90-BE4B-9F53-BB08633489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87439272-A6CF-DE42-A5E0-E92ABDBF73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898379</xdr:colOff>
      <xdr:row>4</xdr:row>
      <xdr:rowOff>947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58975" y="381000"/>
          <a:ext cx="1717528" cy="381947"/>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18601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2329" y="663388"/>
          <a:ext cx="1753012" cy="38099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10</xdr:col>
      <xdr:colOff>855981</xdr:colOff>
      <xdr:row>5</xdr:row>
      <xdr:rowOff>22411</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44261" y="660699"/>
          <a:ext cx="1745280" cy="382792"/>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96165" y="510988"/>
          <a:ext cx="1753012" cy="380999"/>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9</xdr:col>
      <xdr:colOff>502024</xdr:colOff>
      <xdr:row>2</xdr:row>
      <xdr:rowOff>44825</xdr:rowOff>
    </xdr:from>
    <xdr:to>
      <xdr:col>10</xdr:col>
      <xdr:colOff>991012</xdr:colOff>
      <xdr:row>4</xdr:row>
      <xdr:rowOff>72950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25318" y="457201"/>
          <a:ext cx="1753012" cy="380999"/>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60959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0015" y="438150"/>
          <a:ext cx="1753012" cy="380999"/>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53992" y="434788"/>
          <a:ext cx="1721076" cy="3854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0</xdr:colOff>
          <xdr:row>8</xdr:row>
          <xdr:rowOff>0</xdr:rowOff>
        </xdr:from>
        <xdr:to>
          <xdr:col>33</xdr:col>
          <xdr:colOff>101600</xdr:colOff>
          <xdr:row>70</xdr:row>
          <xdr:rowOff>101600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0E00-0000015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84541" y="430306"/>
          <a:ext cx="1753012" cy="380999"/>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4BB281EF-B023-44C8-8946-300F67F2E2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43845F14-608C-4AF3-82B1-290C6CEB6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7635" y="438150"/>
          <a:ext cx="1753012" cy="380999"/>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35200" y="438150"/>
          <a:ext cx="1724437" cy="380999"/>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11425" y="438150"/>
          <a:ext cx="1753012" cy="3809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lton-my.sharepoint.com/personal/simon_still_halton_com/Documents/Desktop/HFL%20Cost%20Sheet%20Opera%20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azan/Library/Containers/com.microsoft.Excel/Data/Documents/hflserver\users\Samuel.Antunes\Desktop\New%20%20folder\COST%20SHEET\Pollustop%20Cost%20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 CLG"/>
      <sheetName val="Contract"/>
      <sheetName val="SDU"/>
      <sheetName val="FILTER CANOPY"/>
      <sheetName val="ANSUL"/>
      <sheetName val="UV CANOPY"/>
    </sheetNames>
    <sheetDataSet>
      <sheetData sheetId="0"/>
      <sheetData sheetId="1"/>
      <sheetData sheetId="2"/>
      <sheetData sheetId="3"/>
      <sheetData sheetId="4"/>
      <sheetData sheetId="5">
        <row r="1">
          <cell r="T1" t="str">
            <v>Select Plant hire (weekly)</v>
          </cell>
        </row>
        <row r="2">
          <cell r="T2" t="str">
            <v>SL10 Genie</v>
          </cell>
        </row>
        <row r="3">
          <cell r="T3" t="str">
            <v>Extension forks</v>
          </cell>
        </row>
        <row r="4">
          <cell r="T4" t="str">
            <v>2.5m Combi ladder</v>
          </cell>
        </row>
        <row r="5">
          <cell r="T5" t="str">
            <v>Podium</v>
          </cell>
        </row>
        <row r="6">
          <cell r="T6" t="str">
            <v>3m Tower</v>
          </cell>
        </row>
        <row r="7">
          <cell r="T7" t="str">
            <v>Combi ladder</v>
          </cell>
        </row>
        <row r="8">
          <cell r="T8" t="str">
            <v>Trestles</v>
          </cell>
        </row>
        <row r="9">
          <cell r="T9" t="str">
            <v>3m Youngman board</v>
          </cell>
        </row>
        <row r="10">
          <cell r="T10" t="str">
            <v>GS1930 Scissor lift</v>
          </cell>
        </row>
        <row r="11">
          <cell r="T11" t="str">
            <v>4-6 Sherascopic</v>
          </cell>
        </row>
        <row r="12">
          <cell r="T12" t="str">
            <v>7-9 Sherascopic</v>
          </cell>
        </row>
        <row r="13">
          <cell r="T13" t="str">
            <v>8 Tread steps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Costs"/>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4.xml"/><Relationship Id="rId1" Type="http://schemas.openxmlformats.org/officeDocument/2006/relationships/printerSettings" Target="../printerSettings/printerSettings47.bin"/><Relationship Id="rId4" Type="http://schemas.openxmlformats.org/officeDocument/2006/relationships/comments" Target="../comments1.xm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6.xml"/><Relationship Id="rId1" Type="http://schemas.openxmlformats.org/officeDocument/2006/relationships/printerSettings" Target="../printerSettings/printerSettings49.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abSelected="1" topLeftCell="L8" zoomScale="150" zoomScaleNormal="80" zoomScaleSheetLayoutView="50" workbookViewId="0">
      <selection activeCell="X20" sqref="X20"/>
    </sheetView>
  </sheetViews>
  <sheetFormatPr baseColWidth="10" defaultColWidth="8.83203125" defaultRowHeight="15" customHeight="1" x14ac:dyDescent="0.15"/>
  <cols>
    <col min="1" max="1" width="2" style="215" customWidth="1"/>
    <col min="2" max="2" width="30.33203125" style="217" customWidth="1"/>
    <col min="3" max="3" width="25.83203125" style="217" bestFit="1" customWidth="1"/>
    <col min="4" max="4" width="20.5" style="217" customWidth="1"/>
    <col min="5" max="5" width="5" style="217" customWidth="1"/>
    <col min="6" max="6" width="18.83203125" style="217" customWidth="1"/>
    <col min="7" max="7" width="12.1640625" style="217" customWidth="1"/>
    <col min="8" max="8" width="7.6640625" style="233" customWidth="1"/>
    <col min="9" max="9" width="11.6640625" style="233" customWidth="1"/>
    <col min="10" max="10" width="6.33203125" style="348" customWidth="1"/>
    <col min="11" max="11" width="17.5" style="228" customWidth="1"/>
    <col min="12" max="12" width="5.6640625" style="228" bestFit="1" customWidth="1"/>
    <col min="13" max="13" width="4.5" style="346" bestFit="1" customWidth="1"/>
    <col min="14" max="14" width="14.5" style="348" bestFit="1" customWidth="1"/>
    <col min="15" max="15" width="13.6640625" style="14" bestFit="1" customWidth="1"/>
    <col min="16" max="17" width="8.83203125" style="217" customWidth="1"/>
    <col min="18" max="18" width="18.6640625" style="217" customWidth="1"/>
    <col min="19" max="19" width="15.5" style="217" customWidth="1"/>
    <col min="20" max="20" width="14.5" style="217" customWidth="1"/>
    <col min="21" max="21" width="10.33203125" style="217" customWidth="1"/>
    <col min="22"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B1" s="26" t="s">
        <v>704</v>
      </c>
      <c r="C1" s="216"/>
      <c r="D1" s="216"/>
      <c r="E1" s="216"/>
      <c r="F1" s="216"/>
      <c r="G1" s="216"/>
      <c r="H1" s="29"/>
      <c r="I1" s="29"/>
      <c r="J1" s="336"/>
      <c r="K1" s="337"/>
      <c r="L1" s="338"/>
      <c r="M1" s="339"/>
      <c r="N1" s="336"/>
      <c r="O1" s="312"/>
      <c r="S1" s="80"/>
      <c r="T1" s="218"/>
    </row>
    <row r="2" spans="1:28" ht="15" customHeight="1" x14ac:dyDescent="0.15">
      <c r="B2" s="79"/>
      <c r="C2" s="221"/>
      <c r="D2" s="221"/>
      <c r="F2" s="79"/>
      <c r="G2" s="77"/>
      <c r="H2" s="222"/>
      <c r="I2" s="222"/>
      <c r="J2" s="340"/>
      <c r="K2" s="341"/>
      <c r="L2" s="342"/>
      <c r="M2" s="343"/>
      <c r="N2" s="344"/>
      <c r="T2" s="225"/>
      <c r="Y2" s="226"/>
    </row>
    <row r="3" spans="1:28" ht="15" customHeight="1" x14ac:dyDescent="0.15">
      <c r="B3" s="78" t="s">
        <v>733</v>
      </c>
      <c r="C3" s="1083" t="e">
        <f>IF(#REF!="","",#REF!)</f>
        <v>#REF!</v>
      </c>
      <c r="D3" s="1083"/>
      <c r="F3" s="76" t="s">
        <v>78</v>
      </c>
      <c r="G3" s="1084" t="e">
        <f>IF(#REF!="","",#REF!)</f>
        <v>#REF!</v>
      </c>
      <c r="H3" s="1084"/>
      <c r="I3" s="1084"/>
      <c r="J3" s="1084"/>
      <c r="L3" s="342"/>
      <c r="M3" s="343"/>
      <c r="N3" s="344"/>
      <c r="T3" s="225"/>
    </row>
    <row r="4" spans="1:28" ht="15" customHeight="1" x14ac:dyDescent="0.15">
      <c r="B4" s="79"/>
      <c r="C4" s="223"/>
      <c r="D4" s="223"/>
      <c r="F4" s="77"/>
      <c r="G4" s="222"/>
      <c r="H4" s="227"/>
      <c r="I4" s="227"/>
      <c r="J4" s="341"/>
      <c r="L4" s="342"/>
      <c r="M4" s="343"/>
      <c r="N4" s="344"/>
      <c r="T4" s="225"/>
    </row>
    <row r="5" spans="1:28" ht="15" customHeight="1" x14ac:dyDescent="0.15">
      <c r="B5" s="78" t="s">
        <v>75</v>
      </c>
      <c r="C5" s="1083" t="e">
        <f>IF(#REF!="","",#REF!)</f>
        <v>#REF!</v>
      </c>
      <c r="D5" s="1083"/>
      <c r="F5" s="76" t="s">
        <v>77</v>
      </c>
      <c r="G5" s="1084" t="e">
        <f>IF(#REF!="","",#REF!)</f>
        <v>#REF!</v>
      </c>
      <c r="H5" s="1084"/>
      <c r="I5" s="1084"/>
      <c r="J5" s="1084"/>
      <c r="M5" s="343"/>
      <c r="N5" s="344"/>
      <c r="Q5" s="229"/>
      <c r="R5" s="229"/>
      <c r="T5" s="225"/>
      <c r="U5" s="226"/>
    </row>
    <row r="6" spans="1:28" ht="15" customHeight="1" x14ac:dyDescent="0.15">
      <c r="B6" s="78"/>
      <c r="C6" s="230"/>
      <c r="D6" s="230"/>
      <c r="F6" s="76"/>
      <c r="G6" s="222"/>
      <c r="H6" s="79"/>
      <c r="I6" s="79"/>
      <c r="J6" s="345"/>
      <c r="L6" s="342"/>
      <c r="M6" s="343"/>
      <c r="N6" s="344"/>
      <c r="Q6" s="229"/>
      <c r="R6" s="229"/>
      <c r="T6" s="225"/>
      <c r="U6" s="226"/>
      <c r="AA6" s="231"/>
    </row>
    <row r="7" spans="1:28" ht="15" customHeight="1" x14ac:dyDescent="0.15">
      <c r="B7" s="80" t="s">
        <v>734</v>
      </c>
      <c r="C7" s="1085"/>
      <c r="D7" s="1085"/>
      <c r="F7" s="76" t="s">
        <v>76</v>
      </c>
      <c r="G7" s="1086" t="e">
        <f>IF(#REF!="","",#REF!)</f>
        <v>#REF!</v>
      </c>
      <c r="H7" s="1086"/>
      <c r="I7" s="1086"/>
      <c r="J7" s="1086"/>
      <c r="N7" s="347" t="s">
        <v>79</v>
      </c>
      <c r="O7" s="576"/>
      <c r="P7" s="232"/>
      <c r="R7" s="224"/>
      <c r="T7" s="225"/>
      <c r="U7" s="226"/>
      <c r="AA7" s="231"/>
    </row>
    <row r="8" spans="1:28" ht="15" customHeight="1" x14ac:dyDescent="0.15">
      <c r="D8" s="219"/>
      <c r="E8" s="219"/>
      <c r="G8" s="219"/>
      <c r="J8" s="346"/>
      <c r="K8" s="14"/>
      <c r="T8" s="225"/>
      <c r="AA8" s="231"/>
    </row>
    <row r="9" spans="1:28" s="80" customFormat="1" ht="15" customHeight="1" x14ac:dyDescent="0.15">
      <c r="A9" s="215"/>
      <c r="B9" s="38" t="s">
        <v>353</v>
      </c>
      <c r="C9" s="373">
        <v>0</v>
      </c>
      <c r="D9" s="377">
        <f>IF(C9=0,0,(SUBTOTAL(9,M14:M27)/(1-C9))-M9)</f>
        <v>0</v>
      </c>
      <c r="H9" s="234"/>
      <c r="Q9" s="217"/>
      <c r="R9" s="217"/>
      <c r="S9" s="217"/>
      <c r="T9" s="217"/>
      <c r="U9" s="217"/>
      <c r="V9" s="217"/>
      <c r="Z9" s="217"/>
      <c r="AA9" s="217"/>
      <c r="AB9" s="217"/>
    </row>
    <row r="10" spans="1:28" s="80" customFormat="1" ht="15" customHeight="1" x14ac:dyDescent="0.15">
      <c r="A10" s="215"/>
      <c r="B10" s="6" t="s">
        <v>353</v>
      </c>
      <c r="C10" s="6" t="s">
        <v>542</v>
      </c>
      <c r="D10" s="6" t="s">
        <v>541</v>
      </c>
      <c r="E10" s="6"/>
      <c r="F10" s="6"/>
      <c r="G10" s="6"/>
      <c r="H10" s="6"/>
      <c r="I10" s="37"/>
      <c r="J10" s="1"/>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9"/>
      <c r="C11" s="9"/>
      <c r="D11" s="9"/>
      <c r="E11" s="9"/>
      <c r="F11" s="9"/>
      <c r="G11" s="34" t="s">
        <v>352</v>
      </c>
      <c r="H11" s="9"/>
      <c r="I11" s="34">
        <f>IF(ISNUMBER(SEARCH("UV",D14)),49.7,71.75)</f>
        <v>71.75</v>
      </c>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41"/>
      <c r="C12" s="241"/>
      <c r="D12" s="241"/>
      <c r="E12" s="241"/>
      <c r="F12" s="241"/>
      <c r="G12" s="241"/>
      <c r="H12" s="241"/>
      <c r="I12" s="241"/>
      <c r="J12" s="241"/>
      <c r="K12" s="154">
        <f>SUBTOTAL(9,K14:K26)</f>
        <v>0</v>
      </c>
      <c r="L12" s="15" t="str">
        <f>IF(O12=0,"-",O12/M12)</f>
        <v>-</v>
      </c>
      <c r="M12" s="154">
        <f>SUBTOTAL(9,M14:M26)</f>
        <v>0</v>
      </c>
      <c r="N12" s="464">
        <f>SUM(N14:N26)</f>
        <v>0</v>
      </c>
      <c r="O12" s="154">
        <f>SUM(O14:O26)</f>
        <v>0</v>
      </c>
      <c r="P12" s="217"/>
      <c r="Q12" s="217"/>
      <c r="R12" s="217"/>
      <c r="S12" s="217"/>
      <c r="T12" s="217"/>
      <c r="U12" s="235"/>
      <c r="V12" s="217"/>
      <c r="Z12" s="217"/>
      <c r="AA12" s="217"/>
      <c r="AB12" s="217"/>
    </row>
    <row r="13" spans="1:28" ht="15" customHeight="1" x14ac:dyDescent="0.15">
      <c r="B13" s="7"/>
      <c r="C13" s="7"/>
      <c r="D13" s="7"/>
      <c r="E13" s="7"/>
      <c r="F13" s="7"/>
      <c r="G13" s="7"/>
      <c r="H13" s="7"/>
      <c r="I13" s="7"/>
      <c r="J13" s="7"/>
      <c r="K13" s="350"/>
      <c r="L13" s="350"/>
      <c r="M13" s="351"/>
      <c r="N13" s="352"/>
      <c r="O13" s="5"/>
      <c r="U13" s="229"/>
      <c r="AA13" s="217"/>
    </row>
    <row r="14" spans="1:28" ht="15" customHeight="1" x14ac:dyDescent="0.15">
      <c r="B14" s="28" t="s">
        <v>698</v>
      </c>
      <c r="C14" s="28"/>
      <c r="D14" s="28"/>
      <c r="E14" s="28"/>
      <c r="F14" s="28"/>
      <c r="G14" s="28"/>
      <c r="H14" s="28"/>
      <c r="I14" s="28"/>
      <c r="J14" s="28"/>
      <c r="K14" s="378"/>
      <c r="L14" s="392"/>
      <c r="M14" s="311"/>
      <c r="N14" s="378"/>
      <c r="O14" s="379"/>
      <c r="R14" s="985" t="s">
        <v>1437</v>
      </c>
      <c r="S14" s="985" t="s">
        <v>1438</v>
      </c>
      <c r="T14" s="985" t="s">
        <v>132</v>
      </c>
      <c r="U14" s="986" t="s">
        <v>146</v>
      </c>
      <c r="AA14" s="217"/>
    </row>
    <row r="15" spans="1:28" ht="15" customHeight="1" x14ac:dyDescent="0.15">
      <c r="B15" s="28" t="s">
        <v>697</v>
      </c>
      <c r="C15" s="28"/>
      <c r="D15" s="28"/>
      <c r="E15" s="28"/>
      <c r="F15" s="28"/>
      <c r="G15" s="28"/>
      <c r="H15" s="28"/>
      <c r="I15" s="28"/>
      <c r="J15" s="28"/>
      <c r="K15" s="378"/>
      <c r="L15" s="392"/>
      <c r="M15" s="311"/>
      <c r="N15" s="378"/>
      <c r="O15" s="378"/>
      <c r="S15" s="987"/>
      <c r="T15" s="987"/>
      <c r="U15" s="988"/>
      <c r="AA15" s="217"/>
    </row>
    <row r="16" spans="1:28" ht="15" customHeight="1" x14ac:dyDescent="0.15">
      <c r="B16" s="28" t="s">
        <v>699</v>
      </c>
      <c r="C16" s="28"/>
      <c r="D16" s="28"/>
      <c r="E16" s="28"/>
      <c r="F16" s="28"/>
      <c r="G16" s="28"/>
      <c r="H16" s="28"/>
      <c r="I16" s="28"/>
      <c r="J16" s="28"/>
      <c r="K16" s="378"/>
      <c r="L16" s="392"/>
      <c r="M16" s="311"/>
      <c r="N16" s="378"/>
      <c r="O16" s="379"/>
      <c r="R16" s="217" t="s">
        <v>1439</v>
      </c>
      <c r="S16" s="987" t="e">
        <f>SUM(#REF!)</f>
        <v>#REF!</v>
      </c>
      <c r="T16" s="987" t="e">
        <f>SUM(#REF!)</f>
        <v>#REF!</v>
      </c>
      <c r="U16" s="988" t="str">
        <f>IFERROR((T16-S16)/T16, "")</f>
        <v/>
      </c>
      <c r="AA16" s="217"/>
    </row>
    <row r="17" spans="2:27" ht="15" customHeight="1" x14ac:dyDescent="0.15">
      <c r="B17" s="28" t="s">
        <v>129</v>
      </c>
      <c r="C17" s="28"/>
      <c r="D17" s="28"/>
      <c r="E17" s="28"/>
      <c r="F17" s="28"/>
      <c r="G17" s="28"/>
      <c r="H17" s="28"/>
      <c r="I17" s="28"/>
      <c r="J17" s="28"/>
      <c r="K17" s="378"/>
      <c r="L17" s="392"/>
      <c r="M17" s="311"/>
      <c r="N17" s="378"/>
      <c r="O17" s="379"/>
      <c r="R17" s="217" t="s">
        <v>1440</v>
      </c>
      <c r="S17" s="987">
        <f>SUM('FIRE SUPPRESSION'!K9)</f>
        <v>1027.2</v>
      </c>
      <c r="T17" s="987">
        <f>SUM('FIRE SUPPRESSION'!N9)</f>
        <v>1689.8507462686568</v>
      </c>
      <c r="U17" s="988">
        <f t="shared" ref="U17:U28" si="0">IFERROR((T17-S17)/T17, "")</f>
        <v>0.39213566507684156</v>
      </c>
      <c r="AA17" s="217"/>
    </row>
    <row r="18" spans="2:27" ht="15" customHeight="1" x14ac:dyDescent="0.15">
      <c r="B18" s="28" t="s">
        <v>700</v>
      </c>
      <c r="C18" s="28"/>
      <c r="D18" s="28"/>
      <c r="E18" s="28"/>
      <c r="F18" s="28"/>
      <c r="G18" s="28"/>
      <c r="H18" s="28"/>
      <c r="I18" s="28"/>
      <c r="J18" s="28"/>
      <c r="K18" s="378"/>
      <c r="L18" s="392"/>
      <c r="M18" s="311"/>
      <c r="N18" s="378"/>
      <c r="O18" s="379"/>
      <c r="R18" s="217" t="s">
        <v>130</v>
      </c>
      <c r="S18" s="987">
        <f>SUM(SDU!G10)</f>
        <v>1488</v>
      </c>
      <c r="T18" s="987">
        <f>SUM(SDU!J10)</f>
        <v>2485.9523809523807</v>
      </c>
      <c r="U18" s="988">
        <f t="shared" si="0"/>
        <v>0.40143664399961682</v>
      </c>
      <c r="AA18" s="217"/>
    </row>
    <row r="19" spans="2:27" ht="15" customHeight="1" x14ac:dyDescent="0.15">
      <c r="B19" s="28" t="s">
        <v>701</v>
      </c>
      <c r="C19" s="28"/>
      <c r="D19" s="28"/>
      <c r="E19" s="28"/>
      <c r="F19" s="28"/>
      <c r="G19" s="28"/>
      <c r="H19" s="28"/>
      <c r="I19" s="28"/>
      <c r="J19" s="28"/>
      <c r="K19" s="378"/>
      <c r="L19" s="392"/>
      <c r="M19" s="311"/>
      <c r="N19" s="378"/>
      <c r="O19" s="379"/>
      <c r="R19" s="217" t="s">
        <v>1457</v>
      </c>
      <c r="S19" s="224">
        <f>SUM('VENT CLG'!G10)</f>
        <v>615</v>
      </c>
      <c r="T19" s="224">
        <f>SUM('VENT CLG'!J10)</f>
        <v>1025.5952380952381</v>
      </c>
      <c r="U19" s="988">
        <f t="shared" si="0"/>
        <v>0.40034822983168888</v>
      </c>
      <c r="AA19" s="217"/>
    </row>
    <row r="20" spans="2:27" ht="15" customHeight="1" x14ac:dyDescent="0.15">
      <c r="B20" s="28" t="s">
        <v>702</v>
      </c>
      <c r="C20" s="28"/>
      <c r="D20" s="28"/>
      <c r="E20" s="28"/>
      <c r="F20" s="28"/>
      <c r="G20" s="28"/>
      <c r="H20" s="28"/>
      <c r="I20" s="28"/>
      <c r="J20" s="28"/>
      <c r="K20" s="378"/>
      <c r="L20" s="392"/>
      <c r="M20" s="311"/>
      <c r="N20" s="378"/>
      <c r="O20" s="379"/>
      <c r="R20" s="217" t="s">
        <v>128</v>
      </c>
      <c r="S20" s="987">
        <f>SUM(MARVEL!G9)</f>
        <v>1258</v>
      </c>
      <c r="T20" s="987">
        <f>SUM(MARVEL!J9)</f>
        <v>1892.27078891258</v>
      </c>
      <c r="U20" s="988">
        <f t="shared" si="0"/>
        <v>0.33519028705033943</v>
      </c>
      <c r="AA20" s="217"/>
    </row>
    <row r="21" spans="2:27" ht="15" customHeight="1" x14ac:dyDescent="0.15">
      <c r="B21" s="28" t="s">
        <v>49</v>
      </c>
      <c r="C21" s="28"/>
      <c r="D21" s="28"/>
      <c r="E21" s="28"/>
      <c r="F21" s="28"/>
      <c r="G21" s="28"/>
      <c r="H21" s="28"/>
      <c r="I21" s="28"/>
      <c r="J21" s="28"/>
      <c r="K21" s="378"/>
      <c r="L21" s="392"/>
      <c r="M21" s="311"/>
      <c r="N21" s="378"/>
      <c r="O21" s="379"/>
      <c r="R21" s="217" t="s">
        <v>1458</v>
      </c>
      <c r="S21" s="987">
        <f>SUM('EDGE BOX'!K9)</f>
        <v>167.5</v>
      </c>
      <c r="T21" s="987">
        <f>SUM('EDGE BOX'!N9)</f>
        <v>276.55472636815921</v>
      </c>
      <c r="U21" s="988">
        <f t="shared" si="0"/>
        <v>0.39433325837643357</v>
      </c>
      <c r="AA21" s="217"/>
    </row>
    <row r="22" spans="2:27" ht="15" customHeight="1" x14ac:dyDescent="0.15">
      <c r="B22" s="28" t="s">
        <v>703</v>
      </c>
      <c r="C22" s="28"/>
      <c r="D22" s="28"/>
      <c r="E22" s="28"/>
      <c r="F22" s="28"/>
      <c r="G22" s="28"/>
      <c r="H22" s="28"/>
      <c r="I22" s="28"/>
      <c r="J22" s="28"/>
      <c r="K22" s="378"/>
      <c r="L22" s="392"/>
      <c r="M22" s="311"/>
      <c r="N22" s="378"/>
      <c r="O22" s="379"/>
      <c r="R22" s="217" t="s">
        <v>1459</v>
      </c>
      <c r="S22" s="987">
        <f>SUM(AEROLYS!H9)</f>
        <v>1418</v>
      </c>
      <c r="T22" s="987">
        <f>SUM(AEROLYS!K9)</f>
        <v>2131.0767590618339</v>
      </c>
      <c r="U22" s="988">
        <f t="shared" si="0"/>
        <v>0.33460866955151458</v>
      </c>
      <c r="AA22" s="217"/>
    </row>
    <row r="23" spans="2:27" ht="15" customHeight="1" x14ac:dyDescent="0.15">
      <c r="B23" s="28" t="s">
        <v>703</v>
      </c>
      <c r="C23" s="28"/>
      <c r="D23" s="28"/>
      <c r="E23" s="28"/>
      <c r="F23" s="28"/>
      <c r="G23" s="28"/>
      <c r="H23" s="28"/>
      <c r="I23" s="28"/>
      <c r="J23" s="28"/>
      <c r="K23" s="378"/>
      <c r="L23" s="392"/>
      <c r="M23" s="311"/>
      <c r="N23" s="378"/>
      <c r="O23" s="379"/>
      <c r="R23" s="217" t="s">
        <v>1460</v>
      </c>
      <c r="S23" s="987">
        <f>SUM(POLLUSTOP!H9)</f>
        <v>1368</v>
      </c>
      <c r="T23" s="987">
        <f>SUM(POLLUSTOP!K9)</f>
        <v>2041.7910447761196</v>
      </c>
      <c r="U23" s="988">
        <f t="shared" si="0"/>
        <v>0.33000000000000007</v>
      </c>
      <c r="AA23" s="217"/>
    </row>
    <row r="24" spans="2:27" ht="15" customHeight="1" x14ac:dyDescent="0.15">
      <c r="B24" s="28" t="s">
        <v>703</v>
      </c>
      <c r="C24" s="28"/>
      <c r="D24" s="28"/>
      <c r="E24" s="28"/>
      <c r="F24" s="28"/>
      <c r="G24" s="28"/>
      <c r="H24" s="28"/>
      <c r="I24" s="28"/>
      <c r="J24" s="28"/>
      <c r="K24" s="378"/>
      <c r="L24" s="392"/>
      <c r="M24" s="311"/>
      <c r="N24" s="378"/>
      <c r="O24" s="379"/>
      <c r="R24" s="217" t="s">
        <v>1461</v>
      </c>
      <c r="S24" s="987">
        <f>SUM(RECOAIR!K9)</f>
        <v>50</v>
      </c>
      <c r="T24" s="987">
        <f>SUM(RECOAIR!N9)</f>
        <v>89.285714285714278</v>
      </c>
      <c r="U24" s="988">
        <f t="shared" si="0"/>
        <v>0.43999999999999995</v>
      </c>
      <c r="AA24" s="217"/>
    </row>
    <row r="25" spans="2:27" ht="15" customHeight="1" x14ac:dyDescent="0.15">
      <c r="B25" s="28" t="s">
        <v>703</v>
      </c>
      <c r="C25" s="28"/>
      <c r="D25" s="28"/>
      <c r="E25" s="28"/>
      <c r="F25" s="28"/>
      <c r="G25" s="28"/>
      <c r="H25" s="28"/>
      <c r="I25" s="28"/>
      <c r="J25" s="28"/>
      <c r="K25" s="378"/>
      <c r="L25" s="392"/>
      <c r="M25" s="311"/>
      <c r="N25" s="378"/>
      <c r="O25" s="379"/>
      <c r="R25" s="217" t="s">
        <v>1462</v>
      </c>
      <c r="S25" s="987">
        <f>SUM('REACTAWAY '!K9)</f>
        <v>50</v>
      </c>
      <c r="T25" s="987">
        <f>SUM('REACTAWAY '!N9)</f>
        <v>89.285714285714278</v>
      </c>
      <c r="U25" s="988">
        <f t="shared" si="0"/>
        <v>0.43999999999999995</v>
      </c>
      <c r="AA25" s="217"/>
    </row>
    <row r="26" spans="2:27" ht="15" customHeight="1" x14ac:dyDescent="0.15">
      <c r="B26" s="28" t="s">
        <v>703</v>
      </c>
      <c r="C26" s="28"/>
      <c r="D26" s="28"/>
      <c r="E26" s="28"/>
      <c r="F26" s="28"/>
      <c r="G26" s="28"/>
      <c r="H26" s="28"/>
      <c r="I26" s="28"/>
      <c r="J26" s="28"/>
      <c r="K26" s="378"/>
      <c r="L26" s="392"/>
      <c r="M26" s="311"/>
      <c r="N26" s="378"/>
      <c r="O26" s="379"/>
      <c r="U26" s="988" t="str">
        <f t="shared" si="0"/>
        <v/>
      </c>
      <c r="AA26" s="217"/>
    </row>
    <row r="27" spans="2:27" ht="15" customHeight="1" x14ac:dyDescent="0.15">
      <c r="G27" s="34" t="s">
        <v>352</v>
      </c>
      <c r="I27" s="34">
        <f>IF(ISNUMBER(SEARCH("UV",#REF!)),49.7,71.75)</f>
        <v>71.75</v>
      </c>
      <c r="U27" s="988" t="str">
        <f t="shared" si="0"/>
        <v/>
      </c>
    </row>
    <row r="28" spans="2:27" ht="15" customHeight="1" x14ac:dyDescent="0.15">
      <c r="B28" s="239"/>
      <c r="C28" s="239"/>
      <c r="D28" s="239"/>
      <c r="E28" s="239"/>
      <c r="F28" s="239"/>
      <c r="G28" s="243"/>
      <c r="H28" s="244"/>
      <c r="I28" s="244"/>
      <c r="J28" s="354"/>
      <c r="K28" s="353"/>
      <c r="L28" s="355"/>
      <c r="M28" s="353"/>
      <c r="N28" s="353"/>
      <c r="R28" s="217" t="s">
        <v>90</v>
      </c>
      <c r="S28" s="987" t="e">
        <f>SUM(S16:S27)</f>
        <v>#REF!</v>
      </c>
      <c r="T28" s="987" t="e">
        <f>SUM(T16:T27)</f>
        <v>#REF!</v>
      </c>
      <c r="U28" s="988" t="str">
        <f t="shared" si="0"/>
        <v/>
      </c>
    </row>
    <row r="29" spans="2:27" ht="15" customHeight="1" x14ac:dyDescent="0.2">
      <c r="B29" s="197" t="s">
        <v>126</v>
      </c>
      <c r="C29" s="198"/>
      <c r="D29" s="199"/>
      <c r="E29" s="199"/>
      <c r="F29" s="198"/>
      <c r="G29" s="200"/>
      <c r="H29" s="198"/>
      <c r="I29" s="198"/>
      <c r="J29" s="198"/>
      <c r="K29" s="198"/>
      <c r="L29" s="198"/>
      <c r="M29" s="198"/>
      <c r="N29" s="198"/>
      <c r="O29" s="198"/>
      <c r="U29" s="229"/>
    </row>
    <row r="30" spans="2:27" ht="15" customHeight="1" x14ac:dyDescent="0.2">
      <c r="B30" s="202"/>
      <c r="C30" s="203"/>
      <c r="D30" s="202"/>
      <c r="E30" s="204"/>
      <c r="F30" s="202"/>
      <c r="G30" s="209"/>
      <c r="H30" s="203"/>
      <c r="I30" s="203"/>
      <c r="J30" s="203"/>
      <c r="K30" s="205"/>
      <c r="L30" s="205"/>
      <c r="M30" s="205"/>
      <c r="N30" s="205"/>
      <c r="O30" s="205"/>
      <c r="U30" s="229"/>
    </row>
    <row r="31" spans="2:27" ht="15" customHeight="1" x14ac:dyDescent="0.2">
      <c r="B31" s="202"/>
      <c r="C31" s="203"/>
      <c r="D31" s="202"/>
      <c r="E31" s="204"/>
      <c r="F31" s="202"/>
      <c r="G31" s="209"/>
      <c r="H31" s="203"/>
      <c r="I31" s="203"/>
      <c r="J31" s="203"/>
      <c r="K31" s="205"/>
      <c r="L31" s="205"/>
      <c r="M31" s="205"/>
      <c r="N31" s="205"/>
      <c r="O31" s="205"/>
      <c r="U31" s="229"/>
    </row>
    <row r="32" spans="2:27" ht="15" customHeight="1" x14ac:dyDescent="0.2">
      <c r="B32" s="202"/>
      <c r="C32" s="203"/>
      <c r="D32" s="202"/>
      <c r="E32" s="204"/>
      <c r="F32" s="202"/>
      <c r="G32" s="209"/>
      <c r="H32" s="203"/>
      <c r="I32" s="203"/>
      <c r="J32" s="203"/>
      <c r="K32" s="209"/>
      <c r="L32" s="209"/>
      <c r="M32" s="209"/>
      <c r="N32" s="209"/>
      <c r="O32" s="209"/>
      <c r="U32" s="229"/>
    </row>
    <row r="33" spans="2:21" ht="15" customHeight="1" x14ac:dyDescent="0.2">
      <c r="B33" s="202"/>
      <c r="C33" s="203"/>
      <c r="D33" s="202"/>
      <c r="E33" s="204"/>
      <c r="F33" s="202"/>
      <c r="G33" s="209"/>
      <c r="H33" s="206"/>
      <c r="I33" s="203"/>
      <c r="J33" s="203"/>
      <c r="K33" s="209"/>
      <c r="L33" s="209"/>
      <c r="M33" s="209"/>
      <c r="N33" s="209"/>
      <c r="O33" s="209"/>
      <c r="U33" s="229"/>
    </row>
    <row r="34" spans="2:21" ht="15" customHeight="1" x14ac:dyDescent="0.2">
      <c r="B34" s="202"/>
      <c r="C34" s="203"/>
      <c r="D34" s="202"/>
      <c r="E34" s="202"/>
      <c r="F34" s="202"/>
      <c r="G34" s="207"/>
      <c r="H34" s="209"/>
      <c r="I34" s="203"/>
      <c r="J34" s="203"/>
      <c r="K34" s="205"/>
      <c r="L34" s="205"/>
      <c r="M34" s="205"/>
      <c r="N34" s="205"/>
      <c r="O34" s="205"/>
      <c r="U34" s="229"/>
    </row>
    <row r="35" spans="2:21" ht="15" customHeight="1" x14ac:dyDescent="0.2">
      <c r="B35" s="202"/>
      <c r="C35" s="202"/>
      <c r="D35" s="202"/>
      <c r="E35" s="202"/>
      <c r="F35" s="202"/>
      <c r="G35" s="207"/>
      <c r="H35" s="209"/>
      <c r="I35" s="203"/>
      <c r="J35" s="203"/>
      <c r="K35" s="205"/>
      <c r="L35" s="205"/>
      <c r="M35" s="205"/>
      <c r="N35" s="205"/>
      <c r="O35" s="205"/>
      <c r="U35" s="229"/>
    </row>
    <row r="36" spans="2:21" ht="15" customHeight="1" x14ac:dyDescent="0.15">
      <c r="J36" s="228"/>
      <c r="M36" s="228"/>
      <c r="O36" s="228"/>
      <c r="U36" s="229"/>
    </row>
    <row r="37" spans="2:21" ht="15" customHeight="1" x14ac:dyDescent="0.15">
      <c r="J37" s="228"/>
      <c r="M37" s="228"/>
      <c r="O37" s="228"/>
      <c r="U37" s="229"/>
    </row>
    <row r="38" spans="2:21" ht="15" customHeight="1" x14ac:dyDescent="0.15">
      <c r="G38" s="219"/>
      <c r="U38" s="229"/>
    </row>
    <row r="39" spans="2:21" ht="15" customHeight="1" x14ac:dyDescent="0.15">
      <c r="G39" s="219"/>
      <c r="U39" s="229"/>
    </row>
    <row r="40" spans="2:21" ht="15" customHeight="1" x14ac:dyDescent="0.15">
      <c r="G40" s="219"/>
      <c r="U40" s="229"/>
    </row>
    <row r="41" spans="2:21" ht="15" customHeight="1" x14ac:dyDescent="0.15">
      <c r="G41" s="219"/>
      <c r="U41" s="229"/>
    </row>
    <row r="42" spans="2:21" ht="15" customHeight="1" x14ac:dyDescent="0.15">
      <c r="G42" s="219"/>
      <c r="U42" s="229"/>
    </row>
    <row r="43" spans="2:21" ht="15" customHeight="1" x14ac:dyDescent="0.15">
      <c r="G43" s="219"/>
      <c r="U43" s="229"/>
    </row>
    <row r="44" spans="2:21" ht="15" customHeight="1" x14ac:dyDescent="0.15">
      <c r="G44" s="219"/>
      <c r="U44" s="229"/>
    </row>
    <row r="45" spans="2:21" ht="15" customHeight="1" x14ac:dyDescent="0.15">
      <c r="G45" s="219"/>
      <c r="U45" s="229"/>
    </row>
    <row r="46" spans="2:21" ht="15" customHeight="1" x14ac:dyDescent="0.15">
      <c r="G46" s="219"/>
      <c r="U46" s="229"/>
    </row>
    <row r="47" spans="2:21" ht="15" customHeight="1" x14ac:dyDescent="0.15">
      <c r="B47" s="245"/>
      <c r="C47" s="245"/>
      <c r="D47" s="245"/>
      <c r="E47" s="245"/>
      <c r="F47" s="245"/>
      <c r="G47" s="245"/>
      <c r="U47" s="229"/>
    </row>
    <row r="48" spans="2:21" ht="15" customHeight="1" x14ac:dyDescent="0.15">
      <c r="U48" s="229"/>
    </row>
    <row r="49" spans="21:21" ht="15" customHeight="1" x14ac:dyDescent="0.15">
      <c r="U49" s="229"/>
    </row>
    <row r="50" spans="21:21" ht="15" customHeight="1" x14ac:dyDescent="0.15">
      <c r="U50" s="229"/>
    </row>
    <row r="51" spans="21:21" ht="15" customHeight="1" x14ac:dyDescent="0.15">
      <c r="U51" s="229"/>
    </row>
    <row r="52" spans="21:21" ht="15" customHeight="1" x14ac:dyDescent="0.15">
      <c r="U52" s="229"/>
    </row>
    <row r="53" spans="21:21" ht="15" customHeight="1" x14ac:dyDescent="0.15">
      <c r="U53" s="229"/>
    </row>
    <row r="54" spans="21:21" ht="15" customHeight="1" x14ac:dyDescent="0.15">
      <c r="U54" s="229"/>
    </row>
    <row r="55" spans="21:21" ht="15" customHeight="1" x14ac:dyDescent="0.15">
      <c r="U55" s="229"/>
    </row>
    <row r="56" spans="21:21" ht="15" customHeight="1" x14ac:dyDescent="0.15">
      <c r="U56" s="229"/>
    </row>
    <row r="57" spans="21:21" ht="15" customHeight="1" x14ac:dyDescent="0.15">
      <c r="U57" s="229"/>
    </row>
    <row r="58" spans="21:21" ht="15" customHeight="1" x14ac:dyDescent="0.15">
      <c r="U58" s="229"/>
    </row>
    <row r="59" spans="21:21" ht="15" customHeight="1" x14ac:dyDescent="0.15">
      <c r="U59" s="229"/>
    </row>
    <row r="60" spans="21:21" ht="15" customHeight="1" x14ac:dyDescent="0.15">
      <c r="U60" s="229"/>
    </row>
    <row r="61" spans="21:21" ht="15" customHeight="1" x14ac:dyDescent="0.15">
      <c r="U61" s="229"/>
    </row>
    <row r="62" spans="21:21" ht="15" customHeight="1" x14ac:dyDescent="0.15">
      <c r="U62" s="229"/>
    </row>
    <row r="63" spans="21:21" ht="15" customHeight="1" x14ac:dyDescent="0.15">
      <c r="U63" s="229"/>
    </row>
    <row r="64" spans="21: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sheetData>
  <protectedRanges>
    <protectedRange sqref="P7 H4:J7 R7 H8:K8 O10:O11 O28" name="Estimating" securityDescriptor="O:WDG:WDD:(A;;CC;;;S-1-5-21-1993962763-879983540-839522115-1221)"/>
    <protectedRange sqref="F2:G7 C2:D7 B2:B6 C8:G8 N7:O7" name="Estimating_1" securityDescriptor="O:WDG:WDD:(A;;CC;;;S-1-5-21-1993962763-879983540-839522115-1221)"/>
    <protectedRange sqref="D9" name="Estimating_1_1" securityDescriptor="O:WDG:WDD:(A;;CC;;;S-1-5-21-1993962763-879983540-839522115-1221)"/>
    <protectedRange sqref="F30:F35 B30:B34 K35:O35" name="Full" securityDescriptor="O:WDG:WDD:(A;;CC;;;S-1-5-21-1993962763-879983540-839522115-1156)"/>
    <protectedRange sqref="B35:C35" name="Full_2" securityDescriptor="O:WDG:WDD:(A;;CC;;;S-1-5-21-1993962763-879983540-839522115-1156)"/>
    <protectedRange sqref="B12:J13 O14 O16:O26" name="Estimating_5" securityDescriptor="O:WDG:WDD:(A;;CC;;;S-1-5-21-1993962763-879983540-839522115-1221)"/>
  </protectedRanges>
  <mergeCells count="6">
    <mergeCell ref="C3:D3"/>
    <mergeCell ref="G3:J3"/>
    <mergeCell ref="C5:D5"/>
    <mergeCell ref="G5:J5"/>
    <mergeCell ref="C7:D7"/>
    <mergeCell ref="G7:J7"/>
  </mergeCells>
  <conditionalFormatting sqref="B9">
    <cfRule type="containsText" dxfId="12980" priority="479" operator="containsText" text="SELECT">
      <formula>NOT(ISERROR(SEARCH("SELECT",B9)))</formula>
    </cfRule>
    <cfRule type="expression" dxfId="12979" priority="480">
      <formula>B9="CURRENCY"</formula>
    </cfRule>
  </conditionalFormatting>
  <conditionalFormatting sqref="C9:D9">
    <cfRule type="cellIs" dxfId="12978" priority="475" operator="lessThan">
      <formula>0</formula>
    </cfRule>
    <cfRule type="cellIs" dxfId="12977" priority="476" operator="greaterThan">
      <formula>0</formula>
    </cfRule>
  </conditionalFormatting>
  <conditionalFormatting sqref="G11">
    <cfRule type="expression" dxfId="12976" priority="483">
      <formula>((F14-50)/H14)&lt;950</formula>
    </cfRule>
  </conditionalFormatting>
  <conditionalFormatting sqref="G27">
    <cfRule type="expression" dxfId="12975" priority="833">
      <formula>((#REF!-50)/#REF!)&lt;950</formula>
    </cfRule>
  </conditionalFormatting>
  <conditionalFormatting sqref="J29:J35">
    <cfRule type="expression" dxfId="12974" priority="468">
      <formula>#REF!="EURO"</formula>
    </cfRule>
  </conditionalFormatting>
  <conditionalFormatting sqref="K14:K26">
    <cfRule type="cellIs" dxfId="12973" priority="379" operator="greaterThan">
      <formula>0</formula>
    </cfRule>
  </conditionalFormatting>
  <conditionalFormatting sqref="K29:K35">
    <cfRule type="expression" dxfId="12972" priority="464">
      <formula>$B$9="PLN"</formula>
    </cfRule>
    <cfRule type="expression" dxfId="12971" priority="465">
      <formula>$B$9="CZK"</formula>
    </cfRule>
    <cfRule type="expression" dxfId="12970" priority="466">
      <formula>$B$9="USD"</formula>
    </cfRule>
    <cfRule type="expression" dxfId="12969" priority="467">
      <formula>$B$9="EURO"</formula>
    </cfRule>
  </conditionalFormatting>
  <conditionalFormatting sqref="L14:L26">
    <cfRule type="expression" dxfId="12968" priority="382">
      <formula>$C$9&lt;0</formula>
    </cfRule>
    <cfRule type="expression" dxfId="12967" priority="383">
      <formula>$C$9&gt;0</formula>
    </cfRule>
  </conditionalFormatting>
  <conditionalFormatting sqref="N12">
    <cfRule type="expression" dxfId="12966" priority="451">
      <formula>$B$9="PLN"</formula>
    </cfRule>
    <cfRule type="expression" dxfId="12965" priority="452">
      <formula>$B$9="CZK"</formula>
    </cfRule>
    <cfRule type="expression" dxfId="12964" priority="453">
      <formula>$B$9="USD"</formula>
    </cfRule>
    <cfRule type="expression" dxfId="12963" priority="454">
      <formula>$B$9="EURO"</formula>
    </cfRule>
  </conditionalFormatting>
  <conditionalFormatting sqref="N14:N26 N15:O15">
    <cfRule type="cellIs" dxfId="12962" priority="37" operator="greaterThan">
      <formula>0</formula>
    </cfRule>
    <cfRule type="expression" dxfId="12961" priority="38">
      <formula>$B$9="EURO"</formula>
    </cfRule>
    <cfRule type="expression" dxfId="12960" priority="39">
      <formula>$B$9="USD"</formula>
    </cfRule>
    <cfRule type="expression" dxfId="12959" priority="40">
      <formula>$B$9="PLN"</formula>
    </cfRule>
    <cfRule type="expression" dxfId="12958" priority="41">
      <formula>$B$9="CZK"</formula>
    </cfRule>
  </conditionalFormatting>
  <conditionalFormatting sqref="O14 O16:O26">
    <cfRule type="cellIs" dxfId="12957" priority="412" operator="greaterThan">
      <formula>0</formula>
    </cfRule>
  </conditionalFormatting>
  <printOptions horizontalCentered="1"/>
  <pageMargins left="0.19685039370078741" right="0.19685039370078741" top="0.19685039370078741" bottom="0.19685039370078741" header="0.11811023622047245" footer="0.15748031496062992"/>
  <pageSetup paperSize="9" scale="60" orientation="landscape" r:id="rId1"/>
  <headerFooter alignWithMargins="0">
    <oddFooter>&amp;L&amp;Z&amp;F</oddFooter>
  </headerFooter>
  <ignoredErrors>
    <ignoredError sqref="L12" formula="1"/>
  </ignoredErrors>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'Base Costs'!$A$32:$A$37</xm:f>
          </x14:formula1>
          <xm:sqref>B9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C42FF-1411-DA4F-9708-13AD6B0AD53D}">
  <sheetPr>
    <tabColor theme="8" tint="0.79998168889431442"/>
    <pageSetUpPr fitToPage="1"/>
  </sheetPr>
  <dimension ref="A1:AB310"/>
  <sheetViews>
    <sheetView showGridLines="0" topLeftCell="A3" zoomScale="80" zoomScaleNormal="80" zoomScaleSheetLayoutView="50" workbookViewId="0">
      <selection activeCell="R29" sqref="R29"/>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13"/>
      <c r="F3" s="690" t="s">
        <v>78</v>
      </c>
      <c r="G3" s="1084"/>
      <c r="H3" s="1114"/>
      <c r="I3" s="1114"/>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13"/>
      <c r="F5" s="690" t="s">
        <v>77</v>
      </c>
      <c r="G5" s="1084"/>
      <c r="H5" s="1114"/>
      <c r="I5" s="1114"/>
      <c r="J5" s="1114"/>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13"/>
      <c r="F7" s="690" t="s">
        <v>76</v>
      </c>
      <c r="G7" s="1086"/>
      <c r="H7" s="1115"/>
      <c r="I7" s="1115"/>
      <c r="J7" s="1115"/>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2"/>
      <c r="F9" s="1112"/>
      <c r="G9" s="1125"/>
      <c r="H9" s="1126"/>
      <c r="I9" s="1126"/>
      <c r="J9" s="1126"/>
      <c r="K9" s="703">
        <f>SUBTOTAL(9,K12:K197)</f>
        <v>0</v>
      </c>
      <c r="L9" s="982" t="str">
        <f>IF(O9=0,"-",O9/M9)</f>
        <v>-</v>
      </c>
      <c r="M9" s="703">
        <f>SUBTOTAL(9,M12:M197)</f>
        <v>0</v>
      </c>
      <c r="N9" s="705">
        <f>SUBTOTAL(9,N12:N197)</f>
        <v>0</v>
      </c>
      <c r="O9" s="703">
        <f>SUBTOTAL(9,O12:O197)</f>
        <v>0</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344</v>
      </c>
      <c r="C16" s="752" t="s">
        <v>347</v>
      </c>
      <c r="D16" s="735"/>
      <c r="E16" s="753" t="str">
        <f>IF(C16="","",VLOOKUP(C16,CCBASE!$A$53:$D$73,4,FALSE))</f>
        <v/>
      </c>
      <c r="F16" s="754"/>
      <c r="G16" s="749"/>
      <c r="H16" s="750"/>
      <c r="I16" s="755"/>
      <c r="J16" s="736">
        <f>IF(C16="",0,VLOOKUP(C16,CCBASE!$A$53:$C$73,2,FALSE))</f>
        <v>0</v>
      </c>
      <c r="K16" s="737">
        <f>J16*D16</f>
        <v>0</v>
      </c>
      <c r="L16" s="738">
        <v>0.35</v>
      </c>
      <c r="M16" s="739">
        <f t="shared" si="0"/>
        <v>0</v>
      </c>
      <c r="N16" s="737">
        <f>M16*VLOOKUP($B$9,'Base Costs'!$A$32:$B$37,2,FALSE)</f>
        <v>0</v>
      </c>
      <c r="O16" s="740">
        <f t="shared" si="1"/>
        <v>0</v>
      </c>
      <c r="P16" s="745"/>
      <c r="Q16" s="940"/>
      <c r="S16" s="694"/>
      <c r="Y16" s="673"/>
    </row>
    <row r="17" spans="1:26" ht="15"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customHeight="1" outlineLevel="1" x14ac:dyDescent="0.15">
      <c r="B18" s="992" t="s">
        <v>344</v>
      </c>
      <c r="C18" s="993" t="s">
        <v>1404</v>
      </c>
      <c r="D18" s="994">
        <v>0</v>
      </c>
      <c r="E18" s="995" t="str">
        <f>IF(C18="","",VLOOKUP(C18,CCBASE!$A$53:$D$73,4,FALSE))</f>
        <v>SECTION(S) OF CANOPY</v>
      </c>
      <c r="F18" s="996"/>
      <c r="G18" s="991"/>
      <c r="H18" s="997"/>
      <c r="I18" s="998"/>
      <c r="J18" s="999">
        <f>IF(C18="",0,VLOOKUP(C18,CCBASE!$A$53:$C$73,2,FALSE))</f>
        <v>50</v>
      </c>
      <c r="K18" s="1000">
        <f>J18*D18</f>
        <v>0</v>
      </c>
      <c r="L18" s="1001">
        <v>0.44</v>
      </c>
      <c r="M18" s="1002">
        <f t="shared" si="0"/>
        <v>0</v>
      </c>
      <c r="N18" s="1000">
        <f>M18*VLOOKUP($B$9,'Base Costs'!$A$32:$B$37,2,FALSE)</f>
        <v>0</v>
      </c>
      <c r="O18" s="1003">
        <f t="shared" si="1"/>
        <v>0</v>
      </c>
      <c r="P18" s="1004" t="s">
        <v>1453</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P19" t="s">
        <v>1513</v>
      </c>
      <c r="Q19" t="s">
        <v>1514</v>
      </c>
      <c r="R19" s="217"/>
      <c r="S19" s="229" t="s">
        <v>1515</v>
      </c>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K32" si="2">J24*1</f>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344</v>
      </c>
      <c r="C33" s="752" t="s">
        <v>347</v>
      </c>
      <c r="D33" s="735"/>
      <c r="E33" s="753" t="str">
        <f>IF(C33="","",VLOOKUP(C33,CCBASE!$A$53:$D$73,4,FALSE))</f>
        <v/>
      </c>
      <c r="F33" s="754"/>
      <c r="G33" s="749"/>
      <c r="H33" s="750"/>
      <c r="I33" s="755"/>
      <c r="J33" s="736">
        <f>IF(C33="",0,VLOOKUP(C33,CCBASE!$A$53:$C$73,2,FALSE))</f>
        <v>0</v>
      </c>
      <c r="K33" s="737">
        <f>J33*D33</f>
        <v>0</v>
      </c>
      <c r="L33" s="738">
        <v>0.35</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8"/>
      <c r="F35" s="119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ROUNDUP($F31/1000,0)</f>
        <v>0</v>
      </c>
      <c r="E36" s="1110" t="s">
        <v>1092</v>
      </c>
      <c r="F36" s="1196"/>
      <c r="G36" s="754"/>
      <c r="H36" s="750"/>
      <c r="I36" s="755"/>
      <c r="J36" s="736">
        <f>IF(D36=0,0,VLOOKUP(C36,'Base Costs'!$A$19:$B$22,2,FALSE))</f>
        <v>0</v>
      </c>
      <c r="K36" s="737">
        <f>J36*D36</f>
        <v>0</v>
      </c>
      <c r="L36" s="738">
        <v>0.44</v>
      </c>
      <c r="M36" s="739">
        <f t="shared" si="3"/>
        <v>0</v>
      </c>
      <c r="N36" s="737">
        <f>M36*VLOOKUP($B$9,'Base Costs'!$A$32:$B$37,2,FALSE)</f>
        <v>0</v>
      </c>
      <c r="O36" s="740">
        <f>M36-K36</f>
        <v>0</v>
      </c>
      <c r="P36" t="s">
        <v>1513</v>
      </c>
      <c r="Q36" t="s">
        <v>1514</v>
      </c>
      <c r="R36" s="217"/>
      <c r="S36" s="229" t="s">
        <v>1515</v>
      </c>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269" t="s">
        <v>344</v>
      </c>
      <c r="C50" s="752" t="s">
        <v>347</v>
      </c>
      <c r="D50" s="735"/>
      <c r="E50" s="753" t="str">
        <f>IF(C50="","",VLOOKUP(C50,CCBASE!$A$53:$D$73,4,FALSE))</f>
        <v/>
      </c>
      <c r="F50" s="754"/>
      <c r="G50" s="749"/>
      <c r="H50" s="750"/>
      <c r="I50" s="755"/>
      <c r="J50" s="736">
        <f>IF(C50="",0,VLOOKUP(C50,CCBASE!$A$53:$C$73,2,FALSE))</f>
        <v>0</v>
      </c>
      <c r="K50" s="737">
        <f>J50*D50</f>
        <v>0</v>
      </c>
      <c r="L50" s="738">
        <v>0.35</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ROUNDUP($F48/1000,0)</f>
        <v>0</v>
      </c>
      <c r="E53" s="1110" t="s">
        <v>1092</v>
      </c>
      <c r="F53" s="1196"/>
      <c r="G53" s="754"/>
      <c r="H53" s="750"/>
      <c r="I53" s="755"/>
      <c r="J53" s="736">
        <f>IF(D53=0,0,VLOOKUP(C53,'Base Costs'!$A$19:$B$22,2,FALSE))</f>
        <v>0</v>
      </c>
      <c r="K53" s="737">
        <f>J53*D53</f>
        <v>0</v>
      </c>
      <c r="L53" s="738">
        <v>0.44</v>
      </c>
      <c r="M53" s="739">
        <f t="shared" si="7"/>
        <v>0</v>
      </c>
      <c r="N53" s="737">
        <f>M53*VLOOKUP($B$9,'Base Costs'!$A$32:$B$37,2,FALSE)</f>
        <v>0</v>
      </c>
      <c r="O53" s="740">
        <f>M53-K53</f>
        <v>0</v>
      </c>
      <c r="P53" t="s">
        <v>1513</v>
      </c>
      <c r="Q53" t="s">
        <v>1514</v>
      </c>
      <c r="R53" s="217"/>
      <c r="S53" s="229" t="s">
        <v>1515</v>
      </c>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269" t="s">
        <v>344</v>
      </c>
      <c r="C67" s="752" t="s">
        <v>347</v>
      </c>
      <c r="D67" s="735"/>
      <c r="E67" s="753" t="str">
        <f>IF(C67="","",VLOOKUP(C67,CCBASE!$A$53:$D$73,4,FALSE))</f>
        <v/>
      </c>
      <c r="F67" s="754"/>
      <c r="G67" s="749"/>
      <c r="H67" s="750"/>
      <c r="I67" s="755"/>
      <c r="J67" s="736">
        <f>IF(C67="",0,VLOOKUP(C67,CCBASE!$A$53:$C$73,2,FALSE))</f>
        <v>0</v>
      </c>
      <c r="K67" s="737">
        <f>J67*D67</f>
        <v>0</v>
      </c>
      <c r="L67" s="738">
        <v>0.35</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1"/>
        <v>0</v>
      </c>
      <c r="N70" s="737">
        <f>M70*VLOOKUP($B$9,'Base Costs'!$A$32:$B$37,2,FALSE)</f>
        <v>0</v>
      </c>
      <c r="O70" s="740">
        <f>M70-K70</f>
        <v>0</v>
      </c>
      <c r="P70" t="s">
        <v>1513</v>
      </c>
      <c r="Q70" t="s">
        <v>1514</v>
      </c>
      <c r="R70" s="217"/>
      <c r="S70" s="229" t="s">
        <v>1515</v>
      </c>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217"/>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269" t="s">
        <v>344</v>
      </c>
      <c r="C84" s="752" t="s">
        <v>347</v>
      </c>
      <c r="D84" s="735"/>
      <c r="E84" s="753" t="str">
        <f>IF(C84="","",VLOOKUP(C84,CCBASE!$A$53:$D$73,4,FALSE))</f>
        <v/>
      </c>
      <c r="F84" s="754"/>
      <c r="G84" s="749"/>
      <c r="H84" s="750"/>
      <c r="I84" s="755"/>
      <c r="J84" s="736">
        <f>IF(C84="",0,VLOOKUP(C84,CCBASE!$A$53:$C$73,2,FALSE))</f>
        <v>0</v>
      </c>
      <c r="K84" s="737">
        <f>J84*D84</f>
        <v>0</v>
      </c>
      <c r="L84" s="738">
        <v>0.35</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5"/>
        <v>0</v>
      </c>
      <c r="N87" s="737">
        <f>M87*VLOOKUP($B$9,'Base Costs'!$A$32:$B$37,2,FALSE)</f>
        <v>0</v>
      </c>
      <c r="O87" s="740">
        <f>M87-K87</f>
        <v>0</v>
      </c>
      <c r="P87" t="s">
        <v>1513</v>
      </c>
      <c r="Q87" t="s">
        <v>1514</v>
      </c>
      <c r="R87" s="217"/>
      <c r="S87" s="229" t="s">
        <v>1515</v>
      </c>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269" t="s">
        <v>344</v>
      </c>
      <c r="C101" s="752" t="s">
        <v>347</v>
      </c>
      <c r="D101" s="735"/>
      <c r="E101" s="753" t="str">
        <f>IF(C101="","",VLOOKUP(C101,CCBASE!$A$53:$D$73,4,FALSE))</f>
        <v/>
      </c>
      <c r="F101" s="754"/>
      <c r="G101" s="749"/>
      <c r="H101" s="750"/>
      <c r="I101" s="755"/>
      <c r="J101" s="736">
        <f>IF(C101="",0,VLOOKUP(C101,CCBASE!$A$53:$C$73,2,FALSE))</f>
        <v>0</v>
      </c>
      <c r="K101" s="737">
        <f>J101*D101</f>
        <v>0</v>
      </c>
      <c r="L101" s="738">
        <v>0.35</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19"/>
        <v>0</v>
      </c>
      <c r="N104" s="737">
        <f>M104*VLOOKUP($B$9,'Base Costs'!$A$32:$B$37,2,FALSE)</f>
        <v>0</v>
      </c>
      <c r="O104" s="740">
        <f>M104-K104</f>
        <v>0</v>
      </c>
      <c r="P104" t="s">
        <v>1513</v>
      </c>
      <c r="Q104" t="s">
        <v>1514</v>
      </c>
      <c r="R104" s="217"/>
      <c r="S104" s="229" t="s">
        <v>1515</v>
      </c>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269" t="s">
        <v>344</v>
      </c>
      <c r="C118" s="752" t="s">
        <v>347</v>
      </c>
      <c r="D118" s="735"/>
      <c r="E118" s="753" t="str">
        <f>IF(C118="","",VLOOKUP(C118,CCBASE!$A$53:$D$73,4,FALSE))</f>
        <v/>
      </c>
      <c r="F118" s="754"/>
      <c r="G118" s="749"/>
      <c r="H118" s="750"/>
      <c r="I118" s="755"/>
      <c r="J118" s="736">
        <f>IF(C118="",0,VLOOKUP(C118,CCBASE!$A$53:$C$73,2,FALSE))</f>
        <v>0</v>
      </c>
      <c r="K118" s="737">
        <f>J118*D118</f>
        <v>0</v>
      </c>
      <c r="L118" s="738">
        <v>0.35</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3"/>
        <v>0</v>
      </c>
      <c r="N121" s="737">
        <f>M121*VLOOKUP($B$9,'Base Costs'!$A$32:$B$37,2,FALSE)</f>
        <v>0</v>
      </c>
      <c r="O121" s="740">
        <f>M121-K121</f>
        <v>0</v>
      </c>
      <c r="P121" t="s">
        <v>1513</v>
      </c>
      <c r="Q121" t="s">
        <v>1514</v>
      </c>
      <c r="R121" s="217"/>
      <c r="S121" s="229" t="s">
        <v>1515</v>
      </c>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269" t="s">
        <v>344</v>
      </c>
      <c r="C135" s="752" t="s">
        <v>347</v>
      </c>
      <c r="D135" s="735"/>
      <c r="E135" s="753" t="str">
        <f>IF(C135="","",VLOOKUP(C135,CCBASE!$A$53:$D$73,4,FALSE))</f>
        <v/>
      </c>
      <c r="F135" s="754"/>
      <c r="G135" s="749"/>
      <c r="H135" s="750"/>
      <c r="I135" s="755"/>
      <c r="J135" s="736">
        <f>IF(C135="",0,VLOOKUP(C135,CCBASE!$A$53:$C$73,2,FALSE))</f>
        <v>0</v>
      </c>
      <c r="K135" s="737">
        <f>J135*D135</f>
        <v>0</v>
      </c>
      <c r="L135" s="738">
        <v>0.35</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ROUNDUP($F133/1000,0)</f>
        <v>0</v>
      </c>
      <c r="E138" s="1110" t="s">
        <v>1092</v>
      </c>
      <c r="F138" s="1108"/>
      <c r="G138" s="754"/>
      <c r="H138" s="750"/>
      <c r="I138" s="755"/>
      <c r="J138" s="736">
        <f>IF(D138=0,0,VLOOKUP(C138,'Base Costs'!$A$19:$B$22,2,FALSE))</f>
        <v>0</v>
      </c>
      <c r="K138" s="737">
        <f>J138*D138</f>
        <v>0</v>
      </c>
      <c r="L138" s="738">
        <v>0.44</v>
      </c>
      <c r="M138" s="739">
        <f t="shared" si="27"/>
        <v>0</v>
      </c>
      <c r="N138" s="737">
        <f>M138*VLOOKUP($B$9,'Base Costs'!$A$32:$B$37,2,FALSE)</f>
        <v>0</v>
      </c>
      <c r="O138" s="740">
        <f>M138-K138</f>
        <v>0</v>
      </c>
      <c r="P138" t="s">
        <v>1513</v>
      </c>
      <c r="Q138" t="s">
        <v>1514</v>
      </c>
      <c r="R138" s="217"/>
      <c r="S138" s="229" t="s">
        <v>1515</v>
      </c>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269" t="s">
        <v>344</v>
      </c>
      <c r="C152" s="752" t="s">
        <v>347</v>
      </c>
      <c r="D152" s="735"/>
      <c r="E152" s="753" t="str">
        <f>IF(C152="","",VLOOKUP(C152,CCBASE!$A$53:$D$73,4,FALSE))</f>
        <v/>
      </c>
      <c r="F152" s="754"/>
      <c r="G152" s="749"/>
      <c r="H152" s="750"/>
      <c r="I152" s="755"/>
      <c r="J152" s="736">
        <f>IF(C152="",0,VLOOKUP(C152,CCBASE!$A$53:$C$73,2,FALSE))</f>
        <v>0</v>
      </c>
      <c r="K152" s="737">
        <f>J152*D152</f>
        <v>0</v>
      </c>
      <c r="L152" s="738">
        <v>0.35</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1"/>
        <v>0</v>
      </c>
      <c r="N155" s="737">
        <f>M155*VLOOKUP($B$9,'Base Costs'!$A$32:$B$37,2,FALSE)</f>
        <v>0</v>
      </c>
      <c r="O155" s="740">
        <f>M155-K155</f>
        <v>0</v>
      </c>
      <c r="P155" t="s">
        <v>1513</v>
      </c>
      <c r="Q155" t="s">
        <v>1514</v>
      </c>
      <c r="R155" s="217"/>
      <c r="S155" s="229" t="s">
        <v>1515</v>
      </c>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269" t="s">
        <v>344</v>
      </c>
      <c r="C169" s="752" t="s">
        <v>347</v>
      </c>
      <c r="D169" s="735"/>
      <c r="E169" s="753" t="str">
        <f>IF(C169="","",VLOOKUP(C169,CCBASE!$A$53:$D$73,4,FALSE))</f>
        <v/>
      </c>
      <c r="F169" s="754"/>
      <c r="G169" s="749"/>
      <c r="H169" s="750"/>
      <c r="I169" s="755"/>
      <c r="J169" s="736">
        <f>IF(C169="",0,VLOOKUP(C169,CCBASE!$A$53:$C$73,2,FALSE))</f>
        <v>0</v>
      </c>
      <c r="K169" s="737">
        <f>J169*D169</f>
        <v>0</v>
      </c>
      <c r="L169" s="738">
        <v>0.35</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35"/>
        <v>0</v>
      </c>
      <c r="N172" s="737">
        <f>M172*VLOOKUP($B$9,'Base Costs'!$A$32:$B$37,2,FALSE)</f>
        <v>0</v>
      </c>
      <c r="O172" s="740">
        <f>M172-K172</f>
        <v>0</v>
      </c>
      <c r="P172" t="s">
        <v>1513</v>
      </c>
      <c r="Q172" t="s">
        <v>1514</v>
      </c>
      <c r="R172" s="217"/>
      <c r="S172" s="229" t="s">
        <v>1515</v>
      </c>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IF(K182=0,"-",O182/M182)</f>
        <v>-</v>
      </c>
      <c r="M182" s="723">
        <f>SUBTOTAL(9,M183:M197)</f>
        <v>0</v>
      </c>
      <c r="N182" s="705">
        <f>SUBTOTAL(9,N183:N197)</f>
        <v>0</v>
      </c>
      <c r="O182" s="703">
        <f>SUBTOTAL(9,O183:O197)</f>
        <v>0</v>
      </c>
      <c r="S182" s="694"/>
    </row>
    <row r="183" spans="1:25" ht="15" customHeight="1" x14ac:dyDescent="0.15">
      <c r="A183" s="666">
        <v>222</v>
      </c>
      <c r="B183" s="589" t="s">
        <v>1133</v>
      </c>
      <c r="C183" s="774"/>
      <c r="D183" s="775" t="s">
        <v>48</v>
      </c>
      <c r="E183" s="1118" t="s">
        <v>732</v>
      </c>
      <c r="F183" s="1119"/>
      <c r="G183" s="1109"/>
      <c r="H183" s="1109"/>
      <c r="I183" s="110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7"/>
      <c r="F186" s="1108"/>
      <c r="G186" s="1109"/>
      <c r="H186" s="1109"/>
      <c r="I186" s="110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6" t="s">
        <v>1495</v>
      </c>
      <c r="E193" s="1117"/>
      <c r="F193" s="111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6283" priority="687" operator="containsText" text="SELECT">
      <formula>NOT(ISERROR(SEARCH("SELECT",B9)))</formula>
    </cfRule>
    <cfRule type="expression" dxfId="6282" priority="688">
      <formula>B9="CURRENCY"</formula>
    </cfRule>
  </conditionalFormatting>
  <conditionalFormatting sqref="B11">
    <cfRule type="expression" dxfId="6281" priority="650">
      <formula>$B11&lt;&gt;""</formula>
    </cfRule>
  </conditionalFormatting>
  <conditionalFormatting sqref="B14:B23">
    <cfRule type="expression" dxfId="6280" priority="642">
      <formula>$J14&gt;0</formula>
    </cfRule>
  </conditionalFormatting>
  <conditionalFormatting sqref="B24">
    <cfRule type="expression" dxfId="6279" priority="639">
      <formula>ISNUMBER(SEARCH("UV",$D14))</formula>
    </cfRule>
    <cfRule type="expression" dxfId="6278" priority="640">
      <formula>($D14="CANOPY TYPE")</formula>
    </cfRule>
  </conditionalFormatting>
  <conditionalFormatting sqref="B25:B27">
    <cfRule type="expression" dxfId="6277" priority="455">
      <formula>$J25&gt;0</formula>
    </cfRule>
  </conditionalFormatting>
  <conditionalFormatting sqref="B28">
    <cfRule type="expression" dxfId="6276" priority="648">
      <formula>$B28&lt;&gt;""</formula>
    </cfRule>
  </conditionalFormatting>
  <conditionalFormatting sqref="B31:B32 B34:B40">
    <cfRule type="expression" dxfId="6275" priority="400">
      <formula>$J31&gt;0</formula>
    </cfRule>
  </conditionalFormatting>
  <conditionalFormatting sqref="B41">
    <cfRule type="expression" dxfId="6274" priority="607">
      <formula>ISNUMBER(SEARCH("UV",$D31))</formula>
    </cfRule>
    <cfRule type="expression" dxfId="6273" priority="608">
      <formula>($D31="CANOPY TYPE")</formula>
    </cfRule>
  </conditionalFormatting>
  <conditionalFormatting sqref="B42:B44">
    <cfRule type="expression" dxfId="6272" priority="609">
      <formula>$J42&gt;0</formula>
    </cfRule>
  </conditionalFormatting>
  <conditionalFormatting sqref="B45">
    <cfRule type="expression" dxfId="6271" priority="647">
      <formula>$B45&lt;&gt;""</formula>
    </cfRule>
  </conditionalFormatting>
  <conditionalFormatting sqref="B48:B49 B51:B57">
    <cfRule type="expression" dxfId="6270" priority="374">
      <formula>$J48&gt;0</formula>
    </cfRule>
  </conditionalFormatting>
  <conditionalFormatting sqref="B58">
    <cfRule type="expression" dxfId="6269" priority="577">
      <formula>ISNUMBER(SEARCH("UV",$D48))</formula>
    </cfRule>
    <cfRule type="expression" dxfId="6268" priority="578">
      <formula>($D48="CANOPY TYPE")</formula>
    </cfRule>
  </conditionalFormatting>
  <conditionalFormatting sqref="B59:B61">
    <cfRule type="expression" dxfId="6267" priority="454">
      <formula>$J59&gt;0</formula>
    </cfRule>
  </conditionalFormatting>
  <conditionalFormatting sqref="B62">
    <cfRule type="expression" dxfId="6266" priority="646">
      <formula>$B62&lt;&gt;""</formula>
    </cfRule>
  </conditionalFormatting>
  <conditionalFormatting sqref="B65:B66 B68:B74">
    <cfRule type="expression" dxfId="6265" priority="348">
      <formula>$J65&gt;0</formula>
    </cfRule>
  </conditionalFormatting>
  <conditionalFormatting sqref="B75">
    <cfRule type="expression" dxfId="6264" priority="546">
      <formula>ISNUMBER(SEARCH("UV",$D65))</formula>
    </cfRule>
    <cfRule type="expression" dxfId="6263" priority="547">
      <formula>($D65="CANOPY TYPE")</formula>
    </cfRule>
  </conditionalFormatting>
  <conditionalFormatting sqref="B76:B78">
    <cfRule type="expression" dxfId="6262" priority="453">
      <formula>$J76&gt;0</formula>
    </cfRule>
  </conditionalFormatting>
  <conditionalFormatting sqref="B79">
    <cfRule type="expression" dxfId="6261" priority="645">
      <formula>$B79&lt;&gt;""</formula>
    </cfRule>
  </conditionalFormatting>
  <conditionalFormatting sqref="B82:B83 B85:B91">
    <cfRule type="expression" dxfId="6260" priority="322">
      <formula>$J82&gt;0</formula>
    </cfRule>
  </conditionalFormatting>
  <conditionalFormatting sqref="B92">
    <cfRule type="expression" dxfId="6259" priority="514">
      <formula>ISNUMBER(SEARCH("UV",$D82))</formula>
    </cfRule>
    <cfRule type="expression" dxfId="6258" priority="515">
      <formula>($D82="CANOPY TYPE")</formula>
    </cfRule>
  </conditionalFormatting>
  <conditionalFormatting sqref="B93:B95">
    <cfRule type="expression" dxfId="6257" priority="452">
      <formula>$J93&gt;0</formula>
    </cfRule>
  </conditionalFormatting>
  <conditionalFormatting sqref="B96">
    <cfRule type="expression" dxfId="6256" priority="644">
      <formula>$B96&lt;&gt;""</formula>
    </cfRule>
  </conditionalFormatting>
  <conditionalFormatting sqref="B99:B100 B102:B108">
    <cfRule type="expression" dxfId="6255" priority="296">
      <formula>$J99&gt;0</formula>
    </cfRule>
  </conditionalFormatting>
  <conditionalFormatting sqref="B109">
    <cfRule type="expression" dxfId="6254" priority="483">
      <formula>ISNUMBER(SEARCH("UV",$D99))</formula>
    </cfRule>
    <cfRule type="expression" dxfId="6253" priority="484">
      <formula>($D99="CANOPY TYPE")</formula>
    </cfRule>
  </conditionalFormatting>
  <conditionalFormatting sqref="B110:B112 B127:B129 B144:B146 B161:B163 B178:B180">
    <cfRule type="expression" dxfId="6252" priority="451">
      <formula>$J110&gt;0</formula>
    </cfRule>
  </conditionalFormatting>
  <conditionalFormatting sqref="B113">
    <cfRule type="expression" dxfId="6251" priority="288">
      <formula>$B113&lt;&gt;""</formula>
    </cfRule>
  </conditionalFormatting>
  <conditionalFormatting sqref="B116:B117 B119:B125">
    <cfRule type="expression" dxfId="6250" priority="231">
      <formula>$J116&gt;0</formula>
    </cfRule>
  </conditionalFormatting>
  <conditionalFormatting sqref="B126">
    <cfRule type="expression" dxfId="6249" priority="260">
      <formula>ISNUMBER(SEARCH("UV",$D116))</formula>
    </cfRule>
    <cfRule type="expression" dxfId="6248" priority="261">
      <formula>($D116="CANOPY TYPE")</formula>
    </cfRule>
  </conditionalFormatting>
  <conditionalFormatting sqref="B130">
    <cfRule type="expression" dxfId="6247" priority="219">
      <formula>$B130&lt;&gt;""</formula>
    </cfRule>
  </conditionalFormatting>
  <conditionalFormatting sqref="B133:B134 B136:B142">
    <cfRule type="expression" dxfId="6246" priority="168">
      <formula>$J133&gt;0</formula>
    </cfRule>
  </conditionalFormatting>
  <conditionalFormatting sqref="B143">
    <cfRule type="expression" dxfId="6245" priority="191">
      <formula>ISNUMBER(SEARCH("UV",$D133))</formula>
    </cfRule>
    <cfRule type="expression" dxfId="6244" priority="192">
      <formula>($D133="CANOPY TYPE")</formula>
    </cfRule>
  </conditionalFormatting>
  <conditionalFormatting sqref="B147">
    <cfRule type="expression" dxfId="6243" priority="164">
      <formula>$B147&lt;&gt;""</formula>
    </cfRule>
  </conditionalFormatting>
  <conditionalFormatting sqref="B150:B151 B153:B159">
    <cfRule type="expression" dxfId="6242" priority="113">
      <formula>$J150&gt;0</formula>
    </cfRule>
  </conditionalFormatting>
  <conditionalFormatting sqref="B160">
    <cfRule type="expression" dxfId="6241" priority="136">
      <formula>ISNUMBER(SEARCH("UV",$D150))</formula>
    </cfRule>
    <cfRule type="expression" dxfId="6240" priority="137">
      <formula>($D150="CANOPY TYPE")</formula>
    </cfRule>
  </conditionalFormatting>
  <conditionalFormatting sqref="B164">
    <cfRule type="expression" dxfId="6239" priority="109">
      <formula>$B164&lt;&gt;""</formula>
    </cfRule>
  </conditionalFormatting>
  <conditionalFormatting sqref="B167:B168 B170:B176">
    <cfRule type="expression" dxfId="6238" priority="58">
      <formula>$J167&gt;0</formula>
    </cfRule>
  </conditionalFormatting>
  <conditionalFormatting sqref="B177">
    <cfRule type="expression" dxfId="6237" priority="81">
      <formula>ISNUMBER(SEARCH("UV",$D167))</formula>
    </cfRule>
    <cfRule type="expression" dxfId="6236" priority="82">
      <formula>($D167="CANOPY TYPE")</formula>
    </cfRule>
  </conditionalFormatting>
  <conditionalFormatting sqref="B183:B197">
    <cfRule type="expression" dxfId="6235" priority="641">
      <formula>$C183&gt;0</formula>
    </cfRule>
  </conditionalFormatting>
  <conditionalFormatting sqref="C14">
    <cfRule type="containsText" dxfId="6234" priority="441" operator="containsText" text="CONFIG">
      <formula>NOT(ISERROR(SEARCH("CONFIG",C14)))</formula>
    </cfRule>
  </conditionalFormatting>
  <conditionalFormatting sqref="C15">
    <cfRule type="containsText" dxfId="6233" priority="446" operator="containsText" text="LIGHT SELECTION">
      <formula>NOT(ISERROR(SEARCH("LIGHT SELECTION",C15)))</formula>
    </cfRule>
  </conditionalFormatting>
  <conditionalFormatting sqref="C20:C21">
    <cfRule type="cellIs" dxfId="6230" priority="693" operator="lessThan">
      <formula>1</formula>
    </cfRule>
  </conditionalFormatting>
  <conditionalFormatting sqref="C22:C23">
    <cfRule type="expression" dxfId="6229" priority="421">
      <formula>D22="WW PODS"</formula>
    </cfRule>
  </conditionalFormatting>
  <conditionalFormatting sqref="C24">
    <cfRule type="expression" dxfId="6228" priority="710">
      <formula>ISNUMBER(SEARCH("UV",D14))</formula>
    </cfRule>
  </conditionalFormatting>
  <conditionalFormatting sqref="C25">
    <cfRule type="expression" dxfId="6227" priority="675">
      <formula>(ISNUMBER(SEARCH("CMW",D14)))=TRUE</formula>
    </cfRule>
  </conditionalFormatting>
  <conditionalFormatting sqref="C26">
    <cfRule type="expression" dxfId="6226" priority="674">
      <formula>(ISNUMBER(SEARCH("CMW",D14)))=TRUE</formula>
    </cfRule>
  </conditionalFormatting>
  <conditionalFormatting sqref="C27">
    <cfRule type="expression" dxfId="6225" priority="643">
      <formula>(ISNUMBER(SEARCH("CMW",$D14)))=TRUE</formula>
    </cfRule>
  </conditionalFormatting>
  <conditionalFormatting sqref="C31">
    <cfRule type="containsText" dxfId="6224" priority="618" operator="containsText" text="CONFIG">
      <formula>NOT(ISERROR(SEARCH("CONFIG",C31)))</formula>
    </cfRule>
  </conditionalFormatting>
  <conditionalFormatting sqref="C32">
    <cfRule type="containsText" dxfId="6223" priority="448" operator="containsText" text="LIGHT SELECTION">
      <formula>NOT(ISERROR(SEARCH("LIGHT SELECTION",C32)))</formula>
    </cfRule>
  </conditionalFormatting>
  <conditionalFormatting sqref="C37:C38">
    <cfRule type="cellIs" dxfId="6220" priority="617" operator="lessThan">
      <formula>1</formula>
    </cfRule>
  </conditionalFormatting>
  <conditionalFormatting sqref="C39:C40">
    <cfRule type="expression" dxfId="6219" priority="399">
      <formula>D39="WW PODS"</formula>
    </cfRule>
  </conditionalFormatting>
  <conditionalFormatting sqref="C41">
    <cfRule type="expression" dxfId="6218" priority="632">
      <formula>ISNUMBER(SEARCH("UV",D31))</formula>
    </cfRule>
  </conditionalFormatting>
  <conditionalFormatting sqref="C42">
    <cfRule type="expression" dxfId="6217" priority="615">
      <formula>(ISNUMBER(SEARCH("CMW",D31)))=TRUE</formula>
    </cfRule>
  </conditionalFormatting>
  <conditionalFormatting sqref="C43">
    <cfRule type="expression" dxfId="6216" priority="480">
      <formula>(ISNUMBER(SEARCH("CMW",D31)))=TRUE</formula>
    </cfRule>
  </conditionalFormatting>
  <conditionalFormatting sqref="C44">
    <cfRule type="expression" dxfId="6215" priority="610">
      <formula>(ISNUMBER(SEARCH("CMW",$D31)))=TRUE</formula>
    </cfRule>
  </conditionalFormatting>
  <conditionalFormatting sqref="C48">
    <cfRule type="containsText" dxfId="6214" priority="587" operator="containsText" text="CONFIG">
      <formula>NOT(ISERROR(SEARCH("CONFIG",C48)))</formula>
    </cfRule>
  </conditionalFormatting>
  <conditionalFormatting sqref="C49">
    <cfRule type="containsText" dxfId="6213" priority="445" operator="containsText" text="LIGHT SELECTION">
      <formula>NOT(ISERROR(SEARCH("LIGHT SELECTION",C49)))</formula>
    </cfRule>
  </conditionalFormatting>
  <conditionalFormatting sqref="C54:C55">
    <cfRule type="cellIs" dxfId="6210" priority="586" operator="lessThan">
      <formula>1</formula>
    </cfRule>
  </conditionalFormatting>
  <conditionalFormatting sqref="C56:C57">
    <cfRule type="expression" dxfId="6209" priority="373">
      <formula>D56="WW PODS"</formula>
    </cfRule>
  </conditionalFormatting>
  <conditionalFormatting sqref="C58">
    <cfRule type="expression" dxfId="6208" priority="600">
      <formula>ISNUMBER(SEARCH("UV",D48))</formula>
    </cfRule>
  </conditionalFormatting>
  <conditionalFormatting sqref="C59">
    <cfRule type="expression" dxfId="6207" priority="584">
      <formula>(ISNUMBER(SEARCH("CMW",D48)))=TRUE</formula>
    </cfRule>
  </conditionalFormatting>
  <conditionalFormatting sqref="C60">
    <cfRule type="expression" dxfId="6206" priority="479">
      <formula>(ISNUMBER(SEARCH("CMW",D48)))=TRUE</formula>
    </cfRule>
  </conditionalFormatting>
  <conditionalFormatting sqref="C61">
    <cfRule type="expression" dxfId="6205" priority="579">
      <formula>(ISNUMBER(SEARCH("CMW",$D48)))=TRUE</formula>
    </cfRule>
  </conditionalFormatting>
  <conditionalFormatting sqref="C65">
    <cfRule type="containsText" dxfId="6204" priority="557" operator="containsText" text="CONFIG">
      <formula>NOT(ISERROR(SEARCH("CONFIG",C65)))</formula>
    </cfRule>
  </conditionalFormatting>
  <conditionalFormatting sqref="C66">
    <cfRule type="containsText" dxfId="6203" priority="444" operator="containsText" text="LIGHT SELECTION">
      <formula>NOT(ISERROR(SEARCH("LIGHT SELECTION",C66)))</formula>
    </cfRule>
  </conditionalFormatting>
  <conditionalFormatting sqref="C71:C72">
    <cfRule type="cellIs" dxfId="6200" priority="556" operator="lessThan">
      <formula>1</formula>
    </cfRule>
  </conditionalFormatting>
  <conditionalFormatting sqref="C73:C74">
    <cfRule type="expression" dxfId="6199" priority="347">
      <formula>D73="WW PODS"</formula>
    </cfRule>
  </conditionalFormatting>
  <conditionalFormatting sqref="C75">
    <cfRule type="expression" dxfId="6198" priority="570">
      <formula>ISNUMBER(SEARCH("UV",D65))</formula>
    </cfRule>
  </conditionalFormatting>
  <conditionalFormatting sqref="C76">
    <cfRule type="expression" dxfId="6197" priority="553">
      <formula>(ISNUMBER(SEARCH("CMW",D65)))=TRUE</formula>
    </cfRule>
  </conditionalFormatting>
  <conditionalFormatting sqref="C77">
    <cfRule type="expression" dxfId="6196" priority="478">
      <formula>(ISNUMBER(SEARCH("CMW",D65)))=TRUE</formula>
    </cfRule>
  </conditionalFormatting>
  <conditionalFormatting sqref="C78">
    <cfRule type="expression" dxfId="6195" priority="548">
      <formula>(ISNUMBER(SEARCH("CMW",$D65)))=TRUE</formula>
    </cfRule>
  </conditionalFormatting>
  <conditionalFormatting sqref="C82">
    <cfRule type="containsText" dxfId="6194" priority="525" operator="containsText" text="CONFIG">
      <formula>NOT(ISERROR(SEARCH("CONFIG",C82)))</formula>
    </cfRule>
  </conditionalFormatting>
  <conditionalFormatting sqref="C83">
    <cfRule type="containsText" dxfId="6193" priority="443" operator="containsText" text="LIGHT SELECTION">
      <formula>NOT(ISERROR(SEARCH("LIGHT SELECTION",C83)))</formula>
    </cfRule>
  </conditionalFormatting>
  <conditionalFormatting sqref="C88:C89">
    <cfRule type="cellIs" dxfId="6190" priority="524" operator="lessThan">
      <formula>1</formula>
    </cfRule>
  </conditionalFormatting>
  <conditionalFormatting sqref="C90:C91">
    <cfRule type="expression" dxfId="6189" priority="321">
      <formula>D90="WW PODS"</formula>
    </cfRule>
  </conditionalFormatting>
  <conditionalFormatting sqref="C92">
    <cfRule type="expression" dxfId="6188" priority="539">
      <formula>ISNUMBER(SEARCH("UV",D82))</formula>
    </cfRule>
  </conditionalFormatting>
  <conditionalFormatting sqref="C93">
    <cfRule type="expression" dxfId="6187" priority="521">
      <formula>(ISNUMBER(SEARCH("CMW",D82)))=TRUE</formula>
    </cfRule>
  </conditionalFormatting>
  <conditionalFormatting sqref="C94">
    <cfRule type="expression" dxfId="6186" priority="477">
      <formula>(ISNUMBER(SEARCH("CMW",D82)))=TRUE</formula>
    </cfRule>
  </conditionalFormatting>
  <conditionalFormatting sqref="C95">
    <cfRule type="expression" dxfId="6185" priority="516">
      <formula>(ISNUMBER(SEARCH("CMW",$D82)))=TRUE</formula>
    </cfRule>
  </conditionalFormatting>
  <conditionalFormatting sqref="C99">
    <cfRule type="containsText" dxfId="6184" priority="493" operator="containsText" text="CONFIG">
      <formula>NOT(ISERROR(SEARCH("CONFIG",C99)))</formula>
    </cfRule>
  </conditionalFormatting>
  <conditionalFormatting sqref="C100">
    <cfRule type="containsText" dxfId="6183" priority="442" operator="containsText" text="LIGHT SELECTION">
      <formula>NOT(ISERROR(SEARCH("LIGHT SELECTION",C100)))</formula>
    </cfRule>
  </conditionalFormatting>
  <conditionalFormatting sqref="C105:C106">
    <cfRule type="cellIs" dxfId="6180" priority="492" operator="lessThan">
      <formula>1</formula>
    </cfRule>
  </conditionalFormatting>
  <conditionalFormatting sqref="C107:C108">
    <cfRule type="expression" dxfId="6179" priority="295">
      <formula>D107="WW PODS"</formula>
    </cfRule>
  </conditionalFormatting>
  <conditionalFormatting sqref="C109">
    <cfRule type="expression" dxfId="6178" priority="507">
      <formula>ISNUMBER(SEARCH("UV",D99))</formula>
    </cfRule>
  </conditionalFormatting>
  <conditionalFormatting sqref="C110">
    <cfRule type="expression" dxfId="6177" priority="490">
      <formula>(ISNUMBER(SEARCH("CMW",D99)))=TRUE</formula>
    </cfRule>
  </conditionalFormatting>
  <conditionalFormatting sqref="C111">
    <cfRule type="expression" dxfId="6176" priority="476">
      <formula>(ISNUMBER(SEARCH("CMW",D99)))=TRUE</formula>
    </cfRule>
  </conditionalFormatting>
  <conditionalFormatting sqref="C112 C129 C146 C163 C180">
    <cfRule type="expression" dxfId="6175" priority="485">
      <formula>(ISNUMBER(SEARCH("CMW",$D99)))=TRUE</formula>
    </cfRule>
  </conditionalFormatting>
  <conditionalFormatting sqref="C116">
    <cfRule type="containsText" dxfId="6174" priority="269" operator="containsText" text="CONFIG">
      <formula>NOT(ISERROR(SEARCH("CONFIG",C116)))</formula>
    </cfRule>
  </conditionalFormatting>
  <conditionalFormatting sqref="C117">
    <cfRule type="containsText" dxfId="6173" priority="253" operator="containsText" text="LIGHT SELECTION">
      <formula>NOT(ISERROR(SEARCH("LIGHT SELECTION",C117)))</formula>
    </cfRule>
  </conditionalFormatting>
  <conditionalFormatting sqref="C122:C123">
    <cfRule type="cellIs" dxfId="6170" priority="268" operator="lessThan">
      <formula>1</formula>
    </cfRule>
  </conditionalFormatting>
  <conditionalFormatting sqref="C124:C125">
    <cfRule type="expression" dxfId="6169" priority="230">
      <formula>D124="WW PODS"</formula>
    </cfRule>
  </conditionalFormatting>
  <conditionalFormatting sqref="C126">
    <cfRule type="expression" dxfId="6168" priority="283">
      <formula>ISNUMBER(SEARCH("UV",D116))</formula>
    </cfRule>
  </conditionalFormatting>
  <conditionalFormatting sqref="C127">
    <cfRule type="expression" dxfId="6167" priority="266">
      <formula>(ISNUMBER(SEARCH("CMW",D116)))=TRUE</formula>
    </cfRule>
  </conditionalFormatting>
  <conditionalFormatting sqref="C128">
    <cfRule type="expression" dxfId="6166" priority="258">
      <formula>(ISNUMBER(SEARCH("CMW",D116)))=TRUE</formula>
    </cfRule>
  </conditionalFormatting>
  <conditionalFormatting sqref="C133">
    <cfRule type="containsText" dxfId="6165" priority="200" operator="containsText" text="CONFIG">
      <formula>NOT(ISERROR(SEARCH("CONFIG",C133)))</formula>
    </cfRule>
  </conditionalFormatting>
  <conditionalFormatting sqref="C134">
    <cfRule type="containsText" dxfId="6164" priority="184" operator="containsText" text="LIGHT SELECTION">
      <formula>NOT(ISERROR(SEARCH("LIGHT SELECTION",C134)))</formula>
    </cfRule>
  </conditionalFormatting>
  <conditionalFormatting sqref="C139:C140">
    <cfRule type="cellIs" dxfId="6161" priority="199" operator="lessThan">
      <formula>1</formula>
    </cfRule>
  </conditionalFormatting>
  <conditionalFormatting sqref="C141:C142">
    <cfRule type="expression" dxfId="6160" priority="167">
      <formula>D141="WW PODS"</formula>
    </cfRule>
  </conditionalFormatting>
  <conditionalFormatting sqref="C143">
    <cfRule type="expression" dxfId="6159" priority="214">
      <formula>ISNUMBER(SEARCH("UV",D133))</formula>
    </cfRule>
  </conditionalFormatting>
  <conditionalFormatting sqref="C144">
    <cfRule type="expression" dxfId="6158" priority="197">
      <formula>(ISNUMBER(SEARCH("CMW",D133)))=TRUE</formula>
    </cfRule>
  </conditionalFormatting>
  <conditionalFormatting sqref="C145">
    <cfRule type="expression" dxfId="6157" priority="189">
      <formula>(ISNUMBER(SEARCH("CMW",D133)))=TRUE</formula>
    </cfRule>
  </conditionalFormatting>
  <conditionalFormatting sqref="C150">
    <cfRule type="containsText" dxfId="6156" priority="145" operator="containsText" text="CONFIG">
      <formula>NOT(ISERROR(SEARCH("CONFIG",C150)))</formula>
    </cfRule>
  </conditionalFormatting>
  <conditionalFormatting sqref="C151">
    <cfRule type="containsText" dxfId="6155" priority="129" operator="containsText" text="LIGHT SELECTION">
      <formula>NOT(ISERROR(SEARCH("LIGHT SELECTION",C151)))</formula>
    </cfRule>
  </conditionalFormatting>
  <conditionalFormatting sqref="C156:C157">
    <cfRule type="cellIs" dxfId="6152" priority="144" operator="lessThan">
      <formula>1</formula>
    </cfRule>
  </conditionalFormatting>
  <conditionalFormatting sqref="C158:C159">
    <cfRule type="expression" dxfId="6151" priority="112">
      <formula>D158="WW PODS"</formula>
    </cfRule>
  </conditionalFormatting>
  <conditionalFormatting sqref="C160">
    <cfRule type="expression" dxfId="6150" priority="159">
      <formula>ISNUMBER(SEARCH("UV",D150))</formula>
    </cfRule>
  </conditionalFormatting>
  <conditionalFormatting sqref="C161">
    <cfRule type="expression" dxfId="6149" priority="142">
      <formula>(ISNUMBER(SEARCH("CMW",D150)))=TRUE</formula>
    </cfRule>
  </conditionalFormatting>
  <conditionalFormatting sqref="C162">
    <cfRule type="expression" dxfId="6148" priority="134">
      <formula>(ISNUMBER(SEARCH("CMW",D150)))=TRUE</formula>
    </cfRule>
  </conditionalFormatting>
  <conditionalFormatting sqref="C167">
    <cfRule type="containsText" dxfId="6147" priority="90" operator="containsText" text="CONFIG">
      <formula>NOT(ISERROR(SEARCH("CONFIG",C167)))</formula>
    </cfRule>
  </conditionalFormatting>
  <conditionalFormatting sqref="C168">
    <cfRule type="containsText" dxfId="6146" priority="74" operator="containsText" text="LIGHT SELECTION">
      <formula>NOT(ISERROR(SEARCH("LIGHT SELECTION",C168)))</formula>
    </cfRule>
  </conditionalFormatting>
  <conditionalFormatting sqref="C173:C174">
    <cfRule type="cellIs" dxfId="6143" priority="89" operator="lessThan">
      <formula>1</formula>
    </cfRule>
  </conditionalFormatting>
  <conditionalFormatting sqref="C175:C176">
    <cfRule type="expression" dxfId="6142" priority="57">
      <formula>D175="WW PODS"</formula>
    </cfRule>
  </conditionalFormatting>
  <conditionalFormatting sqref="C177">
    <cfRule type="expression" dxfId="6141" priority="104">
      <formula>ISNUMBER(SEARCH("UV",D167))</formula>
    </cfRule>
  </conditionalFormatting>
  <conditionalFormatting sqref="C178">
    <cfRule type="expression" dxfId="6140" priority="87">
      <formula>(ISNUMBER(SEARCH("CMW",D167)))=TRUE</formula>
    </cfRule>
  </conditionalFormatting>
  <conditionalFormatting sqref="C179">
    <cfRule type="expression" dxfId="6139" priority="79">
      <formula>(ISNUMBER(SEARCH("CMW",D167)))=TRUE</formula>
    </cfRule>
  </conditionalFormatting>
  <conditionalFormatting sqref="C183:C184">
    <cfRule type="cellIs" dxfId="6138" priority="695" operator="lessThan">
      <formula>1</formula>
    </cfRule>
  </conditionalFormatting>
  <conditionalFormatting sqref="C185">
    <cfRule type="cellIs" dxfId="6137" priority="684" operator="lessThan">
      <formula>1</formula>
    </cfRule>
  </conditionalFormatting>
  <conditionalFormatting sqref="C186:C197">
    <cfRule type="cellIs" dxfId="6136" priority="224" operator="lessThan">
      <formula>1</formula>
    </cfRule>
  </conditionalFormatting>
  <conditionalFormatting sqref="C9:D9">
    <cfRule type="cellIs" dxfId="6135" priority="685" operator="lessThan">
      <formula>0</formula>
    </cfRule>
    <cfRule type="cellIs" dxfId="6134" priority="686" operator="greaterThan">
      <formula>0</formula>
    </cfRule>
  </conditionalFormatting>
  <conditionalFormatting sqref="D14">
    <cfRule type="containsText" dxfId="6133" priority="696" operator="containsText" text="CANOPY TYPE">
      <formula>NOT(ISERROR(SEARCH("CANOPY TYPE",D14)))</formula>
    </cfRule>
  </conditionalFormatting>
  <conditionalFormatting sqref="D15">
    <cfRule type="expression" dxfId="6132" priority="437">
      <formula>(C15="LIGHT SELECTION")</formula>
    </cfRule>
  </conditionalFormatting>
  <conditionalFormatting sqref="D16:D18">
    <cfRule type="expression" dxfId="6131" priority="651">
      <formula>($C16="SELECT WORKS")</formula>
    </cfRule>
  </conditionalFormatting>
  <conditionalFormatting sqref="D19">
    <cfRule type="expression" dxfId="6130" priority="223">
      <formula>$C19="SELECT CLADDING"</formula>
    </cfRule>
  </conditionalFormatting>
  <conditionalFormatting sqref="D22:D23">
    <cfRule type="expression" dxfId="6129" priority="420">
      <formula>($D$14="CANOPY TYPE")</formula>
    </cfRule>
  </conditionalFormatting>
  <conditionalFormatting sqref="D24">
    <cfRule type="expression" dxfId="6128" priority="709">
      <formula>ISNUMBER(SEARCH("UV",D14))</formula>
    </cfRule>
  </conditionalFormatting>
  <conditionalFormatting sqref="D25">
    <cfRule type="expression" dxfId="6127" priority="637">
      <formula>($D$14="CANOPY TYPE")</formula>
    </cfRule>
  </conditionalFormatting>
  <conditionalFormatting sqref="D26">
    <cfRule type="expression" dxfId="6126" priority="659">
      <formula>(ISNUMBER(SEARCH("CMW",D14)))=TRUE</formula>
    </cfRule>
  </conditionalFormatting>
  <conditionalFormatting sqref="D31">
    <cfRule type="containsText" dxfId="6125" priority="619" operator="containsText" text="CANOPY TYPE">
      <formula>NOT(ISERROR(SEARCH("CANOPY TYPE",D31)))</formula>
    </cfRule>
  </conditionalFormatting>
  <conditionalFormatting sqref="D32">
    <cfRule type="expression" dxfId="6124" priority="450">
      <formula>(C32="LIGHT SELECTION")</formula>
    </cfRule>
  </conditionalFormatting>
  <conditionalFormatting sqref="D34:D35">
    <cfRule type="expression" dxfId="6123" priority="612">
      <formula>($C34="SELECT WORKS")</formula>
    </cfRule>
  </conditionalFormatting>
  <conditionalFormatting sqref="D36">
    <cfRule type="expression" dxfId="6122" priority="429">
      <formula>$C36="SELECT CLADDING"</formula>
    </cfRule>
  </conditionalFormatting>
  <conditionalFormatting sqref="D39:D40">
    <cfRule type="expression" dxfId="6121" priority="394">
      <formula>($D$14="CANOPY TYPE")</formula>
    </cfRule>
  </conditionalFormatting>
  <conditionalFormatting sqref="D41">
    <cfRule type="expression" dxfId="6120" priority="631">
      <formula>ISNUMBER(SEARCH("UV",D31))</formula>
    </cfRule>
  </conditionalFormatting>
  <conditionalFormatting sqref="D42">
    <cfRule type="expression" dxfId="6119" priority="605">
      <formula>($D$14="CANOPY TYPE")</formula>
    </cfRule>
  </conditionalFormatting>
  <conditionalFormatting sqref="D43">
    <cfRule type="expression" dxfId="6118" priority="614">
      <formula>(ISNUMBER(SEARCH("CMW",D31)))=TRUE</formula>
    </cfRule>
  </conditionalFormatting>
  <conditionalFormatting sqref="D48">
    <cfRule type="containsText" dxfId="6117" priority="432" operator="containsText" text="CANOPY TYPE">
      <formula>NOT(ISERROR(SEARCH("CANOPY TYPE",D48)))</formula>
    </cfRule>
  </conditionalFormatting>
  <conditionalFormatting sqref="D49">
    <cfRule type="expression" dxfId="6116" priority="447">
      <formula>(C15="LIGHT SELECTION")</formula>
    </cfRule>
  </conditionalFormatting>
  <conditionalFormatting sqref="D51:D52">
    <cfRule type="expression" dxfId="6115" priority="581">
      <formula>($C51="SELECT WORKS")</formula>
    </cfRule>
  </conditionalFormatting>
  <conditionalFormatting sqref="D53">
    <cfRule type="expression" dxfId="6114" priority="430">
      <formula>$C53="SELECT CLADDING"</formula>
    </cfRule>
  </conditionalFormatting>
  <conditionalFormatting sqref="D56:D57">
    <cfRule type="expression" dxfId="6113" priority="368">
      <formula>($D$14="CANOPY TYPE")</formula>
    </cfRule>
  </conditionalFormatting>
  <conditionalFormatting sqref="D58">
    <cfRule type="expression" dxfId="6112" priority="599">
      <formula>ISNUMBER(SEARCH("UV",D48))</formula>
    </cfRule>
  </conditionalFormatting>
  <conditionalFormatting sqref="D59">
    <cfRule type="expression" dxfId="6111" priority="575">
      <formula>($D$14="CANOPY TYPE")</formula>
    </cfRule>
  </conditionalFormatting>
  <conditionalFormatting sqref="D60">
    <cfRule type="expression" dxfId="6110" priority="583">
      <formula>(ISNUMBER(SEARCH("CMW",D48)))=TRUE</formula>
    </cfRule>
  </conditionalFormatting>
  <conditionalFormatting sqref="D65">
    <cfRule type="containsText" dxfId="6109" priority="431" operator="containsText" text="CANOPY TYPE">
      <formula>NOT(ISERROR(SEARCH("CANOPY TYPE",D65)))</formula>
    </cfRule>
  </conditionalFormatting>
  <conditionalFormatting sqref="D66">
    <cfRule type="expression" dxfId="6108" priority="440">
      <formula>(C66="LIGHT SELECTION")</formula>
    </cfRule>
  </conditionalFormatting>
  <conditionalFormatting sqref="D68:D69">
    <cfRule type="expression" dxfId="6107" priority="550">
      <formula>($C68="SELECT WORKS")</formula>
    </cfRule>
  </conditionalFormatting>
  <conditionalFormatting sqref="D70">
    <cfRule type="expression" dxfId="6106" priority="554">
      <formula>$C70="SELECT CLADDING"</formula>
    </cfRule>
  </conditionalFormatting>
  <conditionalFormatting sqref="D73:D74">
    <cfRule type="expression" dxfId="6105" priority="342">
      <formula>($D$14="CANOPY TYPE")</formula>
    </cfRule>
  </conditionalFormatting>
  <conditionalFormatting sqref="D75">
    <cfRule type="expression" dxfId="6104" priority="569">
      <formula>ISNUMBER(SEARCH("UV",D65))</formula>
    </cfRule>
  </conditionalFormatting>
  <conditionalFormatting sqref="D76">
    <cfRule type="expression" dxfId="6103" priority="544">
      <formula>($D$14="CANOPY TYPE")</formula>
    </cfRule>
  </conditionalFormatting>
  <conditionalFormatting sqref="D77">
    <cfRule type="expression" dxfId="6102" priority="552">
      <formula>(ISNUMBER(SEARCH("CMW",D65)))=TRUE</formula>
    </cfRule>
  </conditionalFormatting>
  <conditionalFormatting sqref="D82">
    <cfRule type="containsText" dxfId="6101" priority="526" operator="containsText" text="CANOPY TYPE">
      <formula>NOT(ISERROR(SEARCH("CANOPY TYPE",D82)))</formula>
    </cfRule>
  </conditionalFormatting>
  <conditionalFormatting sqref="D83">
    <cfRule type="expression" dxfId="6100" priority="439">
      <formula>(C83="LIGHT SELECTION")</formula>
    </cfRule>
  </conditionalFormatting>
  <conditionalFormatting sqref="D85:D86">
    <cfRule type="expression" dxfId="6099" priority="518">
      <formula>($C85="SELECT WORKS")</formula>
    </cfRule>
  </conditionalFormatting>
  <conditionalFormatting sqref="D87">
    <cfRule type="expression" dxfId="6098" priority="522">
      <formula>$C87="SELECT CLADDING"</formula>
    </cfRule>
  </conditionalFormatting>
  <conditionalFormatting sqref="D90:D91">
    <cfRule type="expression" dxfId="6097" priority="316">
      <formula>($D$14="CANOPY TYPE")</formula>
    </cfRule>
  </conditionalFormatting>
  <conditionalFormatting sqref="D92">
    <cfRule type="expression" dxfId="6096" priority="538">
      <formula>ISNUMBER(SEARCH("UV",D82))</formula>
    </cfRule>
  </conditionalFormatting>
  <conditionalFormatting sqref="D93">
    <cfRule type="expression" dxfId="6095" priority="512">
      <formula>($D$14="CANOPY TYPE")</formula>
    </cfRule>
  </conditionalFormatting>
  <conditionalFormatting sqref="D94">
    <cfRule type="expression" dxfId="6094" priority="520">
      <formula>(ISNUMBER(SEARCH("CMW",D82)))=TRUE</formula>
    </cfRule>
  </conditionalFormatting>
  <conditionalFormatting sqref="D99">
    <cfRule type="containsText" dxfId="6093" priority="494" operator="containsText" text="CANOPY TYPE">
      <formula>NOT(ISERROR(SEARCH("CANOPY TYPE",D99)))</formula>
    </cfRule>
  </conditionalFormatting>
  <conditionalFormatting sqref="D100">
    <cfRule type="expression" dxfId="6092" priority="438">
      <formula>(C100="LIGHT SELECTION")</formula>
    </cfRule>
  </conditionalFormatting>
  <conditionalFormatting sqref="D102:D103">
    <cfRule type="expression" dxfId="6091" priority="487">
      <formula>($C102="SELECT WORKS")</formula>
    </cfRule>
  </conditionalFormatting>
  <conditionalFormatting sqref="D104">
    <cfRule type="expression" dxfId="6090" priority="428">
      <formula>$C104="SELECT CLADDING"</formula>
    </cfRule>
  </conditionalFormatting>
  <conditionalFormatting sqref="D107:D108">
    <cfRule type="expression" dxfId="6089" priority="290">
      <formula>($D$14="CANOPY TYPE")</formula>
    </cfRule>
  </conditionalFormatting>
  <conditionalFormatting sqref="D109">
    <cfRule type="expression" dxfId="6088" priority="506">
      <formula>ISNUMBER(SEARCH("UV",D99))</formula>
    </cfRule>
  </conditionalFormatting>
  <conditionalFormatting sqref="D110">
    <cfRule type="expression" dxfId="6087" priority="481">
      <formula>($D$14="CANOPY TYPE")</formula>
    </cfRule>
  </conditionalFormatting>
  <conditionalFormatting sqref="D111">
    <cfRule type="expression" dxfId="6086" priority="489">
      <formula>(ISNUMBER(SEARCH("CMW",D99)))=TRUE</formula>
    </cfRule>
  </conditionalFormatting>
  <conditionalFormatting sqref="D116">
    <cfRule type="containsText" dxfId="6085" priority="270" operator="containsText" text="CANOPY TYPE">
      <formula>NOT(ISERROR(SEARCH("CANOPY TYPE",D116)))</formula>
    </cfRule>
  </conditionalFormatting>
  <conditionalFormatting sqref="D117">
    <cfRule type="expression" dxfId="6084" priority="252">
      <formula>(C117="LIGHT SELECTION")</formula>
    </cfRule>
  </conditionalFormatting>
  <conditionalFormatting sqref="D119:D120">
    <cfRule type="expression" dxfId="6083" priority="263">
      <formula>($C119="SELECT WORKS")</formula>
    </cfRule>
  </conditionalFormatting>
  <conditionalFormatting sqref="D121">
    <cfRule type="expression" dxfId="6082" priority="251">
      <formula>$C121="SELECT CLADDING"</formula>
    </cfRule>
  </conditionalFormatting>
  <conditionalFormatting sqref="D124:D125">
    <cfRule type="expression" dxfId="6081" priority="225">
      <formula>($D$14="CANOPY TYPE")</formula>
    </cfRule>
  </conditionalFormatting>
  <conditionalFormatting sqref="D126">
    <cfRule type="expression" dxfId="6080" priority="282">
      <formula>ISNUMBER(SEARCH("UV",D116))</formula>
    </cfRule>
  </conditionalFormatting>
  <conditionalFormatting sqref="D127">
    <cfRule type="expression" dxfId="6079" priority="259">
      <formula>($D$14="CANOPY TYPE")</formula>
    </cfRule>
  </conditionalFormatting>
  <conditionalFormatting sqref="D128">
    <cfRule type="expression" dxfId="6078" priority="265">
      <formula>(ISNUMBER(SEARCH("CMW",D116)))=TRUE</formula>
    </cfRule>
  </conditionalFormatting>
  <conditionalFormatting sqref="D133">
    <cfRule type="containsText" dxfId="6077" priority="201" operator="containsText" text="CANOPY TYPE">
      <formula>NOT(ISERROR(SEARCH("CANOPY TYPE",D133)))</formula>
    </cfRule>
  </conditionalFormatting>
  <conditionalFormatting sqref="D134">
    <cfRule type="expression" dxfId="6076" priority="183">
      <formula>(C134="LIGHT SELECTION")</formula>
    </cfRule>
  </conditionalFormatting>
  <conditionalFormatting sqref="D136:D137">
    <cfRule type="expression" dxfId="6075" priority="194">
      <formula>($C136="SELECT WORKS")</formula>
    </cfRule>
  </conditionalFormatting>
  <conditionalFormatting sqref="D138">
    <cfRule type="expression" dxfId="6074" priority="182">
      <formula>$C138="SELECT CLADDING"</formula>
    </cfRule>
  </conditionalFormatting>
  <conditionalFormatting sqref="D141:D142">
    <cfRule type="expression" dxfId="6073" priority="166">
      <formula>($D$14="CANOPY TYPE")</formula>
    </cfRule>
  </conditionalFormatting>
  <conditionalFormatting sqref="D143">
    <cfRule type="expression" dxfId="6072" priority="213">
      <formula>ISNUMBER(SEARCH("UV",D133))</formula>
    </cfRule>
  </conditionalFormatting>
  <conditionalFormatting sqref="D144">
    <cfRule type="expression" dxfId="6071" priority="190">
      <formula>($D$14="CANOPY TYPE")</formula>
    </cfRule>
  </conditionalFormatting>
  <conditionalFormatting sqref="D145">
    <cfRule type="expression" dxfId="6070" priority="196">
      <formula>(ISNUMBER(SEARCH("CMW",D133)))=TRUE</formula>
    </cfRule>
  </conditionalFormatting>
  <conditionalFormatting sqref="D150">
    <cfRule type="containsText" dxfId="6069" priority="146" operator="containsText" text="CANOPY TYPE">
      <formula>NOT(ISERROR(SEARCH("CANOPY TYPE",D150)))</formula>
    </cfRule>
  </conditionalFormatting>
  <conditionalFormatting sqref="D151">
    <cfRule type="expression" dxfId="6068" priority="128">
      <formula>(C151="LIGHT SELECTION")</formula>
    </cfRule>
  </conditionalFormatting>
  <conditionalFormatting sqref="D153:D154">
    <cfRule type="expression" dxfId="6067" priority="139">
      <formula>($C153="SELECT WORKS")</formula>
    </cfRule>
  </conditionalFormatting>
  <conditionalFormatting sqref="D155">
    <cfRule type="expression" dxfId="6066" priority="127">
      <formula>$C155="SELECT CLADDING"</formula>
    </cfRule>
  </conditionalFormatting>
  <conditionalFormatting sqref="D158:D159">
    <cfRule type="expression" dxfId="6065" priority="111">
      <formula>($D$14="CANOPY TYPE")</formula>
    </cfRule>
  </conditionalFormatting>
  <conditionalFormatting sqref="D160">
    <cfRule type="expression" dxfId="6064" priority="158">
      <formula>ISNUMBER(SEARCH("UV",D150))</formula>
    </cfRule>
  </conditionalFormatting>
  <conditionalFormatting sqref="D161">
    <cfRule type="expression" dxfId="6063" priority="135">
      <formula>($D$14="CANOPY TYPE")</formula>
    </cfRule>
  </conditionalFormatting>
  <conditionalFormatting sqref="D162">
    <cfRule type="expression" dxfId="6062" priority="141">
      <formula>(ISNUMBER(SEARCH("CMW",D150)))=TRUE</formula>
    </cfRule>
  </conditionalFormatting>
  <conditionalFormatting sqref="D167">
    <cfRule type="containsText" dxfId="6061" priority="91" operator="containsText" text="CANOPY TYPE">
      <formula>NOT(ISERROR(SEARCH("CANOPY TYPE",D167)))</formula>
    </cfRule>
  </conditionalFormatting>
  <conditionalFormatting sqref="D168">
    <cfRule type="expression" dxfId="6060" priority="73">
      <formula>(C168="LIGHT SELECTION")</formula>
    </cfRule>
  </conditionalFormatting>
  <conditionalFormatting sqref="D170:D171">
    <cfRule type="expression" dxfId="6059" priority="84">
      <formula>($C170="SELECT WORKS")</formula>
    </cfRule>
  </conditionalFormatting>
  <conditionalFormatting sqref="D172">
    <cfRule type="expression" dxfId="6058" priority="72">
      <formula>$C172="SELECT CLADDING"</formula>
    </cfRule>
  </conditionalFormatting>
  <conditionalFormatting sqref="D175:D176">
    <cfRule type="expression" dxfId="6057" priority="56">
      <formula>($D$14="CANOPY TYPE")</formula>
    </cfRule>
  </conditionalFormatting>
  <conditionalFormatting sqref="D177">
    <cfRule type="expression" dxfId="6056" priority="103">
      <formula>ISNUMBER(SEARCH("UV",D167))</formula>
    </cfRule>
  </conditionalFormatting>
  <conditionalFormatting sqref="D178">
    <cfRule type="expression" dxfId="6055" priority="80">
      <formula>($D$14="CANOPY TYPE")</formula>
    </cfRule>
  </conditionalFormatting>
  <conditionalFormatting sqref="D179">
    <cfRule type="expression" dxfId="6054" priority="86">
      <formula>(ISNUMBER(SEARCH("CMW",D167)))=TRUE</formula>
    </cfRule>
  </conditionalFormatting>
  <conditionalFormatting sqref="E12">
    <cfRule type="expression" dxfId="6053" priority="706">
      <formula>AND((ISNUMBER(SEARCH("I-MUAP",$D$14))),E12&lt;2500)</formula>
    </cfRule>
    <cfRule type="expression" dxfId="6052" priority="707">
      <formula>ISNUMBER(SEARCH("I-MUAP",$D$14))</formula>
    </cfRule>
    <cfRule type="cellIs" dxfId="6051" priority="708" operator="greaterThan">
      <formula>2000</formula>
    </cfRule>
  </conditionalFormatting>
  <conditionalFormatting sqref="E15">
    <cfRule type="expression" dxfId="6050" priority="435">
      <formula>(C15="LIGHT SELECTION")</formula>
    </cfRule>
  </conditionalFormatting>
  <conditionalFormatting sqref="E16:E18">
    <cfRule type="expression" dxfId="6049" priority="55">
      <formula>$C16="SELECT WORKS"</formula>
    </cfRule>
  </conditionalFormatting>
  <conditionalFormatting sqref="E22:E23">
    <cfRule type="expression" dxfId="6048" priority="689">
      <formula>D22="WW PODS"</formula>
    </cfRule>
    <cfRule type="expression" dxfId="6047" priority="690">
      <formula>D22="FILTER TYPE"</formula>
    </cfRule>
    <cfRule type="expression" dxfId="6046" priority="691">
      <formula>D22="KSA"</formula>
    </cfRule>
    <cfRule type="expression" dxfId="6045" priority="711">
      <formula>(D14="CANOPY TYPE")</formula>
    </cfRule>
  </conditionalFormatting>
  <conditionalFormatting sqref="E24">
    <cfRule type="containsText" dxfId="6044" priority="698" operator="containsText" text="LONG ">
      <formula>NOT(ISERROR(SEARCH("LONG ",E24)))</formula>
    </cfRule>
  </conditionalFormatting>
  <conditionalFormatting sqref="E29">
    <cfRule type="expression" dxfId="6043" priority="628">
      <formula>AND((ISNUMBER(SEARCH("I-MUAP",$D$14))),E29&lt;2500)</formula>
    </cfRule>
    <cfRule type="expression" dxfId="6042" priority="629">
      <formula>ISNUMBER(SEARCH("I-MUAP",$D$14))</formula>
    </cfRule>
    <cfRule type="cellIs" dxfId="6041" priority="630" operator="greaterThan">
      <formula>2000</formula>
    </cfRule>
  </conditionalFormatting>
  <conditionalFormatting sqref="E34">
    <cfRule type="expression" dxfId="6040" priority="611">
      <formula>$C34="SELECT WORKS"</formula>
    </cfRule>
  </conditionalFormatting>
  <conditionalFormatting sqref="E39:E40">
    <cfRule type="expression" dxfId="6039" priority="407">
      <formula>D39="WW PODS"</formula>
    </cfRule>
    <cfRule type="expression" dxfId="6038" priority="408">
      <formula>D39="FILTER TYPE"</formula>
    </cfRule>
    <cfRule type="expression" dxfId="6037" priority="409">
      <formula>D39="KSA"</formula>
    </cfRule>
    <cfRule type="expression" dxfId="6036" priority="410">
      <formula>(D31="CANOPY TYPE")</formula>
    </cfRule>
  </conditionalFormatting>
  <conditionalFormatting sqref="E41">
    <cfRule type="containsText" dxfId="6035" priority="621" operator="containsText" text="LONG ">
      <formula>NOT(ISERROR(SEARCH("LONG ",E41)))</formula>
    </cfRule>
  </conditionalFormatting>
  <conditionalFormatting sqref="E46">
    <cfRule type="expression" dxfId="6034" priority="596">
      <formula>AND((ISNUMBER(SEARCH("I-MUAP",$D$14))),E46&lt;2500)</formula>
    </cfRule>
    <cfRule type="expression" dxfId="6033" priority="597">
      <formula>ISNUMBER(SEARCH("I-MUAP",$D$14))</formula>
    </cfRule>
    <cfRule type="cellIs" dxfId="6032" priority="598" operator="greaterThan">
      <formula>2000</formula>
    </cfRule>
  </conditionalFormatting>
  <conditionalFormatting sqref="E49">
    <cfRule type="expression" dxfId="6031" priority="449">
      <formula>(C49="LIGHT SELECTION")</formula>
    </cfRule>
  </conditionalFormatting>
  <conditionalFormatting sqref="E51:E52">
    <cfRule type="expression" dxfId="6030" priority="580">
      <formula>$C51="SELECT WORKS"</formula>
    </cfRule>
  </conditionalFormatting>
  <conditionalFormatting sqref="E56:E57">
    <cfRule type="expression" dxfId="6029" priority="381">
      <formula>D56="WW PODS"</formula>
    </cfRule>
    <cfRule type="expression" dxfId="6028" priority="382">
      <formula>D56="FILTER TYPE"</formula>
    </cfRule>
    <cfRule type="expression" dxfId="6027" priority="383">
      <formula>D56="KSA"</formula>
    </cfRule>
    <cfRule type="expression" dxfId="6026" priority="384">
      <formula>(D48="CANOPY TYPE")</formula>
    </cfRule>
  </conditionalFormatting>
  <conditionalFormatting sqref="E58">
    <cfRule type="containsText" dxfId="6025" priority="589" operator="containsText" text="LONG ">
      <formula>NOT(ISERROR(SEARCH("LONG ",E58)))</formula>
    </cfRule>
  </conditionalFormatting>
  <conditionalFormatting sqref="E63">
    <cfRule type="expression" dxfId="6024" priority="566">
      <formula>AND((ISNUMBER(SEARCH("I-MUAP",$D$14))),E63&lt;2500)</formula>
    </cfRule>
    <cfRule type="expression" dxfId="6023" priority="567">
      <formula>ISNUMBER(SEARCH("I-MUAP",$D$14))</formula>
    </cfRule>
    <cfRule type="cellIs" dxfId="6022" priority="568" operator="greaterThan">
      <formula>2000</formula>
    </cfRule>
  </conditionalFormatting>
  <conditionalFormatting sqref="E68:E69">
    <cfRule type="expression" dxfId="6021" priority="549">
      <formula>$C68="SELECT WORKS"</formula>
    </cfRule>
  </conditionalFormatting>
  <conditionalFormatting sqref="E73:E74">
    <cfRule type="expression" dxfId="6020" priority="355">
      <formula>D73="WW PODS"</formula>
    </cfRule>
    <cfRule type="expression" dxfId="6019" priority="356">
      <formula>D73="FILTER TYPE"</formula>
    </cfRule>
    <cfRule type="expression" dxfId="6018" priority="357">
      <formula>D73="KSA"</formula>
    </cfRule>
    <cfRule type="expression" dxfId="6017" priority="358">
      <formula>(D65="CANOPY TYPE")</formula>
    </cfRule>
  </conditionalFormatting>
  <conditionalFormatting sqref="E75">
    <cfRule type="containsText" dxfId="6016" priority="559" operator="containsText" text="LONG ">
      <formula>NOT(ISERROR(SEARCH("LONG ",E75)))</formula>
    </cfRule>
  </conditionalFormatting>
  <conditionalFormatting sqref="E80">
    <cfRule type="expression" dxfId="6015" priority="535">
      <formula>AND((ISNUMBER(SEARCH("I-MUAP",$D$14))),E80&lt;2500)</formula>
    </cfRule>
    <cfRule type="expression" dxfId="6014" priority="536">
      <formula>ISNUMBER(SEARCH("I-MUAP",$D$14))</formula>
    </cfRule>
    <cfRule type="cellIs" dxfId="6013" priority="537" operator="greaterThan">
      <formula>2000</formula>
    </cfRule>
  </conditionalFormatting>
  <conditionalFormatting sqref="E85:E86">
    <cfRule type="expression" dxfId="6012" priority="517">
      <formula>$C85="SELECT WORKS"</formula>
    </cfRule>
  </conditionalFormatting>
  <conditionalFormatting sqref="E90:E91">
    <cfRule type="expression" dxfId="6011" priority="329">
      <formula>D90="WW PODS"</formula>
    </cfRule>
    <cfRule type="expression" dxfId="6010" priority="330">
      <formula>D90="FILTER TYPE"</formula>
    </cfRule>
    <cfRule type="expression" dxfId="6009" priority="331">
      <formula>D90="KSA"</formula>
    </cfRule>
    <cfRule type="expression" dxfId="6008" priority="332">
      <formula>(D82="CANOPY TYPE")</formula>
    </cfRule>
  </conditionalFormatting>
  <conditionalFormatting sqref="E92">
    <cfRule type="containsText" dxfId="6007" priority="528" operator="containsText" text="LONG ">
      <formula>NOT(ISERROR(SEARCH("LONG ",E92)))</formula>
    </cfRule>
  </conditionalFormatting>
  <conditionalFormatting sqref="E97">
    <cfRule type="expression" dxfId="6006" priority="503">
      <formula>AND((ISNUMBER(SEARCH("I-MUAP",$D$14))),E97&lt;2500)</formula>
    </cfRule>
    <cfRule type="expression" dxfId="6005" priority="504">
      <formula>ISNUMBER(SEARCH("I-MUAP",$D$14))</formula>
    </cfRule>
    <cfRule type="cellIs" dxfId="6004" priority="505" operator="greaterThan">
      <formula>2000</formula>
    </cfRule>
  </conditionalFormatting>
  <conditionalFormatting sqref="E102:E103">
    <cfRule type="expression" dxfId="6003" priority="486">
      <formula>$C102="SELECT WORKS"</formula>
    </cfRule>
  </conditionalFormatting>
  <conditionalFormatting sqref="E107:E108">
    <cfRule type="expression" dxfId="6002" priority="303">
      <formula>D107="WW PODS"</formula>
    </cfRule>
    <cfRule type="expression" dxfId="6001" priority="304">
      <formula>D107="FILTER TYPE"</formula>
    </cfRule>
    <cfRule type="expression" dxfId="6000" priority="305">
      <formula>D107="KSA"</formula>
    </cfRule>
    <cfRule type="expression" dxfId="5999" priority="306">
      <formula>(D99="CANOPY TYPE")</formula>
    </cfRule>
  </conditionalFormatting>
  <conditionalFormatting sqref="E109">
    <cfRule type="containsText" dxfId="5998" priority="496" operator="containsText" text="LONG ">
      <formula>NOT(ISERROR(SEARCH("LONG ",E109)))</formula>
    </cfRule>
  </conditionalFormatting>
  <conditionalFormatting sqref="E114">
    <cfRule type="expression" dxfId="5997" priority="279">
      <formula>AND((ISNUMBER(SEARCH("I-MUAP",$D$14))),E114&lt;2500)</formula>
    </cfRule>
    <cfRule type="expression" dxfId="5996" priority="280">
      <formula>ISNUMBER(SEARCH("I-MUAP",$D$14))</formula>
    </cfRule>
    <cfRule type="cellIs" dxfId="5995" priority="281" operator="greaterThan">
      <formula>2000</formula>
    </cfRule>
  </conditionalFormatting>
  <conditionalFormatting sqref="E119:E120">
    <cfRule type="expression" dxfId="5994" priority="262">
      <formula>$C119="SELECT WORKS"</formula>
    </cfRule>
  </conditionalFormatting>
  <conditionalFormatting sqref="E124:E125">
    <cfRule type="expression" dxfId="5993" priority="238">
      <formula>D124="WW PODS"</formula>
    </cfRule>
    <cfRule type="expression" dxfId="5992" priority="239">
      <formula>D124="FILTER TYPE"</formula>
    </cfRule>
    <cfRule type="expression" dxfId="5991" priority="240">
      <formula>D124="KSA"</formula>
    </cfRule>
    <cfRule type="expression" dxfId="5990" priority="241">
      <formula>(D116="CANOPY TYPE")</formula>
    </cfRule>
  </conditionalFormatting>
  <conditionalFormatting sqref="E126">
    <cfRule type="containsText" dxfId="5989" priority="272" operator="containsText" text="LONG ">
      <formula>NOT(ISERROR(SEARCH("LONG ",E126)))</formula>
    </cfRule>
  </conditionalFormatting>
  <conditionalFormatting sqref="E131">
    <cfRule type="expression" dxfId="5988" priority="210">
      <formula>AND((ISNUMBER(SEARCH("I-MUAP",$D$14))),E131&lt;2500)</formula>
    </cfRule>
    <cfRule type="expression" dxfId="5987" priority="211">
      <formula>ISNUMBER(SEARCH("I-MUAP",$D$14))</formula>
    </cfRule>
    <cfRule type="cellIs" dxfId="5986" priority="212" operator="greaterThan">
      <formula>2000</formula>
    </cfRule>
  </conditionalFormatting>
  <conditionalFormatting sqref="E136:E137">
    <cfRule type="expression" dxfId="5985" priority="193">
      <formula>$C136="SELECT WORKS"</formula>
    </cfRule>
  </conditionalFormatting>
  <conditionalFormatting sqref="E141:E142">
    <cfRule type="expression" dxfId="5984" priority="169">
      <formula>D141="WW PODS"</formula>
    </cfRule>
    <cfRule type="expression" dxfId="5983" priority="170">
      <formula>D141="FILTER TYPE"</formula>
    </cfRule>
    <cfRule type="expression" dxfId="5982" priority="171">
      <formula>D141="KSA"</formula>
    </cfRule>
    <cfRule type="expression" dxfId="5981" priority="172">
      <formula>(D133="CANOPY TYPE")</formula>
    </cfRule>
  </conditionalFormatting>
  <conditionalFormatting sqref="E143">
    <cfRule type="containsText" dxfId="5980" priority="203" operator="containsText" text="LONG ">
      <formula>NOT(ISERROR(SEARCH("LONG ",E143)))</formula>
    </cfRule>
  </conditionalFormatting>
  <conditionalFormatting sqref="E148">
    <cfRule type="expression" dxfId="5979" priority="155">
      <formula>AND((ISNUMBER(SEARCH("I-MUAP",$D$14))),E148&lt;2500)</formula>
    </cfRule>
    <cfRule type="expression" dxfId="5978" priority="156">
      <formula>ISNUMBER(SEARCH("I-MUAP",$D$14))</formula>
    </cfRule>
    <cfRule type="cellIs" dxfId="5977" priority="157" operator="greaterThan">
      <formula>2000</formula>
    </cfRule>
  </conditionalFormatting>
  <conditionalFormatting sqref="E153:E154">
    <cfRule type="expression" dxfId="5976" priority="138">
      <formula>$C153="SELECT WORKS"</formula>
    </cfRule>
  </conditionalFormatting>
  <conditionalFormatting sqref="E158:E159">
    <cfRule type="expression" dxfId="5975" priority="114">
      <formula>D158="WW PODS"</formula>
    </cfRule>
    <cfRule type="expression" dxfId="5974" priority="115">
      <formula>D158="FILTER TYPE"</formula>
    </cfRule>
    <cfRule type="expression" dxfId="5973" priority="116">
      <formula>D158="KSA"</formula>
    </cfRule>
    <cfRule type="expression" dxfId="5972" priority="117">
      <formula>(D150="CANOPY TYPE")</formula>
    </cfRule>
  </conditionalFormatting>
  <conditionalFormatting sqref="E160">
    <cfRule type="containsText" dxfId="5971" priority="148" operator="containsText" text="LONG ">
      <formula>NOT(ISERROR(SEARCH("LONG ",E160)))</formula>
    </cfRule>
  </conditionalFormatting>
  <conditionalFormatting sqref="E165">
    <cfRule type="expression" dxfId="5970" priority="100">
      <formula>AND((ISNUMBER(SEARCH("I-MUAP",$D$14))),E165&lt;2500)</formula>
    </cfRule>
    <cfRule type="expression" dxfId="5969" priority="101">
      <formula>ISNUMBER(SEARCH("I-MUAP",$D$14))</formula>
    </cfRule>
    <cfRule type="cellIs" dxfId="5968" priority="102" operator="greaterThan">
      <formula>2000</formula>
    </cfRule>
  </conditionalFormatting>
  <conditionalFormatting sqref="E170:E171">
    <cfRule type="expression" dxfId="5967" priority="83">
      <formula>$C170="SELECT WORKS"</formula>
    </cfRule>
  </conditionalFormatting>
  <conditionalFormatting sqref="E175:E176">
    <cfRule type="expression" dxfId="5966" priority="59">
      <formula>D175="WW PODS"</formula>
    </cfRule>
    <cfRule type="expression" dxfId="5965" priority="60">
      <formula>D175="FILTER TYPE"</formula>
    </cfRule>
    <cfRule type="expression" dxfId="5964" priority="61">
      <formula>D175="KSA"</formula>
    </cfRule>
    <cfRule type="expression" dxfId="5963" priority="62">
      <formula>(D167="CANOPY TYPE")</formula>
    </cfRule>
  </conditionalFormatting>
  <conditionalFormatting sqref="E177">
    <cfRule type="containsText" dxfId="5962" priority="93" operator="containsText" text="LONG ">
      <formula>NOT(ISERROR(SEARCH("LONG ",E177)))</formula>
    </cfRule>
  </conditionalFormatting>
  <conditionalFormatting sqref="E12:F12">
    <cfRule type="cellIs" dxfId="5961" priority="702" operator="lessThan">
      <formula>1000</formula>
    </cfRule>
  </conditionalFormatting>
  <conditionalFormatting sqref="E14:F14">
    <cfRule type="cellIs" dxfId="5960" priority="699" operator="lessThan">
      <formula>1000</formula>
    </cfRule>
  </conditionalFormatting>
  <conditionalFormatting sqref="E25:F27">
    <cfRule type="expression" dxfId="5959" priority="638">
      <formula>($D$14="CANOPY TYPE")</formula>
    </cfRule>
  </conditionalFormatting>
  <conditionalFormatting sqref="E29:F29">
    <cfRule type="cellIs" dxfId="5958" priority="625" operator="lessThan">
      <formula>1000</formula>
    </cfRule>
  </conditionalFormatting>
  <conditionalFormatting sqref="E31:F31">
    <cfRule type="cellIs" dxfId="5957" priority="622" operator="lessThan">
      <formula>1000</formula>
    </cfRule>
  </conditionalFormatting>
  <conditionalFormatting sqref="E32:F32">
    <cfRule type="expression" dxfId="5956" priority="473">
      <formula>(C32="LIGHT SELECTION")</formula>
    </cfRule>
  </conditionalFormatting>
  <conditionalFormatting sqref="E42:F44">
    <cfRule type="expression" dxfId="5955" priority="606">
      <formula>($D$14="CANOPY TYPE")</formula>
    </cfRule>
  </conditionalFormatting>
  <conditionalFormatting sqref="E46:F46">
    <cfRule type="cellIs" dxfId="5954" priority="593" operator="lessThan">
      <formula>1000</formula>
    </cfRule>
  </conditionalFormatting>
  <conditionalFormatting sqref="E48:F48">
    <cfRule type="cellIs" dxfId="5953" priority="590" operator="lessThan">
      <formula>1000</formula>
    </cfRule>
  </conditionalFormatting>
  <conditionalFormatting sqref="E59:F61">
    <cfRule type="expression" dxfId="5952" priority="576">
      <formula>($D$14="CANOPY TYPE")</formula>
    </cfRule>
  </conditionalFormatting>
  <conditionalFormatting sqref="E63:F63">
    <cfRule type="cellIs" dxfId="5951" priority="563" operator="lessThan">
      <formula>1000</formula>
    </cfRule>
  </conditionalFormatting>
  <conditionalFormatting sqref="E65:F65">
    <cfRule type="cellIs" dxfId="5950" priority="560" operator="lessThan">
      <formula>1000</formula>
    </cfRule>
  </conditionalFormatting>
  <conditionalFormatting sqref="E66:F66">
    <cfRule type="expression" dxfId="5949" priority="466">
      <formula>(C66="LIGHT SELECTION")</formula>
    </cfRule>
  </conditionalFormatting>
  <conditionalFormatting sqref="E76:F78">
    <cfRule type="expression" dxfId="5948" priority="545">
      <formula>($D$14="CANOPY TYPE")</formula>
    </cfRule>
  </conditionalFormatting>
  <conditionalFormatting sqref="E80:F80">
    <cfRule type="cellIs" dxfId="5947" priority="532" operator="lessThan">
      <formula>1000</formula>
    </cfRule>
  </conditionalFormatting>
  <conditionalFormatting sqref="E82:F82">
    <cfRule type="cellIs" dxfId="5946" priority="529" operator="lessThan">
      <formula>1000</formula>
    </cfRule>
  </conditionalFormatting>
  <conditionalFormatting sqref="E83:F83">
    <cfRule type="expression" dxfId="5945" priority="462">
      <formula>(C83="LIGHT SELECTION")</formula>
    </cfRule>
  </conditionalFormatting>
  <conditionalFormatting sqref="E93:F95">
    <cfRule type="expression" dxfId="5944" priority="513">
      <formula>($D$14="CANOPY TYPE")</formula>
    </cfRule>
  </conditionalFormatting>
  <conditionalFormatting sqref="E97:F97">
    <cfRule type="cellIs" dxfId="5943" priority="500" operator="lessThan">
      <formula>1000</formula>
    </cfRule>
  </conditionalFormatting>
  <conditionalFormatting sqref="E99:F99">
    <cfRule type="cellIs" dxfId="5942" priority="497" operator="lessThan">
      <formula>1000</formula>
    </cfRule>
  </conditionalFormatting>
  <conditionalFormatting sqref="E100:F100">
    <cfRule type="expression" dxfId="5941" priority="458">
      <formula>(C100="LIGHT SELECTION")</formula>
    </cfRule>
  </conditionalFormatting>
  <conditionalFormatting sqref="E110:F112 E127:F129 E144:F146 E161:F163 E178:F180">
    <cfRule type="expression" dxfId="5940" priority="482">
      <formula>($D$14="CANOPY TYPE")</formula>
    </cfRule>
  </conditionalFormatting>
  <conditionalFormatting sqref="E114:F114">
    <cfRule type="cellIs" dxfId="5939" priority="276" operator="lessThan">
      <formula>1000</formula>
    </cfRule>
  </conditionalFormatting>
  <conditionalFormatting sqref="E116:F116">
    <cfRule type="cellIs" dxfId="5938" priority="273" operator="lessThan">
      <formula>1000</formula>
    </cfRule>
  </conditionalFormatting>
  <conditionalFormatting sqref="E117:F117">
    <cfRule type="expression" dxfId="5937" priority="256">
      <formula>(C117="LIGHT SELECTION")</formula>
    </cfRule>
  </conditionalFormatting>
  <conditionalFormatting sqref="E131:F131">
    <cfRule type="cellIs" dxfId="5936" priority="207" operator="lessThan">
      <formula>1000</formula>
    </cfRule>
  </conditionalFormatting>
  <conditionalFormatting sqref="E133:F133">
    <cfRule type="cellIs" dxfId="5935" priority="204" operator="lessThan">
      <formula>1000</formula>
    </cfRule>
  </conditionalFormatting>
  <conditionalFormatting sqref="E134:F134">
    <cfRule type="expression" dxfId="5934" priority="187">
      <formula>(C134="LIGHT SELECTION")</formula>
    </cfRule>
  </conditionalFormatting>
  <conditionalFormatting sqref="E148:F148">
    <cfRule type="cellIs" dxfId="5933" priority="152" operator="lessThan">
      <formula>1000</formula>
    </cfRule>
  </conditionalFormatting>
  <conditionalFormatting sqref="E150:F150">
    <cfRule type="cellIs" dxfId="5932" priority="149" operator="lessThan">
      <formula>1000</formula>
    </cfRule>
  </conditionalFormatting>
  <conditionalFormatting sqref="E151:F151">
    <cfRule type="expression" dxfId="5931" priority="132">
      <formula>(C151="LIGHT SELECTION")</formula>
    </cfRule>
  </conditionalFormatting>
  <conditionalFormatting sqref="E165:F165">
    <cfRule type="cellIs" dxfId="5930" priority="97" operator="lessThan">
      <formula>1000</formula>
    </cfRule>
  </conditionalFormatting>
  <conditionalFormatting sqref="E167:F167">
    <cfRule type="cellIs" dxfId="5929" priority="94" operator="lessThan">
      <formula>1000</formula>
    </cfRule>
  </conditionalFormatting>
  <conditionalFormatting sqref="E168:F168">
    <cfRule type="expression" dxfId="5928" priority="77">
      <formula>(C168="LIGHT SELECTION")</formula>
    </cfRule>
  </conditionalFormatting>
  <conditionalFormatting sqref="F12">
    <cfRule type="cellIs" dxfId="5927" priority="703" operator="greaterThan">
      <formula>3001</formula>
    </cfRule>
  </conditionalFormatting>
  <conditionalFormatting sqref="F15">
    <cfRule type="expression" dxfId="5926" priority="475">
      <formula>(C15="LED STRIP")</formula>
    </cfRule>
    <cfRule type="expression" dxfId="5925" priority="692">
      <formula>(C15="LIGHT SELECTION")</formula>
    </cfRule>
    <cfRule type="expression" dxfId="5924" priority="694">
      <formula>(C15="FLO")</formula>
    </cfRule>
    <cfRule type="expression" dxfId="5923" priority="725">
      <formula>(D49="LIGHT SELECTION")</formula>
    </cfRule>
  </conditionalFormatting>
  <conditionalFormatting sqref="F22:F23">
    <cfRule type="expression" dxfId="5922" priority="716">
      <formula>D22="NF"</formula>
    </cfRule>
    <cfRule type="expression" dxfId="5921" priority="717">
      <formula>D22="WW PODS"</formula>
    </cfRule>
    <cfRule type="expression" dxfId="5920" priority="718">
      <formula>D22="GRILLE"</formula>
    </cfRule>
    <cfRule type="expression" dxfId="5919" priority="719">
      <formula>D22="CENTREX"</formula>
    </cfRule>
    <cfRule type="expression" dxfId="5918" priority="720" stopIfTrue="1">
      <formula>D14="canopy type"</formula>
    </cfRule>
    <cfRule type="expression" dxfId="5917" priority="721">
      <formula>(((I14*3600)/(C22*I11))^2+20)&gt;300</formula>
    </cfRule>
    <cfRule type="expression" dxfId="5916" priority="722" stopIfTrue="1">
      <formula>(ISNUMBER(SEARCH("UV",D14)))</formula>
    </cfRule>
    <cfRule type="expression" dxfId="5915" priority="723">
      <formula>(((I14*3600)/(C22*I11))^2+20)&gt;180</formula>
    </cfRule>
    <cfRule type="expression" dxfId="5914" priority="724">
      <formula>D22="KSA"</formula>
    </cfRule>
  </conditionalFormatting>
  <conditionalFormatting sqref="F24">
    <cfRule type="cellIs" dxfId="5913" priority="697" operator="lessThan">
      <formula>2100</formula>
    </cfRule>
  </conditionalFormatting>
  <conditionalFormatting sqref="F29">
    <cfRule type="cellIs" dxfId="5912" priority="626" operator="greaterThan">
      <formula>3001</formula>
    </cfRule>
  </conditionalFormatting>
  <conditionalFormatting sqref="F32">
    <cfRule type="expression" dxfId="5911" priority="471">
      <formula>(C32="LED STRIP")</formula>
    </cfRule>
    <cfRule type="expression" dxfId="5910" priority="472">
      <formula>(C32="LIGHT SELECTION")</formula>
    </cfRule>
    <cfRule type="expression" dxfId="5909" priority="474">
      <formula>(C32="FLO")</formula>
    </cfRule>
  </conditionalFormatting>
  <conditionalFormatting sqref="F39:F40">
    <cfRule type="expression" dxfId="5908" priority="411">
      <formula>D39="NF"</formula>
    </cfRule>
    <cfRule type="expression" dxfId="5907" priority="412">
      <formula>D39="WW PODS"</formula>
    </cfRule>
    <cfRule type="expression" dxfId="5906" priority="413">
      <formula>D39="GRILLE"</formula>
    </cfRule>
    <cfRule type="expression" dxfId="5905" priority="414">
      <formula>D39="CENTREX"</formula>
    </cfRule>
    <cfRule type="expression" dxfId="5904" priority="415" stopIfTrue="1">
      <formula>D31="canopy type"</formula>
    </cfRule>
    <cfRule type="expression" dxfId="5903" priority="416">
      <formula>(((I31*3600)/(C39*I28))^2+20)&gt;300</formula>
    </cfRule>
    <cfRule type="expression" dxfId="5902" priority="417" stopIfTrue="1">
      <formula>(ISNUMBER(SEARCH("UV",D31)))</formula>
    </cfRule>
    <cfRule type="expression" dxfId="5901" priority="418">
      <formula>(((I31*3600)/(C39*I28))^2+20)&gt;180</formula>
    </cfRule>
    <cfRule type="expression" dxfId="5900" priority="419">
      <formula>D39="KSA"</formula>
    </cfRule>
  </conditionalFormatting>
  <conditionalFormatting sqref="F41">
    <cfRule type="cellIs" dxfId="5899" priority="620" operator="lessThan">
      <formula>2100</formula>
    </cfRule>
  </conditionalFormatting>
  <conditionalFormatting sqref="F46">
    <cfRule type="cellIs" dxfId="5898" priority="594" operator="greaterThan">
      <formula>3001</formula>
    </cfRule>
  </conditionalFormatting>
  <conditionalFormatting sqref="F49">
    <cfRule type="expression" dxfId="5897" priority="468">
      <formula>(C49="LED STRIP")</formula>
    </cfRule>
    <cfRule type="expression" dxfId="5896" priority="469">
      <formula>(C49="LIGHT SELECTION")</formula>
    </cfRule>
    <cfRule type="expression" dxfId="5895" priority="470">
      <formula>(C49="FLO")</formula>
    </cfRule>
    <cfRule type="expression" dxfId="5894" priority="726">
      <formula>(#REF!="LIGHT SELECTION")</formula>
    </cfRule>
  </conditionalFormatting>
  <conditionalFormatting sqref="F56:F57">
    <cfRule type="expression" dxfId="5893" priority="385">
      <formula>D56="NF"</formula>
    </cfRule>
    <cfRule type="expression" dxfId="5892" priority="386">
      <formula>D56="WW PODS"</formula>
    </cfRule>
    <cfRule type="expression" dxfId="5891" priority="387">
      <formula>D56="GRILLE"</formula>
    </cfRule>
    <cfRule type="expression" dxfId="5890" priority="388">
      <formula>D56="CENTREX"</formula>
    </cfRule>
    <cfRule type="expression" dxfId="5889" priority="389" stopIfTrue="1">
      <formula>D48="canopy type"</formula>
    </cfRule>
    <cfRule type="expression" dxfId="5888" priority="390">
      <formula>(((I48*3600)/(C56*I45))^2+20)&gt;300</formula>
    </cfRule>
    <cfRule type="expression" dxfId="5887" priority="391" stopIfTrue="1">
      <formula>(ISNUMBER(SEARCH("UV",D48)))</formula>
    </cfRule>
    <cfRule type="expression" dxfId="5886" priority="392">
      <formula>(((I48*3600)/(C56*I45))^2+20)&gt;180</formula>
    </cfRule>
    <cfRule type="expression" dxfId="5885" priority="393">
      <formula>D56="KSA"</formula>
    </cfRule>
  </conditionalFormatting>
  <conditionalFormatting sqref="F58">
    <cfRule type="cellIs" dxfId="5884" priority="588" operator="lessThan">
      <formula>2100</formula>
    </cfRule>
  </conditionalFormatting>
  <conditionalFormatting sqref="F63">
    <cfRule type="cellIs" dxfId="5883" priority="564" operator="greaterThan">
      <formula>3001</formula>
    </cfRule>
  </conditionalFormatting>
  <conditionalFormatting sqref="F66">
    <cfRule type="expression" dxfId="5882" priority="464">
      <formula>(C66="LED STRIP")</formula>
    </cfRule>
    <cfRule type="expression" dxfId="5881" priority="465">
      <formula>(C66="LIGHT SELECTION")</formula>
    </cfRule>
    <cfRule type="expression" dxfId="5880" priority="467">
      <formula>(C66="FLO")</formula>
    </cfRule>
  </conditionalFormatting>
  <conditionalFormatting sqref="F73:F74">
    <cfRule type="expression" dxfId="5879" priority="359">
      <formula>D73="NF"</formula>
    </cfRule>
    <cfRule type="expression" dxfId="5878" priority="360">
      <formula>D73="WW PODS"</formula>
    </cfRule>
    <cfRule type="expression" dxfId="5877" priority="361">
      <formula>D73="GRILLE"</formula>
    </cfRule>
    <cfRule type="expression" dxfId="5876" priority="362">
      <formula>D73="CENTREX"</formula>
    </cfRule>
    <cfRule type="expression" dxfId="5875" priority="363" stopIfTrue="1">
      <formula>D65="canopy type"</formula>
    </cfRule>
    <cfRule type="expression" dxfId="5874" priority="364">
      <formula>(((I65*3600)/(C73*I62))^2+20)&gt;300</formula>
    </cfRule>
    <cfRule type="expression" dxfId="5873" priority="365" stopIfTrue="1">
      <formula>(ISNUMBER(SEARCH("UV",D65)))</formula>
    </cfRule>
    <cfRule type="expression" dxfId="5872" priority="366">
      <formula>(((I65*3600)/(C73*I62))^2+20)&gt;180</formula>
    </cfRule>
    <cfRule type="expression" dxfId="5871" priority="367">
      <formula>D73="KSA"</formula>
    </cfRule>
  </conditionalFormatting>
  <conditionalFormatting sqref="F75">
    <cfRule type="cellIs" dxfId="5870" priority="558" operator="lessThan">
      <formula>2100</formula>
    </cfRule>
  </conditionalFormatting>
  <conditionalFormatting sqref="F80">
    <cfRule type="cellIs" dxfId="5869" priority="533" operator="greaterThan">
      <formula>3001</formula>
    </cfRule>
  </conditionalFormatting>
  <conditionalFormatting sqref="F83">
    <cfRule type="expression" dxfId="5868" priority="460">
      <formula>(C83="LED STRIP")</formula>
    </cfRule>
    <cfRule type="expression" dxfId="5867" priority="461">
      <formula>(C83="LIGHT SELECTION")</formula>
    </cfRule>
    <cfRule type="expression" dxfId="5866" priority="463">
      <formula>(C83="FLO")</formula>
    </cfRule>
  </conditionalFormatting>
  <conditionalFormatting sqref="F90:F91">
    <cfRule type="expression" dxfId="5865" priority="333">
      <formula>D90="NF"</formula>
    </cfRule>
    <cfRule type="expression" dxfId="5864" priority="334">
      <formula>D90="WW PODS"</formula>
    </cfRule>
    <cfRule type="expression" dxfId="5863" priority="335">
      <formula>D90="GRILLE"</formula>
    </cfRule>
    <cfRule type="expression" dxfId="5862" priority="336">
      <formula>D90="CENTREX"</formula>
    </cfRule>
    <cfRule type="expression" dxfId="5861" priority="337" stopIfTrue="1">
      <formula>D82="canopy type"</formula>
    </cfRule>
    <cfRule type="expression" dxfId="5860" priority="338">
      <formula>(((I82*3600)/(C90*I79))^2+20)&gt;300</formula>
    </cfRule>
    <cfRule type="expression" dxfId="5859" priority="339" stopIfTrue="1">
      <formula>(ISNUMBER(SEARCH("UV",D82)))</formula>
    </cfRule>
    <cfRule type="expression" dxfId="5858" priority="340">
      <formula>(((I82*3600)/(C90*I79))^2+20)&gt;180</formula>
    </cfRule>
    <cfRule type="expression" dxfId="5857" priority="341">
      <formula>D90="KSA"</formula>
    </cfRule>
  </conditionalFormatting>
  <conditionalFormatting sqref="F92">
    <cfRule type="cellIs" dxfId="5856" priority="527" operator="lessThan">
      <formula>2100</formula>
    </cfRule>
  </conditionalFormatting>
  <conditionalFormatting sqref="F97">
    <cfRule type="cellIs" dxfId="5855" priority="501" operator="greaterThan">
      <formula>3001</formula>
    </cfRule>
  </conditionalFormatting>
  <conditionalFormatting sqref="F100">
    <cfRule type="expression" dxfId="5854" priority="456">
      <formula>(C100="LED STRIP")</formula>
    </cfRule>
    <cfRule type="expression" dxfId="5853" priority="457">
      <formula>(C100="LIGHT SELECTION")</formula>
    </cfRule>
    <cfRule type="expression" dxfId="5852" priority="459">
      <formula>(C100="FLO")</formula>
    </cfRule>
  </conditionalFormatting>
  <conditionalFormatting sqref="F107:F108">
    <cfRule type="expression" dxfId="5851" priority="307">
      <formula>D107="NF"</formula>
    </cfRule>
    <cfRule type="expression" dxfId="5850" priority="308">
      <formula>D107="WW PODS"</formula>
    </cfRule>
    <cfRule type="expression" dxfId="5849" priority="309">
      <formula>D107="GRILLE"</formula>
    </cfRule>
    <cfRule type="expression" dxfId="5848" priority="310">
      <formula>D107="CENTREX"</formula>
    </cfRule>
    <cfRule type="expression" dxfId="5847" priority="311" stopIfTrue="1">
      <formula>D99="canopy type"</formula>
    </cfRule>
    <cfRule type="expression" dxfId="5846" priority="312">
      <formula>(((I99*3600)/(C107*I96))^2+20)&gt;300</formula>
    </cfRule>
    <cfRule type="expression" dxfId="5845" priority="313" stopIfTrue="1">
      <formula>(ISNUMBER(SEARCH("UV",D99)))</formula>
    </cfRule>
    <cfRule type="expression" dxfId="5844" priority="314">
      <formula>(((I99*3600)/(C107*I96))^2+20)&gt;180</formula>
    </cfRule>
    <cfRule type="expression" dxfId="5843" priority="315">
      <formula>D107="KSA"</formula>
    </cfRule>
  </conditionalFormatting>
  <conditionalFormatting sqref="F109">
    <cfRule type="cellIs" dxfId="5842" priority="495" operator="lessThan">
      <formula>2100</formula>
    </cfRule>
  </conditionalFormatting>
  <conditionalFormatting sqref="F114">
    <cfRule type="cellIs" dxfId="5841" priority="277" operator="greaterThan">
      <formula>3001</formula>
    </cfRule>
  </conditionalFormatting>
  <conditionalFormatting sqref="F117">
    <cfRule type="expression" dxfId="5840" priority="254">
      <formula>(C117="LED STRIP")</formula>
    </cfRule>
    <cfRule type="expression" dxfId="5839" priority="255">
      <formula>(C117="LIGHT SELECTION")</formula>
    </cfRule>
    <cfRule type="expression" dxfId="5838" priority="257">
      <formula>(C117="FLO")</formula>
    </cfRule>
  </conditionalFormatting>
  <conditionalFormatting sqref="F124:F125">
    <cfRule type="expression" dxfId="5837" priority="242">
      <formula>D124="NF"</formula>
    </cfRule>
    <cfRule type="expression" dxfId="5836" priority="243">
      <formula>D124="WW PODS"</formula>
    </cfRule>
    <cfRule type="expression" dxfId="5835" priority="244">
      <formula>D124="GRILLE"</formula>
    </cfRule>
    <cfRule type="expression" dxfId="5834" priority="245">
      <formula>D124="CENTREX"</formula>
    </cfRule>
    <cfRule type="expression" dxfId="5833" priority="246" stopIfTrue="1">
      <formula>D116="canopy type"</formula>
    </cfRule>
    <cfRule type="expression" dxfId="5832" priority="247">
      <formula>(((I116*3600)/(C124*I113))^2+20)&gt;300</formula>
    </cfRule>
    <cfRule type="expression" dxfId="5831" priority="248" stopIfTrue="1">
      <formula>(ISNUMBER(SEARCH("UV",D116)))</formula>
    </cfRule>
    <cfRule type="expression" dxfId="5830" priority="249">
      <formula>(((I116*3600)/(C124*I113))^2+20)&gt;180</formula>
    </cfRule>
    <cfRule type="expression" dxfId="5829" priority="250">
      <formula>D124="KSA"</formula>
    </cfRule>
  </conditionalFormatting>
  <conditionalFormatting sqref="F126">
    <cfRule type="cellIs" dxfId="5828" priority="271" operator="lessThan">
      <formula>2100</formula>
    </cfRule>
  </conditionalFormatting>
  <conditionalFormatting sqref="F131">
    <cfRule type="cellIs" dxfId="5827" priority="208" operator="greaterThan">
      <formula>3001</formula>
    </cfRule>
  </conditionalFormatting>
  <conditionalFormatting sqref="F134">
    <cfRule type="expression" dxfId="5826" priority="185">
      <formula>(C134="LED STRIP")</formula>
    </cfRule>
    <cfRule type="expression" dxfId="5825" priority="186">
      <formula>(C134="LIGHT SELECTION")</formula>
    </cfRule>
    <cfRule type="expression" dxfId="5824" priority="188">
      <formula>(C134="FLO")</formula>
    </cfRule>
  </conditionalFormatting>
  <conditionalFormatting sqref="F141:F142">
    <cfRule type="expression" dxfId="5823" priority="173">
      <formula>D141="NF"</formula>
    </cfRule>
    <cfRule type="expression" dxfId="5822" priority="174">
      <formula>D141="WW PODS"</formula>
    </cfRule>
    <cfRule type="expression" dxfId="5821" priority="175">
      <formula>D141="GRILLE"</formula>
    </cfRule>
    <cfRule type="expression" dxfId="5820" priority="176">
      <formula>D141="CENTREX"</formula>
    </cfRule>
    <cfRule type="expression" dxfId="5819" priority="177" stopIfTrue="1">
      <formula>D133="canopy type"</formula>
    </cfRule>
    <cfRule type="expression" dxfId="5818" priority="178">
      <formula>(((I133*3600)/(C141*I130))^2+20)&gt;300</formula>
    </cfRule>
    <cfRule type="expression" dxfId="5817" priority="179" stopIfTrue="1">
      <formula>(ISNUMBER(SEARCH("UV",D133)))</formula>
    </cfRule>
    <cfRule type="expression" dxfId="5816" priority="180">
      <formula>(((I133*3600)/(C141*I130))^2+20)&gt;180</formula>
    </cfRule>
    <cfRule type="expression" dxfId="5815" priority="181">
      <formula>D141="KSA"</formula>
    </cfRule>
  </conditionalFormatting>
  <conditionalFormatting sqref="F143">
    <cfRule type="cellIs" dxfId="5814" priority="202" operator="lessThan">
      <formula>2100</formula>
    </cfRule>
  </conditionalFormatting>
  <conditionalFormatting sqref="F148">
    <cfRule type="cellIs" dxfId="5813" priority="153" operator="greaterThan">
      <formula>3001</formula>
    </cfRule>
  </conditionalFormatting>
  <conditionalFormatting sqref="F151">
    <cfRule type="expression" dxfId="5812" priority="130">
      <formula>(C151="LED STRIP")</formula>
    </cfRule>
    <cfRule type="expression" dxfId="5811" priority="131">
      <formula>(C151="LIGHT SELECTION")</formula>
    </cfRule>
    <cfRule type="expression" dxfId="5810" priority="133">
      <formula>(C151="FLO")</formula>
    </cfRule>
  </conditionalFormatting>
  <conditionalFormatting sqref="F158:F159">
    <cfRule type="expression" dxfId="5809" priority="118">
      <formula>D158="NF"</formula>
    </cfRule>
    <cfRule type="expression" dxfId="5808" priority="119">
      <formula>D158="WW PODS"</formula>
    </cfRule>
    <cfRule type="expression" dxfId="5807" priority="120">
      <formula>D158="GRILLE"</formula>
    </cfRule>
    <cfRule type="expression" dxfId="5806" priority="121">
      <formula>D158="CENTREX"</formula>
    </cfRule>
    <cfRule type="expression" dxfId="5805" priority="122" stopIfTrue="1">
      <formula>D150="canopy type"</formula>
    </cfRule>
    <cfRule type="expression" dxfId="5804" priority="123">
      <formula>(((I150*3600)/(C158*I147))^2+20)&gt;300</formula>
    </cfRule>
    <cfRule type="expression" dxfId="5803" priority="124" stopIfTrue="1">
      <formula>(ISNUMBER(SEARCH("UV",D150)))</formula>
    </cfRule>
    <cfRule type="expression" dxfId="5802" priority="125">
      <formula>(((I150*3600)/(C158*I147))^2+20)&gt;180</formula>
    </cfRule>
    <cfRule type="expression" dxfId="5801" priority="126">
      <formula>D158="KSA"</formula>
    </cfRule>
  </conditionalFormatting>
  <conditionalFormatting sqref="F160">
    <cfRule type="cellIs" dxfId="5800" priority="147" operator="lessThan">
      <formula>2100</formula>
    </cfRule>
  </conditionalFormatting>
  <conditionalFormatting sqref="F165">
    <cfRule type="cellIs" dxfId="5799" priority="98" operator="greaterThan">
      <formula>3001</formula>
    </cfRule>
  </conditionalFormatting>
  <conditionalFormatting sqref="F168">
    <cfRule type="expression" dxfId="5798" priority="75">
      <formula>(C168="LED STRIP")</formula>
    </cfRule>
    <cfRule type="expression" dxfId="5797" priority="76">
      <formula>(C168="LIGHT SELECTION")</formula>
    </cfRule>
    <cfRule type="expression" dxfId="5796" priority="78">
      <formula>(C168="FLO")</formula>
    </cfRule>
  </conditionalFormatting>
  <conditionalFormatting sqref="F175:F176">
    <cfRule type="expression" dxfId="5795" priority="63">
      <formula>D175="NF"</formula>
    </cfRule>
    <cfRule type="expression" dxfId="5794" priority="64">
      <formula>D175="WW PODS"</formula>
    </cfRule>
    <cfRule type="expression" dxfId="5793" priority="65">
      <formula>D175="GRILLE"</formula>
    </cfRule>
    <cfRule type="expression" dxfId="5792" priority="66">
      <formula>D175="CENTREX"</formula>
    </cfRule>
    <cfRule type="expression" dxfId="5791" priority="67" stopIfTrue="1">
      <formula>D167="canopy type"</formula>
    </cfRule>
    <cfRule type="expression" dxfId="5790" priority="68">
      <formula>(((I167*3600)/(C175*I164))^2+20)&gt;300</formula>
    </cfRule>
    <cfRule type="expression" dxfId="5789" priority="69" stopIfTrue="1">
      <formula>(ISNUMBER(SEARCH("UV",D167)))</formula>
    </cfRule>
    <cfRule type="expression" dxfId="5788" priority="70">
      <formula>(((I167*3600)/(C175*I164))^2+20)&gt;180</formula>
    </cfRule>
    <cfRule type="expression" dxfId="5787" priority="71">
      <formula>D175="KSA"</formula>
    </cfRule>
  </conditionalFormatting>
  <conditionalFormatting sqref="F177">
    <cfRule type="cellIs" dxfId="5786" priority="92" operator="lessThan">
      <formula>2100</formula>
    </cfRule>
  </conditionalFormatting>
  <conditionalFormatting sqref="G11">
    <cfRule type="expression" dxfId="5785" priority="705">
      <formula>((F14-50)/H14)&lt;950</formula>
    </cfRule>
  </conditionalFormatting>
  <conditionalFormatting sqref="G12">
    <cfRule type="expression" dxfId="5784" priority="704">
      <formula>((F14-50)/H14)&lt;950</formula>
    </cfRule>
  </conditionalFormatting>
  <conditionalFormatting sqref="G14">
    <cfRule type="cellIs" dxfId="5783" priority="700" operator="lessThan">
      <formula>400</formula>
    </cfRule>
  </conditionalFormatting>
  <conditionalFormatting sqref="G28">
    <cfRule type="expression" dxfId="5782" priority="649">
      <formula>((F31-50)/H31)&lt;950</formula>
    </cfRule>
  </conditionalFormatting>
  <conditionalFormatting sqref="G29">
    <cfRule type="expression" dxfId="5781" priority="627">
      <formula>((F31-50)/H31)&lt;950</formula>
    </cfRule>
  </conditionalFormatting>
  <conditionalFormatting sqref="G31">
    <cfRule type="cellIs" dxfId="5780" priority="623" operator="lessThan">
      <formula>400</formula>
    </cfRule>
  </conditionalFormatting>
  <conditionalFormatting sqref="G45">
    <cfRule type="expression" dxfId="5779" priority="665">
      <formula>((F48-50)/H48)&lt;950</formula>
    </cfRule>
  </conditionalFormatting>
  <conditionalFormatting sqref="G46">
    <cfRule type="expression" dxfId="5778" priority="595">
      <formula>((F48-50)/H48)&lt;950</formula>
    </cfRule>
  </conditionalFormatting>
  <conditionalFormatting sqref="G48">
    <cfRule type="cellIs" dxfId="5777" priority="591" operator="lessThan">
      <formula>400</formula>
    </cfRule>
  </conditionalFormatting>
  <conditionalFormatting sqref="G62">
    <cfRule type="expression" dxfId="5776" priority="666">
      <formula>((F65-50)/H65)&lt;950</formula>
    </cfRule>
  </conditionalFormatting>
  <conditionalFormatting sqref="G63">
    <cfRule type="expression" dxfId="5775" priority="565">
      <formula>((F65-50)/H65)&lt;950</formula>
    </cfRule>
  </conditionalFormatting>
  <conditionalFormatting sqref="G65">
    <cfRule type="cellIs" dxfId="5774" priority="561" operator="lessThan">
      <formula>400</formula>
    </cfRule>
  </conditionalFormatting>
  <conditionalFormatting sqref="G79">
    <cfRule type="expression" dxfId="5773" priority="667">
      <formula>((F82-50)/H82)&lt;950</formula>
    </cfRule>
  </conditionalFormatting>
  <conditionalFormatting sqref="G80">
    <cfRule type="expression" dxfId="5772" priority="534">
      <formula>((F82-50)/H82)&lt;950</formula>
    </cfRule>
  </conditionalFormatting>
  <conditionalFormatting sqref="G82">
    <cfRule type="cellIs" dxfId="5771" priority="530" operator="lessThan">
      <formula>400</formula>
    </cfRule>
  </conditionalFormatting>
  <conditionalFormatting sqref="G96">
    <cfRule type="expression" dxfId="5770" priority="677">
      <formula>((F99-50)/H99)&lt;950</formula>
    </cfRule>
  </conditionalFormatting>
  <conditionalFormatting sqref="G97">
    <cfRule type="expression" dxfId="5769" priority="502">
      <formula>((F99-50)/H99)&lt;950</formula>
    </cfRule>
  </conditionalFormatting>
  <conditionalFormatting sqref="G99">
    <cfRule type="cellIs" dxfId="5768" priority="498" operator="lessThan">
      <formula>400</formula>
    </cfRule>
  </conditionalFormatting>
  <conditionalFormatting sqref="G113">
    <cfRule type="expression" dxfId="5767" priority="289">
      <formula>((F116-50)/H116)&lt;950</formula>
    </cfRule>
  </conditionalFormatting>
  <conditionalFormatting sqref="G114">
    <cfRule type="expression" dxfId="5766" priority="278">
      <formula>((F116-50)/H116)&lt;950</formula>
    </cfRule>
  </conditionalFormatting>
  <conditionalFormatting sqref="G116">
    <cfRule type="cellIs" dxfId="5765" priority="274" operator="lessThan">
      <formula>400</formula>
    </cfRule>
  </conditionalFormatting>
  <conditionalFormatting sqref="G130">
    <cfRule type="expression" dxfId="5764" priority="220">
      <formula>((F133-50)/H133)&lt;950</formula>
    </cfRule>
  </conditionalFormatting>
  <conditionalFormatting sqref="G131">
    <cfRule type="expression" dxfId="5763" priority="209">
      <formula>((F133-50)/H133)&lt;950</formula>
    </cfRule>
  </conditionalFormatting>
  <conditionalFormatting sqref="G133">
    <cfRule type="cellIs" dxfId="5762" priority="205" operator="lessThan">
      <formula>400</formula>
    </cfRule>
  </conditionalFormatting>
  <conditionalFormatting sqref="G147">
    <cfRule type="expression" dxfId="5761" priority="165">
      <formula>((F150-50)/H150)&lt;950</formula>
    </cfRule>
  </conditionalFormatting>
  <conditionalFormatting sqref="G148">
    <cfRule type="expression" dxfId="5760" priority="154">
      <formula>((F150-50)/H150)&lt;950</formula>
    </cfRule>
  </conditionalFormatting>
  <conditionalFormatting sqref="G150">
    <cfRule type="cellIs" dxfId="5759" priority="150" operator="lessThan">
      <formula>400</formula>
    </cfRule>
  </conditionalFormatting>
  <conditionalFormatting sqref="G164">
    <cfRule type="expression" dxfId="5758" priority="110">
      <formula>((F167-50)/H167)&lt;950</formula>
    </cfRule>
  </conditionalFormatting>
  <conditionalFormatting sqref="G165">
    <cfRule type="expression" dxfId="5757" priority="99">
      <formula>((F167-50)/H167)&lt;950</formula>
    </cfRule>
  </conditionalFormatting>
  <conditionalFormatting sqref="G167">
    <cfRule type="cellIs" dxfId="5756" priority="95" operator="lessThan">
      <formula>400</formula>
    </cfRule>
  </conditionalFormatting>
  <conditionalFormatting sqref="I14">
    <cfRule type="cellIs" dxfId="5755" priority="701" operator="lessThan">
      <formula>0.1</formula>
    </cfRule>
  </conditionalFormatting>
  <conditionalFormatting sqref="I31">
    <cfRule type="cellIs" dxfId="5754" priority="624" operator="lessThan">
      <formula>0.1</formula>
    </cfRule>
  </conditionalFormatting>
  <conditionalFormatting sqref="I48">
    <cfRule type="cellIs" dxfId="5753" priority="592" operator="lessThan">
      <formula>0.1</formula>
    </cfRule>
  </conditionalFormatting>
  <conditionalFormatting sqref="I65">
    <cfRule type="cellIs" dxfId="5752" priority="562" operator="lessThan">
      <formula>0.1</formula>
    </cfRule>
  </conditionalFormatting>
  <conditionalFormatting sqref="I82">
    <cfRule type="cellIs" dxfId="5751" priority="531" operator="lessThan">
      <formula>0.1</formula>
    </cfRule>
  </conditionalFormatting>
  <conditionalFormatting sqref="I99">
    <cfRule type="cellIs" dxfId="5750" priority="499" operator="lessThan">
      <formula>0.1</formula>
    </cfRule>
  </conditionalFormatting>
  <conditionalFormatting sqref="I116">
    <cfRule type="cellIs" dxfId="5749" priority="275" operator="lessThan">
      <formula>0.1</formula>
    </cfRule>
  </conditionalFormatting>
  <conditionalFormatting sqref="I133">
    <cfRule type="cellIs" dxfId="5748" priority="206" operator="lessThan">
      <formula>0.1</formula>
    </cfRule>
  </conditionalFormatting>
  <conditionalFormatting sqref="I150">
    <cfRule type="cellIs" dxfId="5747" priority="151" operator="lessThan">
      <formula>0.1</formula>
    </cfRule>
  </conditionalFormatting>
  <conditionalFormatting sqref="I167">
    <cfRule type="cellIs" dxfId="5746" priority="96" operator="lessThan">
      <formula>0.1</formula>
    </cfRule>
  </conditionalFormatting>
  <conditionalFormatting sqref="J14:J27">
    <cfRule type="cellIs" dxfId="5745" priority="422" operator="greaterThan">
      <formula>0</formula>
    </cfRule>
  </conditionalFormatting>
  <conditionalFormatting sqref="J31:J32 J34:J44">
    <cfRule type="cellIs" dxfId="5744" priority="395" operator="greaterThan">
      <formula>0</formula>
    </cfRule>
  </conditionalFormatting>
  <conditionalFormatting sqref="J48:J49 J51:J61">
    <cfRule type="cellIs" dxfId="5743" priority="369" operator="greaterThan">
      <formula>0</formula>
    </cfRule>
  </conditionalFormatting>
  <conditionalFormatting sqref="J65:J66 J68:J78">
    <cfRule type="cellIs" dxfId="5742" priority="343" operator="greaterThan">
      <formula>0</formula>
    </cfRule>
  </conditionalFormatting>
  <conditionalFormatting sqref="J82:J83 J85:J95">
    <cfRule type="cellIs" dxfId="5741" priority="317" operator="greaterThan">
      <formula>0</formula>
    </cfRule>
  </conditionalFormatting>
  <conditionalFormatting sqref="J99:J100 J102:J112">
    <cfRule type="cellIs" dxfId="5740" priority="291" operator="greaterThan">
      <formula>0</formula>
    </cfRule>
  </conditionalFormatting>
  <conditionalFormatting sqref="J116:J117 J133:J134 J150:J151 J167:J168 J119:J129 J136:J146 J153:J163 J170:J180">
    <cfRule type="cellIs" dxfId="5739" priority="226" operator="greaterThan">
      <formula>0</formula>
    </cfRule>
  </conditionalFormatting>
  <conditionalFormatting sqref="J183:J197">
    <cfRule type="expression" dxfId="5738" priority="221">
      <formula>C183&gt;0</formula>
    </cfRule>
  </conditionalFormatting>
  <conditionalFormatting sqref="J199">
    <cfRule type="expression" dxfId="5737" priority="682">
      <formula>#REF!="EURO"</formula>
    </cfRule>
  </conditionalFormatting>
  <conditionalFormatting sqref="K14:K27">
    <cfRule type="cellIs" dxfId="5736" priority="436" operator="greaterThan">
      <formula>0</formula>
    </cfRule>
  </conditionalFormatting>
  <conditionalFormatting sqref="K31:K32 K34:K44">
    <cfRule type="cellIs" dxfId="5735" priority="398" operator="greaterThan">
      <formula>0</formula>
    </cfRule>
  </conditionalFormatting>
  <conditionalFormatting sqref="K48:K49 K51:K61">
    <cfRule type="cellIs" dxfId="5734" priority="372" operator="greaterThan">
      <formula>0</formula>
    </cfRule>
  </conditionalFormatting>
  <conditionalFormatting sqref="K65:K66 K68:K78">
    <cfRule type="cellIs" dxfId="5733" priority="346" operator="greaterThan">
      <formula>0</formula>
    </cfRule>
  </conditionalFormatting>
  <conditionalFormatting sqref="K82:K83 K85:K95">
    <cfRule type="cellIs" dxfId="5732" priority="320" operator="greaterThan">
      <formula>0</formula>
    </cfRule>
  </conditionalFormatting>
  <conditionalFormatting sqref="K99:K100 K102:K112">
    <cfRule type="cellIs" dxfId="5731" priority="294" operator="greaterThan">
      <formula>0</formula>
    </cfRule>
  </conditionalFormatting>
  <conditionalFormatting sqref="K116:K117 K133:K134 K150:K151 K167:K168 K119:K129 K136:K146 K153:K163 K170:K180">
    <cfRule type="cellIs" dxfId="5730" priority="229" operator="greaterThan">
      <formula>0</formula>
    </cfRule>
  </conditionalFormatting>
  <conditionalFormatting sqref="K183:K197">
    <cfRule type="cellIs" dxfId="5729" priority="222" operator="greaterThan">
      <formula>0</formula>
    </cfRule>
  </conditionalFormatting>
  <conditionalFormatting sqref="K199">
    <cfRule type="expression" dxfId="5728" priority="678">
      <formula>$B$9="PLN"</formula>
    </cfRule>
    <cfRule type="expression" dxfId="5727" priority="679">
      <formula>$B$9="CZK"</formula>
    </cfRule>
    <cfRule type="expression" dxfId="5726" priority="680">
      <formula>$B$9="USD"</formula>
    </cfRule>
    <cfRule type="expression" dxfId="5725" priority="681">
      <formula>$B$9="EURO"</formula>
    </cfRule>
  </conditionalFormatting>
  <conditionalFormatting sqref="L14:L27">
    <cfRule type="expression" dxfId="5724" priority="433">
      <formula>$C$9&lt;0</formula>
    </cfRule>
    <cfRule type="expression" dxfId="5723" priority="434">
      <formula>$C$9&gt;0</formula>
    </cfRule>
  </conditionalFormatting>
  <conditionalFormatting sqref="L31:L44">
    <cfRule type="expression" dxfId="5722" priority="396">
      <formula>$C$9&lt;0</formula>
    </cfRule>
    <cfRule type="expression" dxfId="5721" priority="397">
      <formula>$C$9&gt;0</formula>
    </cfRule>
  </conditionalFormatting>
  <conditionalFormatting sqref="L48:L61">
    <cfRule type="expression" dxfId="5720" priority="370">
      <formula>$C$9&lt;0</formula>
    </cfRule>
    <cfRule type="expression" dxfId="5719" priority="371">
      <formula>$C$9&gt;0</formula>
    </cfRule>
  </conditionalFormatting>
  <conditionalFormatting sqref="L65:L78">
    <cfRule type="expression" dxfId="5718" priority="344">
      <formula>$C$9&lt;0</formula>
    </cfRule>
    <cfRule type="expression" dxfId="5717" priority="345">
      <formula>$C$9&gt;0</formula>
    </cfRule>
  </conditionalFormatting>
  <conditionalFormatting sqref="L82:L95">
    <cfRule type="expression" dxfId="5716" priority="318">
      <formula>$C$9&lt;0</formula>
    </cfRule>
    <cfRule type="expression" dxfId="5715" priority="319">
      <formula>$C$9&gt;0</formula>
    </cfRule>
  </conditionalFormatting>
  <conditionalFormatting sqref="L99:L112">
    <cfRule type="expression" dxfId="5714" priority="292">
      <formula>$C$9&lt;0</formula>
    </cfRule>
    <cfRule type="expression" dxfId="5713" priority="293">
      <formula>$C$9&gt;0</formula>
    </cfRule>
  </conditionalFormatting>
  <conditionalFormatting sqref="L116:L129 L133:L146 L150:L163 L167:L180">
    <cfRule type="expression" dxfId="5712" priority="227">
      <formula>$C$9&lt;0</formula>
    </cfRule>
    <cfRule type="expression" dxfId="5711" priority="228">
      <formula>$C$9&gt;0</formula>
    </cfRule>
  </conditionalFormatting>
  <conditionalFormatting sqref="L183:L197">
    <cfRule type="expression" dxfId="5710" priority="668">
      <formula>$C$9&lt;0</formula>
    </cfRule>
    <cfRule type="expression" dxfId="5709" priority="669">
      <formula>$C$9&gt;0</formula>
    </cfRule>
  </conditionalFormatting>
  <conditionalFormatting sqref="N9 N12">
    <cfRule type="expression" dxfId="5708" priority="712">
      <formula>$B$9="PLN"</formula>
    </cfRule>
    <cfRule type="expression" dxfId="5707" priority="713">
      <formula>$B$9="CZK"</formula>
    </cfRule>
    <cfRule type="expression" dxfId="5706" priority="714">
      <formula>$B$9="USD"</formula>
    </cfRule>
    <cfRule type="expression" dxfId="5705" priority="715">
      <formula>$B$9="EURO"</formula>
    </cfRule>
  </conditionalFormatting>
  <conditionalFormatting sqref="N14:N27">
    <cfRule type="cellIs" dxfId="5704" priority="652" operator="greaterThan">
      <formula>0</formula>
    </cfRule>
    <cfRule type="expression" dxfId="5703" priority="653">
      <formula>$B$9="EURO"</formula>
    </cfRule>
    <cfRule type="expression" dxfId="5702" priority="654">
      <formula>$B$9="USD"</formula>
    </cfRule>
    <cfRule type="expression" dxfId="5701" priority="655">
      <formula>$B$9="PLN"</formula>
    </cfRule>
    <cfRule type="expression" dxfId="5700" priority="656">
      <formula>$B$9="CZK"</formula>
    </cfRule>
  </conditionalFormatting>
  <conditionalFormatting sqref="N29">
    <cfRule type="expression" dxfId="5699" priority="633">
      <formula>$B$9="PLN"</formula>
    </cfRule>
    <cfRule type="expression" dxfId="5698" priority="634">
      <formula>$B$9="CZK"</formula>
    </cfRule>
    <cfRule type="expression" dxfId="5697" priority="635">
      <formula>$B$9="USD"</formula>
    </cfRule>
    <cfRule type="expression" dxfId="5696" priority="636">
      <formula>$B$9="EURO"</formula>
    </cfRule>
  </conditionalFormatting>
  <conditionalFormatting sqref="N31:N44">
    <cfRule type="cellIs" dxfId="5695" priority="401" operator="greaterThan">
      <formula>0</formula>
    </cfRule>
    <cfRule type="expression" dxfId="5694" priority="402">
      <formula>$B$9="EURO"</formula>
    </cfRule>
    <cfRule type="expression" dxfId="5693" priority="403">
      <formula>$B$9="USD"</formula>
    </cfRule>
    <cfRule type="expression" dxfId="5692" priority="404">
      <formula>$B$9="PLN"</formula>
    </cfRule>
    <cfRule type="expression" dxfId="5691" priority="405">
      <formula>$B$9="CZK"</formula>
    </cfRule>
  </conditionalFormatting>
  <conditionalFormatting sqref="N46">
    <cfRule type="expression" dxfId="5690" priority="601">
      <formula>$B$9="PLN"</formula>
    </cfRule>
    <cfRule type="expression" dxfId="5689" priority="602">
      <formula>$B$9="CZK"</formula>
    </cfRule>
    <cfRule type="expression" dxfId="5688" priority="603">
      <formula>$B$9="USD"</formula>
    </cfRule>
    <cfRule type="expression" dxfId="5687" priority="604">
      <formula>$B$9="EURO"</formula>
    </cfRule>
  </conditionalFormatting>
  <conditionalFormatting sqref="N48:N61">
    <cfRule type="cellIs" dxfId="5686" priority="375" operator="greaterThan">
      <formula>0</formula>
    </cfRule>
    <cfRule type="expression" dxfId="5685" priority="376">
      <formula>$B$9="EURO"</formula>
    </cfRule>
    <cfRule type="expression" dxfId="5684" priority="377">
      <formula>$B$9="USD"</formula>
    </cfRule>
    <cfRule type="expression" dxfId="5683" priority="378">
      <formula>$B$9="PLN"</formula>
    </cfRule>
    <cfRule type="expression" dxfId="5682" priority="379">
      <formula>$B$9="CZK"</formula>
    </cfRule>
  </conditionalFormatting>
  <conditionalFormatting sqref="N63">
    <cfRule type="expression" dxfId="5681" priority="571">
      <formula>$B$9="PLN"</formula>
    </cfRule>
    <cfRule type="expression" dxfId="5680" priority="572">
      <formula>$B$9="CZK"</formula>
    </cfRule>
    <cfRule type="expression" dxfId="5679" priority="573">
      <formula>$B$9="USD"</formula>
    </cfRule>
    <cfRule type="expression" dxfId="5678" priority="574">
      <formula>$B$9="EURO"</formula>
    </cfRule>
  </conditionalFormatting>
  <conditionalFormatting sqref="N65:N78">
    <cfRule type="cellIs" dxfId="5677" priority="349" operator="greaterThan">
      <formula>0</formula>
    </cfRule>
    <cfRule type="expression" dxfId="5676" priority="350">
      <formula>$B$9="EURO"</formula>
    </cfRule>
    <cfRule type="expression" dxfId="5675" priority="351">
      <formula>$B$9="USD"</formula>
    </cfRule>
    <cfRule type="expression" dxfId="5674" priority="352">
      <formula>$B$9="PLN"</formula>
    </cfRule>
    <cfRule type="expression" dxfId="5673" priority="353">
      <formula>$B$9="CZK"</formula>
    </cfRule>
  </conditionalFormatting>
  <conditionalFormatting sqref="N80">
    <cfRule type="expression" dxfId="5672" priority="540">
      <formula>$B$9="PLN"</formula>
    </cfRule>
    <cfRule type="expression" dxfId="5671" priority="541">
      <formula>$B$9="CZK"</formula>
    </cfRule>
    <cfRule type="expression" dxfId="5670" priority="542">
      <formula>$B$9="USD"</formula>
    </cfRule>
    <cfRule type="expression" dxfId="5669" priority="543">
      <formula>$B$9="EURO"</formula>
    </cfRule>
  </conditionalFormatting>
  <conditionalFormatting sqref="N82:N95">
    <cfRule type="cellIs" dxfId="5668" priority="323" operator="greaterThan">
      <formula>0</formula>
    </cfRule>
    <cfRule type="expression" dxfId="5667" priority="324">
      <formula>$B$9="EURO"</formula>
    </cfRule>
    <cfRule type="expression" dxfId="5666" priority="325">
      <formula>$B$9="USD"</formula>
    </cfRule>
    <cfRule type="expression" dxfId="5665" priority="326">
      <formula>$B$9="PLN"</formula>
    </cfRule>
    <cfRule type="expression" dxfId="5664" priority="327">
      <formula>$B$9="CZK"</formula>
    </cfRule>
  </conditionalFormatting>
  <conditionalFormatting sqref="N97">
    <cfRule type="expression" dxfId="5663" priority="508">
      <formula>$B$9="PLN"</formula>
    </cfRule>
    <cfRule type="expression" dxfId="5662" priority="509">
      <formula>$B$9="CZK"</formula>
    </cfRule>
    <cfRule type="expression" dxfId="5661" priority="510">
      <formula>$B$9="USD"</formula>
    </cfRule>
    <cfRule type="expression" dxfId="5660" priority="511">
      <formula>$B$9="EURO"</formula>
    </cfRule>
  </conditionalFormatting>
  <conditionalFormatting sqref="N99:N112">
    <cfRule type="cellIs" dxfId="5659" priority="297" operator="greaterThan">
      <formula>0</formula>
    </cfRule>
    <cfRule type="expression" dxfId="5658" priority="298">
      <formula>$B$9="EURO"</formula>
    </cfRule>
    <cfRule type="expression" dxfId="5657" priority="299">
      <formula>$B$9="USD"</formula>
    </cfRule>
    <cfRule type="expression" dxfId="5656" priority="300">
      <formula>$B$9="PLN"</formula>
    </cfRule>
    <cfRule type="expression" dxfId="5655" priority="301">
      <formula>$B$9="CZK"</formula>
    </cfRule>
  </conditionalFormatting>
  <conditionalFormatting sqref="N114">
    <cfRule type="expression" dxfId="5654" priority="284">
      <formula>$B$9="PLN"</formula>
    </cfRule>
    <cfRule type="expression" dxfId="5653" priority="285">
      <formula>$B$9="CZK"</formula>
    </cfRule>
    <cfRule type="expression" dxfId="5652" priority="286">
      <formula>$B$9="USD"</formula>
    </cfRule>
    <cfRule type="expression" dxfId="5651" priority="287">
      <formula>$B$9="EURO"</formula>
    </cfRule>
  </conditionalFormatting>
  <conditionalFormatting sqref="N116:N129 N133:N146 N150:N163 N167:N180">
    <cfRule type="cellIs" dxfId="5650" priority="232" operator="greaterThan">
      <formula>0</formula>
    </cfRule>
    <cfRule type="expression" dxfId="5649" priority="233">
      <formula>$B$9="EURO"</formula>
    </cfRule>
    <cfRule type="expression" dxfId="5648" priority="234">
      <formula>$B$9="USD"</formula>
    </cfRule>
    <cfRule type="expression" dxfId="5647" priority="235">
      <formula>$B$9="PLN"</formula>
    </cfRule>
    <cfRule type="expression" dxfId="5646" priority="236">
      <formula>$B$9="CZK"</formula>
    </cfRule>
  </conditionalFormatting>
  <conditionalFormatting sqref="N131">
    <cfRule type="expression" dxfId="5645" priority="215">
      <formula>$B$9="PLN"</formula>
    </cfRule>
    <cfRule type="expression" dxfId="5644" priority="216">
      <formula>$B$9="CZK"</formula>
    </cfRule>
    <cfRule type="expression" dxfId="5643" priority="217">
      <formula>$B$9="USD"</formula>
    </cfRule>
    <cfRule type="expression" dxfId="5642" priority="218">
      <formula>$B$9="EURO"</formula>
    </cfRule>
  </conditionalFormatting>
  <conditionalFormatting sqref="N148">
    <cfRule type="expression" dxfId="5641" priority="160">
      <formula>$B$9="PLN"</formula>
    </cfRule>
    <cfRule type="expression" dxfId="5640" priority="161">
      <formula>$B$9="CZK"</formula>
    </cfRule>
    <cfRule type="expression" dxfId="5639" priority="162">
      <formula>$B$9="USD"</formula>
    </cfRule>
    <cfRule type="expression" dxfId="5638" priority="163">
      <formula>$B$9="EURO"</formula>
    </cfRule>
  </conditionalFormatting>
  <conditionalFormatting sqref="N165">
    <cfRule type="expression" dxfId="5637" priority="105">
      <formula>$B$9="PLN"</formula>
    </cfRule>
    <cfRule type="expression" dxfId="5636" priority="106">
      <formula>$B$9="CZK"</formula>
    </cfRule>
    <cfRule type="expression" dxfId="5635" priority="107">
      <formula>$B$9="USD"</formula>
    </cfRule>
    <cfRule type="expression" dxfId="5634" priority="108">
      <formula>$B$9="EURO"</formula>
    </cfRule>
  </conditionalFormatting>
  <conditionalFormatting sqref="N183:N197">
    <cfRule type="cellIs" dxfId="5633" priority="660" operator="greaterThan">
      <formula>0</formula>
    </cfRule>
    <cfRule type="expression" dxfId="5632" priority="661">
      <formula>$B$9="EURO"</formula>
    </cfRule>
    <cfRule type="expression" dxfId="5631" priority="662">
      <formula>$B$9="USD"</formula>
    </cfRule>
    <cfRule type="expression" dxfId="5630" priority="663">
      <formula>$B$9="PLN"</formula>
    </cfRule>
    <cfRule type="expression" dxfId="5629" priority="664">
      <formula>$B$9="CZK"</formula>
    </cfRule>
  </conditionalFormatting>
  <conditionalFormatting sqref="N182:O182">
    <cfRule type="expression" dxfId="5628" priority="670">
      <formula>$B$9="PLN"</formula>
    </cfRule>
    <cfRule type="expression" dxfId="5627" priority="671">
      <formula>$B$9="CZK"</formula>
    </cfRule>
    <cfRule type="expression" dxfId="5626" priority="672">
      <formula>$B$9="USD"</formula>
    </cfRule>
    <cfRule type="expression" dxfId="5625" priority="673">
      <formula>$B$9="EURO"</formula>
    </cfRule>
  </conditionalFormatting>
  <conditionalFormatting sqref="O14:O27">
    <cfRule type="cellIs" dxfId="5624" priority="657" operator="greaterThan">
      <formula>0</formula>
    </cfRule>
  </conditionalFormatting>
  <conditionalFormatting sqref="O31:O44">
    <cfRule type="cellIs" dxfId="5623" priority="406" operator="greaterThan">
      <formula>0</formula>
    </cfRule>
  </conditionalFormatting>
  <conditionalFormatting sqref="O48:O61">
    <cfRule type="cellIs" dxfId="5622" priority="380" operator="greaterThan">
      <formula>0</formula>
    </cfRule>
  </conditionalFormatting>
  <conditionalFormatting sqref="O65:O78">
    <cfRule type="cellIs" dxfId="5621" priority="354" operator="greaterThan">
      <formula>0</formula>
    </cfRule>
  </conditionalFormatting>
  <conditionalFormatting sqref="O82:O95">
    <cfRule type="cellIs" dxfId="5620" priority="328" operator="greaterThan">
      <formula>0</formula>
    </cfRule>
  </conditionalFormatting>
  <conditionalFormatting sqref="O99:O112">
    <cfRule type="cellIs" dxfId="5619" priority="302" operator="greaterThan">
      <formula>0</formula>
    </cfRule>
  </conditionalFormatting>
  <conditionalFormatting sqref="O116:O129 O133:O146 O150:O163 O167:O180">
    <cfRule type="cellIs" dxfId="5618" priority="237" operator="greaterThan">
      <formula>0</formula>
    </cfRule>
  </conditionalFormatting>
  <conditionalFormatting sqref="O183:O197">
    <cfRule type="cellIs" dxfId="5617" priority="683" operator="greaterThan">
      <formula>0</formula>
    </cfRule>
  </conditionalFormatting>
  <conditionalFormatting sqref="Q16">
    <cfRule type="cellIs" dxfId="5616" priority="423" operator="greaterThan">
      <formula>0</formula>
    </cfRule>
    <cfRule type="expression" dxfId="5615" priority="424">
      <formula>$B$9="EURO"</formula>
    </cfRule>
    <cfRule type="expression" dxfId="5614" priority="425">
      <formula>$B$9="USD"</formula>
    </cfRule>
    <cfRule type="expression" dxfId="5613" priority="426">
      <formula>$B$9="PLN"</formula>
    </cfRule>
    <cfRule type="expression" dxfId="5612" priority="427">
      <formula>$B$9="CZK"</formula>
    </cfRule>
  </conditionalFormatting>
  <conditionalFormatting sqref="B33">
    <cfRule type="expression" dxfId="5611" priority="52">
      <formula>$J33&gt;0</formula>
    </cfRule>
  </conditionalFormatting>
  <conditionalFormatting sqref="D33">
    <cfRule type="expression" dxfId="5609" priority="53">
      <formula>($C33="SELECT WORKS")</formula>
    </cfRule>
  </conditionalFormatting>
  <conditionalFormatting sqref="E33">
    <cfRule type="expression" dxfId="5608" priority="49">
      <formula>$C33="SELECT WORKS"</formula>
    </cfRule>
  </conditionalFormatting>
  <conditionalFormatting sqref="J33">
    <cfRule type="cellIs" dxfId="5607" priority="50" operator="greaterThan">
      <formula>0</formula>
    </cfRule>
  </conditionalFormatting>
  <conditionalFormatting sqref="K33">
    <cfRule type="cellIs" dxfId="5606" priority="51" operator="greaterThan">
      <formula>0</formula>
    </cfRule>
  </conditionalFormatting>
  <conditionalFormatting sqref="B50">
    <cfRule type="expression" dxfId="5605" priority="46">
      <formula>$J50&gt;0</formula>
    </cfRule>
  </conditionalFormatting>
  <conditionalFormatting sqref="D50">
    <cfRule type="expression" dxfId="5603" priority="47">
      <formula>($C50="SELECT WORKS")</formula>
    </cfRule>
  </conditionalFormatting>
  <conditionalFormatting sqref="E50">
    <cfRule type="expression" dxfId="5602" priority="43">
      <formula>$C50="SELECT WORKS"</formula>
    </cfRule>
  </conditionalFormatting>
  <conditionalFormatting sqref="J50">
    <cfRule type="cellIs" dxfId="5601" priority="44" operator="greaterThan">
      <formula>0</formula>
    </cfRule>
  </conditionalFormatting>
  <conditionalFormatting sqref="K50">
    <cfRule type="cellIs" dxfId="5600" priority="45" operator="greaterThan">
      <formula>0</formula>
    </cfRule>
  </conditionalFormatting>
  <conditionalFormatting sqref="B67">
    <cfRule type="expression" dxfId="5599" priority="40">
      <formula>$J67&gt;0</formula>
    </cfRule>
  </conditionalFormatting>
  <conditionalFormatting sqref="D67">
    <cfRule type="expression" dxfId="5597" priority="41">
      <formula>($C67="SELECT WORKS")</formula>
    </cfRule>
  </conditionalFormatting>
  <conditionalFormatting sqref="E67">
    <cfRule type="expression" dxfId="5596" priority="37">
      <formula>$C67="SELECT WORKS"</formula>
    </cfRule>
  </conditionalFormatting>
  <conditionalFormatting sqref="J67">
    <cfRule type="cellIs" dxfId="5595" priority="38" operator="greaterThan">
      <formula>0</formula>
    </cfRule>
  </conditionalFormatting>
  <conditionalFormatting sqref="K67">
    <cfRule type="cellIs" dxfId="5594" priority="39" operator="greaterThan">
      <formula>0</formula>
    </cfRule>
  </conditionalFormatting>
  <conditionalFormatting sqref="B84">
    <cfRule type="expression" dxfId="5593" priority="34">
      <formula>$J84&gt;0</formula>
    </cfRule>
  </conditionalFormatting>
  <conditionalFormatting sqref="D84">
    <cfRule type="expression" dxfId="5591" priority="35">
      <formula>($C84="SELECT WORKS")</formula>
    </cfRule>
  </conditionalFormatting>
  <conditionalFormatting sqref="E84">
    <cfRule type="expression" dxfId="5590" priority="31">
      <formula>$C84="SELECT WORKS"</formula>
    </cfRule>
  </conditionalFormatting>
  <conditionalFormatting sqref="J84">
    <cfRule type="cellIs" dxfId="5589" priority="32" operator="greaterThan">
      <formula>0</formula>
    </cfRule>
  </conditionalFormatting>
  <conditionalFormatting sqref="K84">
    <cfRule type="cellIs" dxfId="5588" priority="33" operator="greaterThan">
      <formula>0</formula>
    </cfRule>
  </conditionalFormatting>
  <conditionalFormatting sqref="B101">
    <cfRule type="expression" dxfId="5587" priority="28">
      <formula>$J101&gt;0</formula>
    </cfRule>
  </conditionalFormatting>
  <conditionalFormatting sqref="D101">
    <cfRule type="expression" dxfId="5585" priority="29">
      <formula>($C101="SELECT WORKS")</formula>
    </cfRule>
  </conditionalFormatting>
  <conditionalFormatting sqref="E101">
    <cfRule type="expression" dxfId="5584" priority="25">
      <formula>$C101="SELECT WORKS"</formula>
    </cfRule>
  </conditionalFormatting>
  <conditionalFormatting sqref="J101">
    <cfRule type="cellIs" dxfId="5583" priority="26" operator="greaterThan">
      <formula>0</formula>
    </cfRule>
  </conditionalFormatting>
  <conditionalFormatting sqref="K101">
    <cfRule type="cellIs" dxfId="5582" priority="27" operator="greaterThan">
      <formula>0</formula>
    </cfRule>
  </conditionalFormatting>
  <conditionalFormatting sqref="B118">
    <cfRule type="expression" dxfId="5581" priority="22">
      <formula>$J118&gt;0</formula>
    </cfRule>
  </conditionalFormatting>
  <conditionalFormatting sqref="D118">
    <cfRule type="expression" dxfId="5579" priority="23">
      <formula>($C118="SELECT WORKS")</formula>
    </cfRule>
  </conditionalFormatting>
  <conditionalFormatting sqref="E118">
    <cfRule type="expression" dxfId="5578" priority="19">
      <formula>$C118="SELECT WORKS"</formula>
    </cfRule>
  </conditionalFormatting>
  <conditionalFormatting sqref="J118">
    <cfRule type="cellIs" dxfId="5577" priority="20" operator="greaterThan">
      <formula>0</formula>
    </cfRule>
  </conditionalFormatting>
  <conditionalFormatting sqref="K118">
    <cfRule type="cellIs" dxfId="5576" priority="21" operator="greaterThan">
      <formula>0</formula>
    </cfRule>
  </conditionalFormatting>
  <conditionalFormatting sqref="B135">
    <cfRule type="expression" dxfId="5575" priority="16">
      <formula>$J135&gt;0</formula>
    </cfRule>
  </conditionalFormatting>
  <conditionalFormatting sqref="D135">
    <cfRule type="expression" dxfId="5573" priority="17">
      <formula>($C135="SELECT WORKS")</formula>
    </cfRule>
  </conditionalFormatting>
  <conditionalFormatting sqref="E135">
    <cfRule type="expression" dxfId="5572" priority="13">
      <formula>$C135="SELECT WORKS"</formula>
    </cfRule>
  </conditionalFormatting>
  <conditionalFormatting sqref="J135">
    <cfRule type="cellIs" dxfId="5571" priority="14" operator="greaterThan">
      <formula>0</formula>
    </cfRule>
  </conditionalFormatting>
  <conditionalFormatting sqref="K135">
    <cfRule type="cellIs" dxfId="5570" priority="15" operator="greaterThan">
      <formula>0</formula>
    </cfRule>
  </conditionalFormatting>
  <conditionalFormatting sqref="B152">
    <cfRule type="expression" dxfId="5569" priority="10">
      <formula>$J152&gt;0</formula>
    </cfRule>
  </conditionalFormatting>
  <conditionalFormatting sqref="D152">
    <cfRule type="expression" dxfId="5567" priority="11">
      <formula>($C152="SELECT WORKS")</formula>
    </cfRule>
  </conditionalFormatting>
  <conditionalFormatting sqref="E152">
    <cfRule type="expression" dxfId="5566" priority="7">
      <formula>$C152="SELECT WORKS"</formula>
    </cfRule>
  </conditionalFormatting>
  <conditionalFormatting sqref="J152">
    <cfRule type="cellIs" dxfId="5565" priority="8" operator="greaterThan">
      <formula>0</formula>
    </cfRule>
  </conditionalFormatting>
  <conditionalFormatting sqref="K152">
    <cfRule type="cellIs" dxfId="5564" priority="9" operator="greaterThan">
      <formula>0</formula>
    </cfRule>
  </conditionalFormatting>
  <conditionalFormatting sqref="B169">
    <cfRule type="expression" dxfId="5563" priority="4">
      <formula>$J169&gt;0</formula>
    </cfRule>
  </conditionalFormatting>
  <conditionalFormatting sqref="D169">
    <cfRule type="expression" dxfId="5561" priority="5">
      <formula>($C169="SELECT WORKS")</formula>
    </cfRule>
  </conditionalFormatting>
  <conditionalFormatting sqref="E169">
    <cfRule type="expression" dxfId="5560" priority="1">
      <formula>$C169="SELECT WORKS"</formula>
    </cfRule>
  </conditionalFormatting>
  <conditionalFormatting sqref="J169">
    <cfRule type="cellIs" dxfId="5559" priority="2" operator="greaterThan">
      <formula>0</formula>
    </cfRule>
  </conditionalFormatting>
  <conditionalFormatting sqref="K169">
    <cfRule type="cellIs" dxfId="5558" priority="3" operator="greaterThan">
      <formula>0</formula>
    </cfRule>
  </conditionalFormatting>
  <dataValidations count="7">
    <dataValidation type="list" allowBlank="1" showInputMessage="1" showErrorMessage="1" sqref="D26 D94 D77 D60 D43 D111 D128 D145 D162 D179" xr:uid="{2501FEC6-F2B9-8445-AC0A-65B8C7615E8E}">
      <formula1>"0,1,2,3,4,5,6,7,8,9,10"</formula1>
    </dataValidation>
    <dataValidation type="list" allowBlank="1" showInputMessage="1" showErrorMessage="1" sqref="G181" xr:uid="{971D592F-6832-7A42-A88C-202927D70553}">
      <formula1>#REF!</formula1>
    </dataValidation>
    <dataValidation type="list" allowBlank="1" showInputMessage="1" showErrorMessage="1" sqref="C99 C31 C82 C65 C48 C14 C116 C133 C150 C167" xr:uid="{436EA7BF-F45D-894B-9418-C43DD03AF63B}">
      <formula1>"WALL, ISLAND"</formula1>
    </dataValidation>
    <dataValidation operator="greaterThan" allowBlank="1" showInputMessage="1" showErrorMessage="1" sqref="E14 E65 E48 E31 E82 E99 E116 E133 E150 E167" xr:uid="{1A95769E-8459-DF4F-AAC4-61CA95195A45}"/>
    <dataValidation type="list" allowBlank="1" showInputMessage="1" showErrorMessage="1" sqref="C71:C72 C37:C38 C88:C89 C20:C21 C122:C123 C105:C106 C54:C55 C156:C157 C173:C174 C139:C140" xr:uid="{8C1D596C-7F89-9F45-802C-0AD5AAF950F4}">
      <formula1>"0,1,2,3,4,5,6,7,8,9,10,11,12,13,14,15,16,17,18,19,20"</formula1>
    </dataValidation>
    <dataValidation type="list" allowBlank="1" showInputMessage="1" showErrorMessage="1" errorTitle="Minimum number of sections " error="Must be greater than zero" sqref="H14 H65 H48 H31 H82 H99 H116 H133 H150 H167" xr:uid="{43D57E0C-40B1-4941-BE21-5E3605DDD3FD}">
      <formula1>"1,2,3,4,5,6,7,8,9,10"</formula1>
    </dataValidation>
    <dataValidation type="list" allowBlank="1" showInputMessage="1" showErrorMessage="1" sqref="C27 C78 C95 C44 C61 C112 C129 C146 C163 C180" xr:uid="{3B94C2A8-25F9-EA48-B3C1-CC8E822B44CD}">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58" operator="containsText" id="{B7AADF29-5A32-C947-A9B7-1C4A80EE604B}">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76" operator="containsText" id="{56B4D053-6EF3-194E-AE81-D9CE2C6F645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13" operator="containsText" id="{E8501C55-7217-D544-A9EB-E9C83AF87CEF}">
            <xm:f>NOT(ISERROR(SEARCH("SELECT WORKS",C34)))</xm:f>
            <xm:f>"SELECT WORKS"</xm:f>
            <x14:dxf>
              <font>
                <b/>
                <i val="0"/>
                <color rgb="FFC00000"/>
              </font>
              <fill>
                <patternFill>
                  <bgColor theme="0"/>
                </patternFill>
              </fill>
            </x14:dxf>
          </x14:cfRule>
          <xm:sqref>C34:C35</xm:sqref>
        </x14:conditionalFormatting>
        <x14:conditionalFormatting xmlns:xm="http://schemas.microsoft.com/office/excel/2006/main">
          <x14:cfRule type="containsText" priority="616" operator="containsText" id="{B1F74C5E-A4F4-0648-BDF2-C13313DDEC95}">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82" operator="containsText" id="{FDDF5C91-EE31-6646-89F9-2FB9FC2C1162}">
            <xm:f>NOT(ISERROR(SEARCH("SELECT WORKS",C51)))</xm:f>
            <xm:f>"SELECT WORKS"</xm:f>
            <x14:dxf>
              <font>
                <b/>
                <i val="0"/>
                <color rgb="FFC00000"/>
              </font>
              <fill>
                <patternFill>
                  <bgColor theme="0"/>
                </patternFill>
              </fill>
            </x14:dxf>
          </x14:cfRule>
          <xm:sqref>C51:C52</xm:sqref>
        </x14:conditionalFormatting>
        <x14:conditionalFormatting xmlns:xm="http://schemas.microsoft.com/office/excel/2006/main">
          <x14:cfRule type="containsText" priority="585" operator="containsText" id="{A6488C90-DC17-EA4A-91D1-849C7A03D99A}">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51" operator="containsText" id="{AD1E34BE-7172-CA41-88AD-B2011F203003}">
            <xm:f>NOT(ISERROR(SEARCH("SELECT WORKS",C68)))</xm:f>
            <xm:f>"SELECT WORKS"</xm:f>
            <x14:dxf>
              <font>
                <b/>
                <i val="0"/>
                <color rgb="FFC00000"/>
              </font>
              <fill>
                <patternFill>
                  <bgColor theme="0"/>
                </patternFill>
              </fill>
            </x14:dxf>
          </x14:cfRule>
          <xm:sqref>C68:C69</xm:sqref>
        </x14:conditionalFormatting>
        <x14:conditionalFormatting xmlns:xm="http://schemas.microsoft.com/office/excel/2006/main">
          <x14:cfRule type="containsText" priority="555" operator="containsText" id="{09F732D8-6286-DD42-938D-699489212A7E}">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19" operator="containsText" id="{6B66DC90-E08B-7441-B19F-32BFFF75D115}">
            <xm:f>NOT(ISERROR(SEARCH("SELECT WORKS",C85)))</xm:f>
            <xm:f>"SELECT WORKS"</xm:f>
            <x14:dxf>
              <font>
                <b/>
                <i val="0"/>
                <color rgb="FFC00000"/>
              </font>
              <fill>
                <patternFill>
                  <bgColor theme="0"/>
                </patternFill>
              </fill>
            </x14:dxf>
          </x14:cfRule>
          <xm:sqref>C85:C86</xm:sqref>
        </x14:conditionalFormatting>
        <x14:conditionalFormatting xmlns:xm="http://schemas.microsoft.com/office/excel/2006/main">
          <x14:cfRule type="containsText" priority="523" operator="containsText" id="{AFCD14E0-9846-C646-B87A-CE121E802F2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88" operator="containsText" id="{3F4EC35D-0097-1C4F-9913-8E993DA6886D}">
            <xm:f>NOT(ISERROR(SEARCH("SELECT WORKS",C102)))</xm:f>
            <xm:f>"SELECT WORKS"</xm:f>
            <x14:dxf>
              <font>
                <b/>
                <i val="0"/>
                <color rgb="FFC00000"/>
              </font>
              <fill>
                <patternFill>
                  <bgColor theme="0"/>
                </patternFill>
              </fill>
            </x14:dxf>
          </x14:cfRule>
          <xm:sqref>C102:C103</xm:sqref>
        </x14:conditionalFormatting>
        <x14:conditionalFormatting xmlns:xm="http://schemas.microsoft.com/office/excel/2006/main">
          <x14:cfRule type="containsText" priority="491" operator="containsText" id="{0FAC3418-2748-A549-9A92-10ECADAFD972}">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264" operator="containsText" id="{7A14D020-DEA2-E741-A8AD-43F59F250421}">
            <xm:f>NOT(ISERROR(SEARCH("SELECT WORKS",C119)))</xm:f>
            <xm:f>"SELECT WORKS"</xm:f>
            <x14:dxf>
              <font>
                <b/>
                <i val="0"/>
                <color rgb="FFC00000"/>
              </font>
              <fill>
                <patternFill>
                  <bgColor theme="0"/>
                </patternFill>
              </fill>
            </x14:dxf>
          </x14:cfRule>
          <xm:sqref>C119:C120</xm:sqref>
        </x14:conditionalFormatting>
        <x14:conditionalFormatting xmlns:xm="http://schemas.microsoft.com/office/excel/2006/main">
          <x14:cfRule type="containsText" priority="267" operator="containsText" id="{8DDF1B91-F779-BE41-98AC-A51FCB580F66}">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95" operator="containsText" id="{A4ED5289-199B-754F-ACA1-5602B9E7DB2A}">
            <xm:f>NOT(ISERROR(SEARCH("SELECT WORKS",C136)))</xm:f>
            <xm:f>"SELECT WORKS"</xm:f>
            <x14:dxf>
              <font>
                <b/>
                <i val="0"/>
                <color rgb="FFC00000"/>
              </font>
              <fill>
                <patternFill>
                  <bgColor theme="0"/>
                </patternFill>
              </fill>
            </x14:dxf>
          </x14:cfRule>
          <xm:sqref>C136:C137</xm:sqref>
        </x14:conditionalFormatting>
        <x14:conditionalFormatting xmlns:xm="http://schemas.microsoft.com/office/excel/2006/main">
          <x14:cfRule type="containsText" priority="198" operator="containsText" id="{88B4749C-CD86-4B4F-8E55-084674C765E7}">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40" operator="containsText" id="{774F53AA-526F-CF4F-BB38-265E8924A966}">
            <xm:f>NOT(ISERROR(SEARCH("SELECT WORKS",C153)))</xm:f>
            <xm:f>"SELECT WORKS"</xm:f>
            <x14:dxf>
              <font>
                <b/>
                <i val="0"/>
                <color rgb="FFC00000"/>
              </font>
              <fill>
                <patternFill>
                  <bgColor theme="0"/>
                </patternFill>
              </fill>
            </x14:dxf>
          </x14:cfRule>
          <xm:sqref>C153:C154</xm:sqref>
        </x14:conditionalFormatting>
        <x14:conditionalFormatting xmlns:xm="http://schemas.microsoft.com/office/excel/2006/main">
          <x14:cfRule type="containsText" priority="143" operator="containsText" id="{5A31BE2D-E9AF-A14D-B904-410DB8EE31C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85" operator="containsText" id="{8D998EB3-2F3B-5C40-BEE5-ACC4112DA6BE}">
            <xm:f>NOT(ISERROR(SEARCH("SELECT WORKS",C170)))</xm:f>
            <xm:f>"SELECT WORKS"</xm:f>
            <x14:dxf>
              <font>
                <b/>
                <i val="0"/>
                <color rgb="FFC00000"/>
              </font>
              <fill>
                <patternFill>
                  <bgColor theme="0"/>
                </patternFill>
              </fill>
            </x14:dxf>
          </x14:cfRule>
          <xm:sqref>C170:C171</xm:sqref>
        </x14:conditionalFormatting>
        <x14:conditionalFormatting xmlns:xm="http://schemas.microsoft.com/office/excel/2006/main">
          <x14:cfRule type="containsText" priority="88" operator="containsText" id="{FF8EB98D-C231-A14B-9019-A84CC901A183}">
            <xm:f>NOT(ISERROR(SEARCH("SELECT CLADDING",C172)))</xm:f>
            <xm:f>"SELECT CLADDING"</xm:f>
            <x14:dxf>
              <font>
                <b/>
                <i val="0"/>
                <color rgb="FFC00000"/>
              </font>
              <fill>
                <patternFill>
                  <bgColor theme="0"/>
                </patternFill>
              </fill>
            </x14:dxf>
          </x14:cfRule>
          <xm:sqref>C172</xm:sqref>
        </x14:conditionalFormatting>
        <x14:conditionalFormatting xmlns:xm="http://schemas.microsoft.com/office/excel/2006/main">
          <x14:cfRule type="containsText" priority="54" operator="containsText" id="{53F5553C-98B3-2544-99CA-8BCF3F6453B6}">
            <xm:f>NOT(ISERROR(SEARCH("SELECT WORKS",C33)))</xm:f>
            <xm:f>"SELECT WORKS"</xm:f>
            <x14:dxf>
              <font>
                <b/>
                <i val="0"/>
                <color rgb="FFC00000"/>
              </font>
              <fill>
                <patternFill>
                  <bgColor theme="0"/>
                </patternFill>
              </fill>
            </x14:dxf>
          </x14:cfRule>
          <xm:sqref>C33</xm:sqref>
        </x14:conditionalFormatting>
        <x14:conditionalFormatting xmlns:xm="http://schemas.microsoft.com/office/excel/2006/main">
          <x14:cfRule type="containsText" priority="48" operator="containsText" id="{FA67F873-9DC1-FD47-B0FD-F9158E2FE3B2}">
            <xm:f>NOT(ISERROR(SEARCH("SELECT WORKS",C50)))</xm:f>
            <xm:f>"SELECT WORKS"</xm:f>
            <x14:dxf>
              <font>
                <b/>
                <i val="0"/>
                <color rgb="FFC00000"/>
              </font>
              <fill>
                <patternFill>
                  <bgColor theme="0"/>
                </patternFill>
              </fill>
            </x14:dxf>
          </x14:cfRule>
          <xm:sqref>C50</xm:sqref>
        </x14:conditionalFormatting>
        <x14:conditionalFormatting xmlns:xm="http://schemas.microsoft.com/office/excel/2006/main">
          <x14:cfRule type="containsText" priority="42" operator="containsText" id="{DE95166E-5E75-2E4C-B7F4-C9928C369C54}">
            <xm:f>NOT(ISERROR(SEARCH("SELECT WORKS",C67)))</xm:f>
            <xm:f>"SELECT WORKS"</xm:f>
            <x14:dxf>
              <font>
                <b/>
                <i val="0"/>
                <color rgb="FFC00000"/>
              </font>
              <fill>
                <patternFill>
                  <bgColor theme="0"/>
                </patternFill>
              </fill>
            </x14:dxf>
          </x14:cfRule>
          <xm:sqref>C67</xm:sqref>
        </x14:conditionalFormatting>
        <x14:conditionalFormatting xmlns:xm="http://schemas.microsoft.com/office/excel/2006/main">
          <x14:cfRule type="containsText" priority="36" operator="containsText" id="{2773A824-030D-3B47-B2BA-0765C8460002}">
            <xm:f>NOT(ISERROR(SEARCH("SELECT WORKS",C84)))</xm:f>
            <xm:f>"SELECT WORKS"</xm:f>
            <x14:dxf>
              <font>
                <b/>
                <i val="0"/>
                <color rgb="FFC00000"/>
              </font>
              <fill>
                <patternFill>
                  <bgColor theme="0"/>
                </patternFill>
              </fill>
            </x14:dxf>
          </x14:cfRule>
          <xm:sqref>C84</xm:sqref>
        </x14:conditionalFormatting>
        <x14:conditionalFormatting xmlns:xm="http://schemas.microsoft.com/office/excel/2006/main">
          <x14:cfRule type="containsText" priority="30" operator="containsText" id="{018F4635-2935-0E4F-B066-7E5446999A17}">
            <xm:f>NOT(ISERROR(SEARCH("SELECT WORKS",C101)))</xm:f>
            <xm:f>"SELECT WORKS"</xm:f>
            <x14:dxf>
              <font>
                <b/>
                <i val="0"/>
                <color rgb="FFC00000"/>
              </font>
              <fill>
                <patternFill>
                  <bgColor theme="0"/>
                </patternFill>
              </fill>
            </x14:dxf>
          </x14:cfRule>
          <xm:sqref>C101</xm:sqref>
        </x14:conditionalFormatting>
        <x14:conditionalFormatting xmlns:xm="http://schemas.microsoft.com/office/excel/2006/main">
          <x14:cfRule type="containsText" priority="24" operator="containsText" id="{063203D4-D76C-8F4A-B786-143669B50F3E}">
            <xm:f>NOT(ISERROR(SEARCH("SELECT WORKS",C118)))</xm:f>
            <xm:f>"SELECT WORKS"</xm:f>
            <x14:dxf>
              <font>
                <b/>
                <i val="0"/>
                <color rgb="FFC00000"/>
              </font>
              <fill>
                <patternFill>
                  <bgColor theme="0"/>
                </patternFill>
              </fill>
            </x14:dxf>
          </x14:cfRule>
          <xm:sqref>C118</xm:sqref>
        </x14:conditionalFormatting>
        <x14:conditionalFormatting xmlns:xm="http://schemas.microsoft.com/office/excel/2006/main">
          <x14:cfRule type="containsText" priority="18" operator="containsText" id="{62D1667B-E3E9-344F-84C5-88C06E57402A}">
            <xm:f>NOT(ISERROR(SEARCH("SELECT WORKS",C135)))</xm:f>
            <xm:f>"SELECT WORKS"</xm:f>
            <x14:dxf>
              <font>
                <b/>
                <i val="0"/>
                <color rgb="FFC00000"/>
              </font>
              <fill>
                <patternFill>
                  <bgColor theme="0"/>
                </patternFill>
              </fill>
            </x14:dxf>
          </x14:cfRule>
          <xm:sqref>C135</xm:sqref>
        </x14:conditionalFormatting>
        <x14:conditionalFormatting xmlns:xm="http://schemas.microsoft.com/office/excel/2006/main">
          <x14:cfRule type="containsText" priority="12" operator="containsText" id="{7481C93B-3BC4-454D-BE84-88964A301C76}">
            <xm:f>NOT(ISERROR(SEARCH("SELECT WORKS",C152)))</xm:f>
            <xm:f>"SELECT WORKS"</xm:f>
            <x14:dxf>
              <font>
                <b/>
                <i val="0"/>
                <color rgb="FFC00000"/>
              </font>
              <fill>
                <patternFill>
                  <bgColor theme="0"/>
                </patternFill>
              </fill>
            </x14:dxf>
          </x14:cfRule>
          <xm:sqref>C152</xm:sqref>
        </x14:conditionalFormatting>
        <x14:conditionalFormatting xmlns:xm="http://schemas.microsoft.com/office/excel/2006/main">
          <x14:cfRule type="containsText" priority="6" operator="containsText" id="{475023A1-E703-9743-94BC-4615B9324F26}">
            <xm:f>NOT(ISERROR(SEARCH("SELECT WORKS",C169)))</xm:f>
            <xm:f>"SELECT WORKS"</xm:f>
            <x14:dxf>
              <font>
                <b/>
                <i val="0"/>
                <color rgb="FFC00000"/>
              </font>
              <fill>
                <patternFill>
                  <bgColor theme="0"/>
                </patternFill>
              </fill>
            </x14:dxf>
          </x14:cfRule>
          <xm:sqref>C169</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706E68FE-3877-CD48-9D85-F63767EF6BBE}">
          <x14:formula1>
            <xm:f>'Base Costs'!$Q$35:$Q$45</xm:f>
          </x14:formula1>
          <xm:sqref>C43 C179 C162 C145 C60 C77 C94 C111 C26 C128</xm:sqref>
        </x14:dataValidation>
        <x14:dataValidation type="list" allowBlank="1" showInputMessage="1" showErrorMessage="1" xr:uid="{E6AB2EA0-04A4-9B4B-B89E-F83F3F0BE676}">
          <x14:formula1>
            <xm:f>'Base Costs'!$A$19:$A$22</xm:f>
          </x14:formula1>
          <xm:sqref>C19 C172 C155 C138 C36 C87 C70 C53 C104 C121</xm:sqref>
        </x14:dataValidation>
        <x14:dataValidation type="list" allowBlank="1" showInputMessage="1" showErrorMessage="1" xr:uid="{15A71CA1-16DC-E248-8F7A-164B1B56C804}">
          <x14:formula1>
            <xm:f>'Base Costs'!$A$4:$A$16</xm:f>
          </x14:formula1>
          <xm:sqref>D184:D185</xm:sqref>
        </x14:dataValidation>
        <x14:dataValidation type="list" allowBlank="1" showInputMessage="1" showErrorMessage="1" xr:uid="{BD550E80-0F25-2B4E-9ED1-D7081195D11D}">
          <x14:formula1>
            <xm:f>'Base Costs'!$E$4:$E$213</xm:f>
          </x14:formula1>
          <xm:sqref>D183 D186</xm:sqref>
        </x14:dataValidation>
        <x14:dataValidation type="list" allowBlank="1" showInputMessage="1" showErrorMessage="1" xr:uid="{FC83442C-F868-914F-A881-BEF399EFA837}">
          <x14:formula1>
            <xm:f>'Base Costs'!$A$32:$A$37</xm:f>
          </x14:formula1>
          <xm:sqref>B9</xm:sqref>
        </x14:dataValidation>
        <x14:dataValidation type="list" allowBlank="1" showInputMessage="1" showErrorMessage="1" xr:uid="{CE80F387-9B52-934C-A50E-AC15FC3A333D}">
          <x14:formula1>
            <xm:f>CCBASE!$A$81:$A$85</xm:f>
          </x14:formula1>
          <xm:sqref>C25 C42 C93 C76 C59 C110 C127 C144 C161 C178</xm:sqref>
        </x14:dataValidation>
        <x14:dataValidation type="list" allowBlank="1" showInputMessage="1" showErrorMessage="1" xr:uid="{A9111E78-6D82-904A-93D3-C8E783856A52}">
          <x14:formula1>
            <xm:f>CCBASE!$A$53:$A$73</xm:f>
          </x14:formula1>
          <xm:sqref>C67:C69 C84:C86 C33:C35 C50:C52 C16:C18 C101:C103 C118:C120 C135:C137 C152:C154 C169:C171</xm:sqref>
        </x14:dataValidation>
        <x14:dataValidation type="list" allowBlank="1" showInputMessage="1" showErrorMessage="1" xr:uid="{A0C4DC8C-5AE8-D446-8A60-0D870EA3B7E8}">
          <x14:formula1>
            <xm:f>'Base Costs'!$A$39:$A$53</xm:f>
          </x14:formula1>
          <xm:sqref>D14 D167 D150 D133 D31 D99 D48 D82 D65 D116</xm:sqref>
        </x14:dataValidation>
        <x14:dataValidation type="list" allowBlank="1" showInputMessage="1" showErrorMessage="1" xr:uid="{B8A8460A-141D-A742-B597-30D58A2DA41F}">
          <x14:formula1>
            <xm:f>'Base Costs'!$M$4:$M$21</xm:f>
          </x14:formula1>
          <xm:sqref>C32 C168 C151 C134 C100 C49 C66 C83 C117</xm:sqref>
        </x14:dataValidation>
        <x14:dataValidation type="list" allowBlank="1" showInputMessage="1" showErrorMessage="1" xr:uid="{FF4F2D58-9215-2A4D-B6F0-3FA6D18A553A}">
          <x14:formula1>
            <xm:f>'Base Costs'!$M$4:$M$23</xm:f>
          </x14:formula1>
          <xm:sqref>C15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C0DD3-E09C-3840-99EB-054DB9BE6201}">
  <sheetPr>
    <tabColor theme="8" tint="0.79998168889431442"/>
    <pageSetUpPr fitToPage="1"/>
  </sheetPr>
  <dimension ref="A1:AB310"/>
  <sheetViews>
    <sheetView showGridLines="0" zoomScale="80" zoomScaleNormal="80" zoomScaleSheetLayoutView="50" workbookViewId="0">
      <selection activeCell="R29" sqref="R29"/>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e">
        <f>IF(#REF!="","",#REF!)</f>
        <v>#REF!</v>
      </c>
      <c r="D3" s="1113"/>
      <c r="F3" s="690" t="s">
        <v>78</v>
      </c>
      <c r="G3" s="1084" t="e">
        <f>IF(#REF!="","",#REF!)</f>
        <v>#REF!</v>
      </c>
      <c r="H3" s="1114"/>
      <c r="I3" s="1114" t="e">
        <f>IF(#REF!="","",#REF!)</f>
        <v>#REF!</v>
      </c>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e">
        <f>IF(#REF!="","",#REF!)</f>
        <v>#REF!</v>
      </c>
      <c r="D5" s="1083"/>
      <c r="F5" s="690" t="s">
        <v>77</v>
      </c>
      <c r="G5" s="1084" t="e">
        <f>IF(#REF!="","",#REF!)</f>
        <v>#REF!</v>
      </c>
      <c r="H5" s="1114"/>
      <c r="I5" s="1114" t="e">
        <f>IF(#REF!="","",#REF!)</f>
        <v>#REF!</v>
      </c>
      <c r="J5" s="1114"/>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e">
        <f>IF(#REF!="","",#REF!)</f>
        <v>#REF!</v>
      </c>
      <c r="D7" s="1113"/>
      <c r="F7" s="690" t="s">
        <v>76</v>
      </c>
      <c r="G7" s="1086" t="e">
        <f>IF(#REF!="","",#REF!)</f>
        <v>#REF!</v>
      </c>
      <c r="H7" s="1115"/>
      <c r="I7" s="1115" t="e">
        <f>IF(#REF!="","",#REF!)</f>
        <v>#REF!</v>
      </c>
      <c r="J7" s="1115"/>
      <c r="N7" s="699" t="s">
        <v>79</v>
      </c>
      <c r="O7" s="917" t="e">
        <f>IF(#REF!="","",#REF!)</f>
        <v>#REF!</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2"/>
      <c r="F9" s="1112"/>
      <c r="G9" s="1125"/>
      <c r="H9" s="1126"/>
      <c r="I9" s="1126"/>
      <c r="J9" s="1126"/>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7"/>
      <c r="F35" s="1108"/>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0" t="s">
        <v>1092</v>
      </c>
      <c r="F36" s="1108"/>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0" t="s">
        <v>1092</v>
      </c>
      <c r="F53" s="1108"/>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0" t="s">
        <v>1092</v>
      </c>
      <c r="F138" s="1108"/>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1027.2</v>
      </c>
      <c r="L182" s="704">
        <f>IF(K182=0,"-",O182/M182)</f>
        <v>0.39213566507684156</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7" t="s">
        <v>732</v>
      </c>
      <c r="F183" s="1108"/>
      <c r="G183" s="1109"/>
      <c r="H183" s="1109"/>
      <c r="I183" s="110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2" t="s">
        <v>892</v>
      </c>
      <c r="F185" s="1143"/>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4" t="s">
        <v>1412</v>
      </c>
      <c r="F186" s="1145"/>
      <c r="G186" s="1109"/>
      <c r="H186" s="1109"/>
      <c r="I186" s="110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0" t="s">
        <v>1414</v>
      </c>
      <c r="E189" s="1141"/>
      <c r="F189" s="1141"/>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0" t="s">
        <v>1416</v>
      </c>
      <c r="E190" s="1141"/>
      <c r="F190" s="1141"/>
      <c r="G190" s="1136" t="s">
        <v>1464</v>
      </c>
      <c r="H190" s="1136"/>
      <c r="I190" s="113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17"/>
      <c r="F193" s="111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E186:F186"/>
    <mergeCell ref="G186:I186"/>
    <mergeCell ref="D189:F189"/>
    <mergeCell ref="D190:F190"/>
    <mergeCell ref="G190:I190"/>
    <mergeCell ref="D193:F193"/>
    <mergeCell ref="H176:I176"/>
    <mergeCell ref="B182:G182"/>
    <mergeCell ref="E183:F183"/>
    <mergeCell ref="G183:I183"/>
    <mergeCell ref="E184:F184"/>
    <mergeCell ref="E185:F185"/>
    <mergeCell ref="H157:I157"/>
    <mergeCell ref="H158:I158"/>
    <mergeCell ref="H159:I159"/>
    <mergeCell ref="E172:F172"/>
    <mergeCell ref="H174:I174"/>
    <mergeCell ref="H175:I175"/>
    <mergeCell ref="H125:I125"/>
    <mergeCell ref="E138:F138"/>
    <mergeCell ref="H140:I140"/>
    <mergeCell ref="H141:I141"/>
    <mergeCell ref="H142:I142"/>
    <mergeCell ref="E155:F155"/>
    <mergeCell ref="H106:I106"/>
    <mergeCell ref="H107:I107"/>
    <mergeCell ref="H108:I108"/>
    <mergeCell ref="E121:F121"/>
    <mergeCell ref="H123:I123"/>
    <mergeCell ref="H124:I124"/>
    <mergeCell ref="H74:I74"/>
    <mergeCell ref="E87:F87"/>
    <mergeCell ref="H89:I89"/>
    <mergeCell ref="H90:I90"/>
    <mergeCell ref="H91:I91"/>
    <mergeCell ref="E104:F104"/>
    <mergeCell ref="H55:I55"/>
    <mergeCell ref="H56:I56"/>
    <mergeCell ref="H57:I57"/>
    <mergeCell ref="E70:F70"/>
    <mergeCell ref="H72:I72"/>
    <mergeCell ref="H73:I73"/>
    <mergeCell ref="E35:F35"/>
    <mergeCell ref="E36:F36"/>
    <mergeCell ref="H38:I38"/>
    <mergeCell ref="H39:I39"/>
    <mergeCell ref="H40:I40"/>
    <mergeCell ref="E53:F53"/>
    <mergeCell ref="E9:F9"/>
    <mergeCell ref="G9:J9"/>
    <mergeCell ref="E19:F19"/>
    <mergeCell ref="H21:I21"/>
    <mergeCell ref="H22:I22"/>
    <mergeCell ref="H23:I23"/>
    <mergeCell ref="B1:C1"/>
    <mergeCell ref="C3:D3"/>
    <mergeCell ref="G3:J3"/>
    <mergeCell ref="C5:D5"/>
    <mergeCell ref="G5:J5"/>
    <mergeCell ref="C7:D7"/>
    <mergeCell ref="G7:J7"/>
  </mergeCells>
  <conditionalFormatting sqref="B9">
    <cfRule type="containsText" dxfId="5557" priority="665" operator="containsText" text="SELECT">
      <formula>NOT(ISERROR(SEARCH("SELECT",B9)))</formula>
    </cfRule>
    <cfRule type="expression" dxfId="5556" priority="666">
      <formula>B9="CURRENCY"</formula>
    </cfRule>
  </conditionalFormatting>
  <conditionalFormatting sqref="B11">
    <cfRule type="expression" dxfId="5555" priority="627">
      <formula>$B11&lt;&gt;""</formula>
    </cfRule>
  </conditionalFormatting>
  <conditionalFormatting sqref="B14:B23">
    <cfRule type="expression" dxfId="5554" priority="619">
      <formula>$J14&gt;0</formula>
    </cfRule>
  </conditionalFormatting>
  <conditionalFormatting sqref="B24">
    <cfRule type="expression" dxfId="5553" priority="616">
      <formula>ISNUMBER(SEARCH("UV",$D14))</formula>
    </cfRule>
    <cfRule type="expression" dxfId="5552" priority="617">
      <formula>($D14="CANOPY TYPE")</formula>
    </cfRule>
  </conditionalFormatting>
  <conditionalFormatting sqref="B25:B27">
    <cfRule type="expression" dxfId="5551" priority="437">
      <formula>$J25&gt;0</formula>
    </cfRule>
  </conditionalFormatting>
  <conditionalFormatting sqref="B28">
    <cfRule type="expression" dxfId="5550" priority="625">
      <formula>$B28&lt;&gt;""</formula>
    </cfRule>
  </conditionalFormatting>
  <conditionalFormatting sqref="B31:B40">
    <cfRule type="expression" dxfId="5549" priority="263">
      <formula>$J31&gt;0</formula>
    </cfRule>
  </conditionalFormatting>
  <conditionalFormatting sqref="B41">
    <cfRule type="expression" dxfId="5548" priority="585">
      <formula>ISNUMBER(SEARCH("UV",$D31))</formula>
    </cfRule>
    <cfRule type="expression" dxfId="5547" priority="586">
      <formula>($D31="CANOPY TYPE")</formula>
    </cfRule>
  </conditionalFormatting>
  <conditionalFormatting sqref="B42:B44">
    <cfRule type="expression" dxfId="5546" priority="587">
      <formula>$J42&gt;0</formula>
    </cfRule>
  </conditionalFormatting>
  <conditionalFormatting sqref="B45">
    <cfRule type="expression" dxfId="5545" priority="624">
      <formula>$B45&lt;&gt;""</formula>
    </cfRule>
  </conditionalFormatting>
  <conditionalFormatting sqref="B48:B57">
    <cfRule type="expression" dxfId="5544" priority="252">
      <formula>$J48&gt;0</formula>
    </cfRule>
  </conditionalFormatting>
  <conditionalFormatting sqref="B58">
    <cfRule type="expression" dxfId="5543" priority="556">
      <formula>ISNUMBER(SEARCH("UV",$D48))</formula>
    </cfRule>
    <cfRule type="expression" dxfId="5542" priority="557">
      <formula>($D48="CANOPY TYPE")</formula>
    </cfRule>
  </conditionalFormatting>
  <conditionalFormatting sqref="B59:B61">
    <cfRule type="expression" dxfId="5541" priority="436">
      <formula>$J59&gt;0</formula>
    </cfRule>
  </conditionalFormatting>
  <conditionalFormatting sqref="B62">
    <cfRule type="expression" dxfId="5540" priority="623">
      <formula>$B62&lt;&gt;""</formula>
    </cfRule>
  </conditionalFormatting>
  <conditionalFormatting sqref="B65:B74">
    <cfRule type="expression" dxfId="5539" priority="241">
      <formula>$J65&gt;0</formula>
    </cfRule>
  </conditionalFormatting>
  <conditionalFormatting sqref="B75">
    <cfRule type="expression" dxfId="5538" priority="526">
      <formula>ISNUMBER(SEARCH("UV",$D65))</formula>
    </cfRule>
    <cfRule type="expression" dxfId="5537" priority="527">
      <formula>($D65="CANOPY TYPE")</formula>
    </cfRule>
  </conditionalFormatting>
  <conditionalFormatting sqref="B76:B78">
    <cfRule type="expression" dxfId="5536" priority="435">
      <formula>$J76&gt;0</formula>
    </cfRule>
  </conditionalFormatting>
  <conditionalFormatting sqref="B79">
    <cfRule type="expression" dxfId="5535" priority="622">
      <formula>$B79&lt;&gt;""</formula>
    </cfRule>
  </conditionalFormatting>
  <conditionalFormatting sqref="B82:B91">
    <cfRule type="expression" dxfId="5534" priority="230">
      <formula>$J82&gt;0</formula>
    </cfRule>
  </conditionalFormatting>
  <conditionalFormatting sqref="B92">
    <cfRule type="expression" dxfId="5533" priority="495">
      <formula>ISNUMBER(SEARCH("UV",$D82))</formula>
    </cfRule>
    <cfRule type="expression" dxfId="5532" priority="496">
      <formula>($D82="CANOPY TYPE")</formula>
    </cfRule>
  </conditionalFormatting>
  <conditionalFormatting sqref="B93:B95">
    <cfRule type="expression" dxfId="5531" priority="434">
      <formula>$J93&gt;0</formula>
    </cfRule>
  </conditionalFormatting>
  <conditionalFormatting sqref="B96">
    <cfRule type="expression" dxfId="5530" priority="621">
      <formula>$B96&lt;&gt;""</formula>
    </cfRule>
  </conditionalFormatting>
  <conditionalFormatting sqref="B99:B108">
    <cfRule type="expression" dxfId="5529" priority="219">
      <formula>$J99&gt;0</formula>
    </cfRule>
  </conditionalFormatting>
  <conditionalFormatting sqref="B109">
    <cfRule type="expression" dxfId="5528" priority="465">
      <formula>ISNUMBER(SEARCH("UV",$D99))</formula>
    </cfRule>
    <cfRule type="expression" dxfId="5527" priority="466">
      <formula>($D99="CANOPY TYPE")</formula>
    </cfRule>
  </conditionalFormatting>
  <conditionalFormatting sqref="B110:B112 B127:B129 B161:B163 B178:B180">
    <cfRule type="expression" dxfId="5526" priority="433">
      <formula>$J110&gt;0</formula>
    </cfRule>
  </conditionalFormatting>
  <conditionalFormatting sqref="B113">
    <cfRule type="expression" dxfId="5525" priority="325">
      <formula>$B113&lt;&gt;""</formula>
    </cfRule>
  </conditionalFormatting>
  <conditionalFormatting sqref="B116:B125">
    <cfRule type="expression" dxfId="5524" priority="208">
      <formula>$J116&gt;0</formula>
    </cfRule>
  </conditionalFormatting>
  <conditionalFormatting sqref="B126">
    <cfRule type="expression" dxfId="5523" priority="298">
      <formula>ISNUMBER(SEARCH("UV",$D116))</formula>
    </cfRule>
    <cfRule type="expression" dxfId="5522" priority="299">
      <formula>($D116="CANOPY TYPE")</formula>
    </cfRule>
  </conditionalFormatting>
  <conditionalFormatting sqref="B130">
    <cfRule type="expression" dxfId="5521" priority="189">
      <formula>$B130&lt;&gt;""</formula>
    </cfRule>
  </conditionalFormatting>
  <conditionalFormatting sqref="B133:B142">
    <cfRule type="expression" dxfId="5520" priority="21">
      <formula>$J133&gt;0</formula>
    </cfRule>
  </conditionalFormatting>
  <conditionalFormatting sqref="B143">
    <cfRule type="expression" dxfId="5519" priority="159">
      <formula>ISNUMBER(SEARCH("UV",$D133))</formula>
    </cfRule>
    <cfRule type="expression" dxfId="5518" priority="160">
      <formula>($D133="CANOPY TYPE")</formula>
    </cfRule>
  </conditionalFormatting>
  <conditionalFormatting sqref="B144:B146">
    <cfRule type="expression" dxfId="5517" priority="118">
      <formula>$J144&gt;0</formula>
    </cfRule>
  </conditionalFormatting>
  <conditionalFormatting sqref="B147">
    <cfRule type="expression" dxfId="5516" priority="188">
      <formula>$B147&lt;&gt;""</formula>
    </cfRule>
  </conditionalFormatting>
  <conditionalFormatting sqref="B150:B159">
    <cfRule type="expression" dxfId="5515" priority="10">
      <formula>$J150&gt;0</formula>
    </cfRule>
  </conditionalFormatting>
  <conditionalFormatting sqref="B160">
    <cfRule type="expression" dxfId="5514" priority="130">
      <formula>ISNUMBER(SEARCH("UV",$D150))</formula>
    </cfRule>
    <cfRule type="expression" dxfId="5513" priority="131">
      <formula>($D150="CANOPY TYPE")</formula>
    </cfRule>
  </conditionalFormatting>
  <conditionalFormatting sqref="B164">
    <cfRule type="expression" dxfId="5512" priority="81">
      <formula>$B164&lt;&gt;""</formula>
    </cfRule>
  </conditionalFormatting>
  <conditionalFormatting sqref="B167:B176">
    <cfRule type="expression" dxfId="5511" priority="5">
      <formula>$J167&gt;0</formula>
    </cfRule>
  </conditionalFormatting>
  <conditionalFormatting sqref="B177">
    <cfRule type="expression" dxfId="5510" priority="54">
      <formula>ISNUMBER(SEARCH("UV",$D167))</formula>
    </cfRule>
    <cfRule type="expression" dxfId="5509" priority="55">
      <formula>($D167="CANOPY TYPE")</formula>
    </cfRule>
  </conditionalFormatting>
  <conditionalFormatting sqref="B183:B197">
    <cfRule type="expression" dxfId="5508" priority="618">
      <formula>$C183&gt;0</formula>
    </cfRule>
  </conditionalFormatting>
  <conditionalFormatting sqref="C14">
    <cfRule type="containsText" dxfId="5507" priority="423" operator="containsText" text="CONFIG">
      <formula>NOT(ISERROR(SEARCH("CONFIG",C14)))</formula>
    </cfRule>
  </conditionalFormatting>
  <conditionalFormatting sqref="C15">
    <cfRule type="containsText" dxfId="5506" priority="428" operator="containsText" text="LIGHT SELECTION">
      <formula>NOT(ISERROR(SEARCH("LIGHT SELECTION",C15)))</formula>
    </cfRule>
  </conditionalFormatting>
  <conditionalFormatting sqref="C16:C17">
    <cfRule type="containsText" dxfId="5505" priority="674" operator="containsText" text="ANSUL SELECTION">
      <formula>NOT(ISERROR(SEARCH("ANSUL SELECTION",C16)))</formula>
    </cfRule>
  </conditionalFormatting>
  <conditionalFormatting sqref="C20:C21">
    <cfRule type="cellIs" dxfId="5502" priority="671" operator="lessThan">
      <formula>1</formula>
    </cfRule>
  </conditionalFormatting>
  <conditionalFormatting sqref="C22:C23">
    <cfRule type="expression" dxfId="5501" priority="403">
      <formula>D22="WW PODS"</formula>
    </cfRule>
  </conditionalFormatting>
  <conditionalFormatting sqref="C24">
    <cfRule type="expression" dxfId="5500" priority="689">
      <formula>ISNUMBER(SEARCH("UV",D14))</formula>
    </cfRule>
  </conditionalFormatting>
  <conditionalFormatting sqref="C25">
    <cfRule type="expression" dxfId="5499" priority="651">
      <formula>(ISNUMBER(SEARCH("CMW",D14)))=TRUE</formula>
    </cfRule>
  </conditionalFormatting>
  <conditionalFormatting sqref="C26">
    <cfRule type="expression" dxfId="5498" priority="650">
      <formula>(ISNUMBER(SEARCH("CMW",D14)))=TRUE</formula>
    </cfRule>
  </conditionalFormatting>
  <conditionalFormatting sqref="C27">
    <cfRule type="expression" dxfId="5497" priority="620">
      <formula>(ISNUMBER(SEARCH("CMW",$D14)))=TRUE</formula>
    </cfRule>
  </conditionalFormatting>
  <conditionalFormatting sqref="C31">
    <cfRule type="containsText" dxfId="5496" priority="595" operator="containsText" text="CONFIG">
      <formula>NOT(ISERROR(SEARCH("CONFIG",C31)))</formula>
    </cfRule>
  </conditionalFormatting>
  <conditionalFormatting sqref="C32">
    <cfRule type="containsText" dxfId="5495" priority="430" operator="containsText" text="LIGHT SELECTION">
      <formula>NOT(ISERROR(SEARCH("LIGHT SELECTION",C32)))</formula>
    </cfRule>
  </conditionalFormatting>
  <conditionalFormatting sqref="C33:C34">
    <cfRule type="containsText" dxfId="5494" priority="271" operator="containsText" text="ANSUL SELECTION">
      <formula>NOT(ISERROR(SEARCH("ANSUL SELECTION",C33)))</formula>
    </cfRule>
  </conditionalFormatting>
  <conditionalFormatting sqref="C37:C38">
    <cfRule type="cellIs" dxfId="5491" priority="594" operator="lessThan">
      <formula>1</formula>
    </cfRule>
  </conditionalFormatting>
  <conditionalFormatting sqref="C39:C40">
    <cfRule type="expression" dxfId="5490" priority="388">
      <formula>D39="WW PODS"</formula>
    </cfRule>
  </conditionalFormatting>
  <conditionalFormatting sqref="C41">
    <cfRule type="expression" dxfId="5489" priority="609">
      <formula>ISNUMBER(SEARCH("UV",D31))</formula>
    </cfRule>
  </conditionalFormatting>
  <conditionalFormatting sqref="C42">
    <cfRule type="expression" dxfId="5488" priority="592">
      <formula>(ISNUMBER(SEARCH("CMW",D31)))=TRUE</formula>
    </cfRule>
  </conditionalFormatting>
  <conditionalFormatting sqref="C43">
    <cfRule type="expression" dxfId="5487" priority="462">
      <formula>(ISNUMBER(SEARCH("CMW",D31)))=TRUE</formula>
    </cfRule>
  </conditionalFormatting>
  <conditionalFormatting sqref="C44">
    <cfRule type="expression" dxfId="5486" priority="588">
      <formula>(ISNUMBER(SEARCH("CMW",$D31)))=TRUE</formula>
    </cfRule>
  </conditionalFormatting>
  <conditionalFormatting sqref="C48">
    <cfRule type="containsText" dxfId="5485" priority="565" operator="containsText" text="CONFIG">
      <formula>NOT(ISERROR(SEARCH("CONFIG",C48)))</formula>
    </cfRule>
  </conditionalFormatting>
  <conditionalFormatting sqref="C49">
    <cfRule type="containsText" dxfId="5484" priority="427" operator="containsText" text="LIGHT SELECTION">
      <formula>NOT(ISERROR(SEARCH("LIGHT SELECTION",C49)))</formula>
    </cfRule>
  </conditionalFormatting>
  <conditionalFormatting sqref="C50:C51">
    <cfRule type="containsText" dxfId="5483" priority="260" operator="containsText" text="ANSUL SELECTION">
      <formula>NOT(ISERROR(SEARCH("ANSUL SELECTION",C50)))</formula>
    </cfRule>
  </conditionalFormatting>
  <conditionalFormatting sqref="C54:C55">
    <cfRule type="cellIs" dxfId="5480" priority="564" operator="lessThan">
      <formula>1</formula>
    </cfRule>
  </conditionalFormatting>
  <conditionalFormatting sqref="C56:C57">
    <cfRule type="expression" dxfId="5479" priority="373">
      <formula>D56="WW PODS"</formula>
    </cfRule>
  </conditionalFormatting>
  <conditionalFormatting sqref="C58">
    <cfRule type="expression" dxfId="5478" priority="578">
      <formula>ISNUMBER(SEARCH("UV",D48))</formula>
    </cfRule>
  </conditionalFormatting>
  <conditionalFormatting sqref="C59">
    <cfRule type="expression" dxfId="5477" priority="562">
      <formula>(ISNUMBER(SEARCH("CMW",D48)))=TRUE</formula>
    </cfRule>
  </conditionalFormatting>
  <conditionalFormatting sqref="C60">
    <cfRule type="expression" dxfId="5476" priority="461">
      <formula>(ISNUMBER(SEARCH("CMW",D48)))=TRUE</formula>
    </cfRule>
  </conditionalFormatting>
  <conditionalFormatting sqref="C61">
    <cfRule type="expression" dxfId="5475" priority="558">
      <formula>(ISNUMBER(SEARCH("CMW",$D48)))=TRUE</formula>
    </cfRule>
  </conditionalFormatting>
  <conditionalFormatting sqref="C65">
    <cfRule type="containsText" dxfId="5474" priority="536" operator="containsText" text="CONFIG">
      <formula>NOT(ISERROR(SEARCH("CONFIG",C65)))</formula>
    </cfRule>
  </conditionalFormatting>
  <conditionalFormatting sqref="C66">
    <cfRule type="containsText" dxfId="5473" priority="426" operator="containsText" text="LIGHT SELECTION">
      <formula>NOT(ISERROR(SEARCH("LIGHT SELECTION",C66)))</formula>
    </cfRule>
  </conditionalFormatting>
  <conditionalFormatting sqref="C67:C68">
    <cfRule type="containsText" dxfId="5472" priority="249" operator="containsText" text="ANSUL SELECTION">
      <formula>NOT(ISERROR(SEARCH("ANSUL SELECTION",C67)))</formula>
    </cfRule>
  </conditionalFormatting>
  <conditionalFormatting sqref="C71:C72">
    <cfRule type="cellIs" dxfId="5469" priority="535" operator="lessThan">
      <formula>1</formula>
    </cfRule>
  </conditionalFormatting>
  <conditionalFormatting sqref="C73:C74">
    <cfRule type="expression" dxfId="5468" priority="358">
      <formula>D73="WW PODS"</formula>
    </cfRule>
  </conditionalFormatting>
  <conditionalFormatting sqref="C75">
    <cfRule type="expression" dxfId="5467" priority="549">
      <formula>ISNUMBER(SEARCH("UV",D65))</formula>
    </cfRule>
  </conditionalFormatting>
  <conditionalFormatting sqref="C76">
    <cfRule type="expression" dxfId="5466" priority="532">
      <formula>(ISNUMBER(SEARCH("CMW",D65)))=TRUE</formula>
    </cfRule>
  </conditionalFormatting>
  <conditionalFormatting sqref="C77">
    <cfRule type="expression" dxfId="5465" priority="460">
      <formula>(ISNUMBER(SEARCH("CMW",D65)))=TRUE</formula>
    </cfRule>
  </conditionalFormatting>
  <conditionalFormatting sqref="C78">
    <cfRule type="expression" dxfId="5464" priority="528">
      <formula>(ISNUMBER(SEARCH("CMW",$D65)))=TRUE</formula>
    </cfRule>
  </conditionalFormatting>
  <conditionalFormatting sqref="C82">
    <cfRule type="containsText" dxfId="5463" priority="505" operator="containsText" text="CONFIG">
      <formula>NOT(ISERROR(SEARCH("CONFIG",C82)))</formula>
    </cfRule>
  </conditionalFormatting>
  <conditionalFormatting sqref="C83">
    <cfRule type="containsText" dxfId="5462" priority="425" operator="containsText" text="LIGHT SELECTION">
      <formula>NOT(ISERROR(SEARCH("LIGHT SELECTION",C83)))</formula>
    </cfRule>
  </conditionalFormatting>
  <conditionalFormatting sqref="C84:C85">
    <cfRule type="containsText" dxfId="5461" priority="238" operator="containsText" text="ANSUL SELECTION">
      <formula>NOT(ISERROR(SEARCH("ANSUL SELECTION",C84)))</formula>
    </cfRule>
  </conditionalFormatting>
  <conditionalFormatting sqref="C88:C89">
    <cfRule type="cellIs" dxfId="5458" priority="504" operator="lessThan">
      <formula>1</formula>
    </cfRule>
  </conditionalFormatting>
  <conditionalFormatting sqref="C90:C91">
    <cfRule type="expression" dxfId="5457" priority="343">
      <formula>D90="WW PODS"</formula>
    </cfRule>
  </conditionalFormatting>
  <conditionalFormatting sqref="C92">
    <cfRule type="expression" dxfId="5456" priority="519">
      <formula>ISNUMBER(SEARCH("UV",D82))</formula>
    </cfRule>
  </conditionalFormatting>
  <conditionalFormatting sqref="C93">
    <cfRule type="expression" dxfId="5455" priority="501">
      <formula>(ISNUMBER(SEARCH("CMW",D82)))=TRUE</formula>
    </cfRule>
  </conditionalFormatting>
  <conditionalFormatting sqref="C94">
    <cfRule type="expression" dxfId="5454" priority="459">
      <formula>(ISNUMBER(SEARCH("CMW",D82)))=TRUE</formula>
    </cfRule>
  </conditionalFormatting>
  <conditionalFormatting sqref="C95">
    <cfRule type="expression" dxfId="5453" priority="497">
      <formula>(ISNUMBER(SEARCH("CMW",$D82)))=TRUE</formula>
    </cfRule>
  </conditionalFormatting>
  <conditionalFormatting sqref="C99">
    <cfRule type="containsText" dxfId="5452" priority="474" operator="containsText" text="CONFIG">
      <formula>NOT(ISERROR(SEARCH("CONFIG",C99)))</formula>
    </cfRule>
  </conditionalFormatting>
  <conditionalFormatting sqref="C100">
    <cfRule type="containsText" dxfId="5451" priority="424" operator="containsText" text="LIGHT SELECTION">
      <formula>NOT(ISERROR(SEARCH("LIGHT SELECTION",C100)))</formula>
    </cfRule>
  </conditionalFormatting>
  <conditionalFormatting sqref="C101:C102">
    <cfRule type="containsText" dxfId="5450" priority="227" operator="containsText" text="ANSUL SELECTION">
      <formula>NOT(ISERROR(SEARCH("ANSUL SELECTION",C101)))</formula>
    </cfRule>
  </conditionalFormatting>
  <conditionalFormatting sqref="C105:C106">
    <cfRule type="cellIs" dxfId="5447" priority="473" operator="lessThan">
      <formula>1</formula>
    </cfRule>
  </conditionalFormatting>
  <conditionalFormatting sqref="C107:C108">
    <cfRule type="expression" dxfId="5446" priority="328">
      <formula>D107="WW PODS"</formula>
    </cfRule>
  </conditionalFormatting>
  <conditionalFormatting sqref="C109">
    <cfRule type="expression" dxfId="5445" priority="488">
      <formula>ISNUMBER(SEARCH("UV",D99))</formula>
    </cfRule>
  </conditionalFormatting>
  <conditionalFormatting sqref="C110">
    <cfRule type="expression" dxfId="5444" priority="471">
      <formula>(ISNUMBER(SEARCH("CMW",D99)))=TRUE</formula>
    </cfRule>
  </conditionalFormatting>
  <conditionalFormatting sqref="C111">
    <cfRule type="expression" dxfId="5443" priority="458">
      <formula>(ISNUMBER(SEARCH("CMW",D99)))=TRUE</formula>
    </cfRule>
  </conditionalFormatting>
  <conditionalFormatting sqref="C112 C129 C163 C180">
    <cfRule type="expression" dxfId="5442" priority="467">
      <formula>(ISNUMBER(SEARCH("CMW",$D99)))=TRUE</formula>
    </cfRule>
  </conditionalFormatting>
  <conditionalFormatting sqref="C116">
    <cfRule type="containsText" dxfId="5441" priority="306" operator="containsText" text="CONFIG">
      <formula>NOT(ISERROR(SEARCH("CONFIG",C116)))</formula>
    </cfRule>
  </conditionalFormatting>
  <conditionalFormatting sqref="C117">
    <cfRule type="containsText" dxfId="5440" priority="291" operator="containsText" text="LIGHT SELECTION">
      <formula>NOT(ISERROR(SEARCH("LIGHT SELECTION",C117)))</formula>
    </cfRule>
  </conditionalFormatting>
  <conditionalFormatting sqref="C118:C119">
    <cfRule type="containsText" dxfId="5439" priority="216" operator="containsText" text="ANSUL SELECTION">
      <formula>NOT(ISERROR(SEARCH("ANSUL SELECTION",C118)))</formula>
    </cfRule>
  </conditionalFormatting>
  <conditionalFormatting sqref="C122:C123">
    <cfRule type="cellIs" dxfId="5436" priority="305" operator="lessThan">
      <formula>1</formula>
    </cfRule>
  </conditionalFormatting>
  <conditionalFormatting sqref="C124:C125">
    <cfRule type="expression" dxfId="5435" priority="275">
      <formula>D124="WW PODS"</formula>
    </cfRule>
  </conditionalFormatting>
  <conditionalFormatting sqref="C126">
    <cfRule type="expression" dxfId="5434" priority="320">
      <formula>ISNUMBER(SEARCH("UV",D116))</formula>
    </cfRule>
  </conditionalFormatting>
  <conditionalFormatting sqref="C127">
    <cfRule type="expression" dxfId="5433" priority="303">
      <formula>(ISNUMBER(SEARCH("CMW",D116)))=TRUE</formula>
    </cfRule>
  </conditionalFormatting>
  <conditionalFormatting sqref="C128">
    <cfRule type="expression" dxfId="5432" priority="296">
      <formula>(ISNUMBER(SEARCH("CMW",D116)))=TRUE</formula>
    </cfRule>
  </conditionalFormatting>
  <conditionalFormatting sqref="C133">
    <cfRule type="containsText" dxfId="5431" priority="169" operator="containsText" text="CONFIG">
      <formula>NOT(ISERROR(SEARCH("CONFIG",C133)))</formula>
    </cfRule>
  </conditionalFormatting>
  <conditionalFormatting sqref="C134">
    <cfRule type="containsText" dxfId="5430" priority="117" operator="containsText" text="LIGHT SELECTION">
      <formula>NOT(ISERROR(SEARCH("LIGHT SELECTION",C134)))</formula>
    </cfRule>
  </conditionalFormatting>
  <conditionalFormatting sqref="C135:C136">
    <cfRule type="containsText" dxfId="5429" priority="29" operator="containsText" text="ANSUL SELECTION">
      <formula>NOT(ISERROR(SEARCH("ANSUL SELECTION",C135)))</formula>
    </cfRule>
  </conditionalFormatting>
  <conditionalFormatting sqref="C139:C140">
    <cfRule type="cellIs" dxfId="5426" priority="168" operator="lessThan">
      <formula>1</formula>
    </cfRule>
  </conditionalFormatting>
  <conditionalFormatting sqref="C141:C142">
    <cfRule type="expression" dxfId="5425" priority="99">
      <formula>D141="WW PODS"</formula>
    </cfRule>
  </conditionalFormatting>
  <conditionalFormatting sqref="C143">
    <cfRule type="expression" dxfId="5424" priority="183">
      <formula>ISNUMBER(SEARCH("UV",D133))</formula>
    </cfRule>
  </conditionalFormatting>
  <conditionalFormatting sqref="C144">
    <cfRule type="expression" dxfId="5423" priority="165">
      <formula>(ISNUMBER(SEARCH("CMW",D133)))=TRUE</formula>
    </cfRule>
  </conditionalFormatting>
  <conditionalFormatting sqref="C145">
    <cfRule type="expression" dxfId="5422" priority="128">
      <formula>(ISNUMBER(SEARCH("CMW",D133)))=TRUE</formula>
    </cfRule>
  </conditionalFormatting>
  <conditionalFormatting sqref="C146">
    <cfRule type="expression" dxfId="5421" priority="161">
      <formula>(ISNUMBER(SEARCH("CMW",$D133)))=TRUE</formula>
    </cfRule>
  </conditionalFormatting>
  <conditionalFormatting sqref="C150">
    <cfRule type="containsText" dxfId="5420" priority="138" operator="containsText" text="CONFIG">
      <formula>NOT(ISERROR(SEARCH("CONFIG",C150)))</formula>
    </cfRule>
  </conditionalFormatting>
  <conditionalFormatting sqref="C151">
    <cfRule type="containsText" dxfId="5419" priority="116" operator="containsText" text="LIGHT SELECTION">
      <formula>NOT(ISERROR(SEARCH("LIGHT SELECTION",C151)))</formula>
    </cfRule>
  </conditionalFormatting>
  <conditionalFormatting sqref="C152:C153">
    <cfRule type="containsText" dxfId="5418" priority="18" operator="containsText" text="ANSUL SELECTION">
      <formula>NOT(ISERROR(SEARCH("ANSUL SELECTION",C152)))</formula>
    </cfRule>
  </conditionalFormatting>
  <conditionalFormatting sqref="C156:C157">
    <cfRule type="cellIs" dxfId="5415" priority="137" operator="lessThan">
      <formula>1</formula>
    </cfRule>
  </conditionalFormatting>
  <conditionalFormatting sqref="C158:C159">
    <cfRule type="expression" dxfId="5414" priority="84">
      <formula>D158="WW PODS"</formula>
    </cfRule>
  </conditionalFormatting>
  <conditionalFormatting sqref="C160">
    <cfRule type="expression" dxfId="5413" priority="152">
      <formula>ISNUMBER(SEARCH("UV",D150))</formula>
    </cfRule>
  </conditionalFormatting>
  <conditionalFormatting sqref="C161">
    <cfRule type="expression" dxfId="5412" priority="135">
      <formula>(ISNUMBER(SEARCH("CMW",D150)))=TRUE</formula>
    </cfRule>
  </conditionalFormatting>
  <conditionalFormatting sqref="C162">
    <cfRule type="expression" dxfId="5411" priority="127">
      <formula>(ISNUMBER(SEARCH("CMW",D150)))=TRUE</formula>
    </cfRule>
  </conditionalFormatting>
  <conditionalFormatting sqref="C167">
    <cfRule type="containsText" dxfId="5410" priority="62" operator="containsText" text="CONFIG">
      <formula>NOT(ISERROR(SEARCH("CONFIG",C167)))</formula>
    </cfRule>
  </conditionalFormatting>
  <conditionalFormatting sqref="C168">
    <cfRule type="containsText" dxfId="5409" priority="47" operator="containsText" text="LIGHT SELECTION">
      <formula>NOT(ISERROR(SEARCH("LIGHT SELECTION",C168)))</formula>
    </cfRule>
  </conditionalFormatting>
  <conditionalFormatting sqref="C169:C170">
    <cfRule type="containsText" dxfId="5408" priority="7" operator="containsText" text="ANSUL SELECTION">
      <formula>NOT(ISERROR(SEARCH("ANSUL SELECTION",C169)))</formula>
    </cfRule>
  </conditionalFormatting>
  <conditionalFormatting sqref="C173:C174">
    <cfRule type="cellIs" dxfId="5405" priority="61" operator="lessThan">
      <formula>1</formula>
    </cfRule>
  </conditionalFormatting>
  <conditionalFormatting sqref="C175:C176">
    <cfRule type="expression" dxfId="5404" priority="31">
      <formula>D175="WW PODS"</formula>
    </cfRule>
  </conditionalFormatting>
  <conditionalFormatting sqref="C177">
    <cfRule type="expression" dxfId="5403" priority="76">
      <formula>ISNUMBER(SEARCH("UV",D167))</formula>
    </cfRule>
  </conditionalFormatting>
  <conditionalFormatting sqref="C178">
    <cfRule type="expression" dxfId="5402" priority="59">
      <formula>(ISNUMBER(SEARCH("CMW",D167)))=TRUE</formula>
    </cfRule>
  </conditionalFormatting>
  <conditionalFormatting sqref="C179">
    <cfRule type="expression" dxfId="5401" priority="52">
      <formula>(ISNUMBER(SEARCH("CMW",D167)))=TRUE</formula>
    </cfRule>
  </conditionalFormatting>
  <conditionalFormatting sqref="C183:C184">
    <cfRule type="cellIs" dxfId="5400" priority="673" operator="lessThan">
      <formula>1</formula>
    </cfRule>
  </conditionalFormatting>
  <conditionalFormatting sqref="C185:C186">
    <cfRule type="cellIs" dxfId="5399" priority="662" operator="lessThan">
      <formula>1</formula>
    </cfRule>
  </conditionalFormatting>
  <conditionalFormatting sqref="C187:C197">
    <cfRule type="cellIs" dxfId="5398" priority="273" operator="lessThan">
      <formula>1</formula>
    </cfRule>
  </conditionalFormatting>
  <conditionalFormatting sqref="C9:D9">
    <cfRule type="cellIs" dxfId="5397" priority="663" operator="lessThan">
      <formula>0</formula>
    </cfRule>
    <cfRule type="cellIs" dxfId="5396" priority="664" operator="greaterThan">
      <formula>0</formula>
    </cfRule>
  </conditionalFormatting>
  <conditionalFormatting sqref="D14">
    <cfRule type="containsText" dxfId="5395" priority="675" operator="containsText" text="CANOPY TYPE">
      <formula>NOT(ISERROR(SEARCH("CANOPY TYPE",D14)))</formula>
    </cfRule>
  </conditionalFormatting>
  <conditionalFormatting sqref="D15">
    <cfRule type="expression" dxfId="5394" priority="419">
      <formula>(C15="LIGHT SELECTION")</formula>
    </cfRule>
  </conditionalFormatting>
  <conditionalFormatting sqref="D18">
    <cfRule type="expression" dxfId="5393" priority="629">
      <formula>($C18="SELECT WORKS")</formula>
    </cfRule>
  </conditionalFormatting>
  <conditionalFormatting sqref="D19">
    <cfRule type="expression" dxfId="5392" priority="272">
      <formula>$C19="SELECT CLADDING"</formula>
    </cfRule>
  </conditionalFormatting>
  <conditionalFormatting sqref="D22:D23">
    <cfRule type="expression" dxfId="5391" priority="402">
      <formula>($D$14="CANOPY TYPE")</formula>
    </cfRule>
  </conditionalFormatting>
  <conditionalFormatting sqref="D24">
    <cfRule type="expression" dxfId="5390" priority="688">
      <formula>ISNUMBER(SEARCH("UV",D14))</formula>
    </cfRule>
  </conditionalFormatting>
  <conditionalFormatting sqref="D25">
    <cfRule type="expression" dxfId="5389" priority="614">
      <formula>($D$14="CANOPY TYPE")</formula>
    </cfRule>
  </conditionalFormatting>
  <conditionalFormatting sqref="D26">
    <cfRule type="expression" dxfId="5388" priority="637">
      <formula>(ISNUMBER(SEARCH("CMW",D14)))=TRUE</formula>
    </cfRule>
  </conditionalFormatting>
  <conditionalFormatting sqref="D31">
    <cfRule type="containsText" dxfId="5387" priority="596" operator="containsText" text="CANOPY TYPE">
      <formula>NOT(ISERROR(SEARCH("CANOPY TYPE",D31)))</formula>
    </cfRule>
  </conditionalFormatting>
  <conditionalFormatting sqref="D32">
    <cfRule type="expression" dxfId="5386" priority="432">
      <formula>(C32="LIGHT SELECTION")</formula>
    </cfRule>
  </conditionalFormatting>
  <conditionalFormatting sqref="D35">
    <cfRule type="expression" dxfId="5385" priority="589">
      <formula>($C35="SELECT WORKS")</formula>
    </cfRule>
  </conditionalFormatting>
  <conditionalFormatting sqref="D36">
    <cfRule type="expression" dxfId="5384" priority="411">
      <formula>$C36="SELECT CLADDING"</formula>
    </cfRule>
  </conditionalFormatting>
  <conditionalFormatting sqref="D39:D40">
    <cfRule type="expression" dxfId="5383" priority="387">
      <formula>($D$14="CANOPY TYPE")</formula>
    </cfRule>
  </conditionalFormatting>
  <conditionalFormatting sqref="D41">
    <cfRule type="expression" dxfId="5382" priority="608">
      <formula>ISNUMBER(SEARCH("UV",D31))</formula>
    </cfRule>
  </conditionalFormatting>
  <conditionalFormatting sqref="D42">
    <cfRule type="expression" dxfId="5381" priority="583">
      <formula>($D$14="CANOPY TYPE")</formula>
    </cfRule>
  </conditionalFormatting>
  <conditionalFormatting sqref="D43">
    <cfRule type="expression" dxfId="5380" priority="591">
      <formula>(ISNUMBER(SEARCH("CMW",D31)))=TRUE</formula>
    </cfRule>
  </conditionalFormatting>
  <conditionalFormatting sqref="D48">
    <cfRule type="containsText" dxfId="5379" priority="414" operator="containsText" text="CANOPY TYPE">
      <formula>NOT(ISERROR(SEARCH("CANOPY TYPE",D48)))</formula>
    </cfRule>
  </conditionalFormatting>
  <conditionalFormatting sqref="D49">
    <cfRule type="expression" dxfId="5378" priority="429">
      <formula>(C15="LIGHT SELECTION")</formula>
    </cfRule>
  </conditionalFormatting>
  <conditionalFormatting sqref="D52">
    <cfRule type="expression" dxfId="5377" priority="559">
      <formula>($C52="SELECT WORKS")</formula>
    </cfRule>
  </conditionalFormatting>
  <conditionalFormatting sqref="D53">
    <cfRule type="expression" dxfId="5376" priority="412">
      <formula>$C53="SELECT CLADDING"</formula>
    </cfRule>
  </conditionalFormatting>
  <conditionalFormatting sqref="D56:D57">
    <cfRule type="expression" dxfId="5375" priority="372">
      <formula>($D$14="CANOPY TYPE")</formula>
    </cfRule>
  </conditionalFormatting>
  <conditionalFormatting sqref="D58">
    <cfRule type="expression" dxfId="5374" priority="577">
      <formula>ISNUMBER(SEARCH("UV",D48))</formula>
    </cfRule>
  </conditionalFormatting>
  <conditionalFormatting sqref="D59">
    <cfRule type="expression" dxfId="5373" priority="554">
      <formula>($D$14="CANOPY TYPE")</formula>
    </cfRule>
  </conditionalFormatting>
  <conditionalFormatting sqref="D60">
    <cfRule type="expression" dxfId="5372" priority="561">
      <formula>(ISNUMBER(SEARCH("CMW",D48)))=TRUE</formula>
    </cfRule>
  </conditionalFormatting>
  <conditionalFormatting sqref="D65">
    <cfRule type="containsText" dxfId="5371" priority="413" operator="containsText" text="CANOPY TYPE">
      <formula>NOT(ISERROR(SEARCH("CANOPY TYPE",D65)))</formula>
    </cfRule>
  </conditionalFormatting>
  <conditionalFormatting sqref="D66">
    <cfRule type="expression" dxfId="5370" priority="422">
      <formula>(C66="LIGHT SELECTION")</formula>
    </cfRule>
  </conditionalFormatting>
  <conditionalFormatting sqref="D69">
    <cfRule type="expression" dxfId="5369" priority="529">
      <formula>($C69="SELECT WORKS")</formula>
    </cfRule>
  </conditionalFormatting>
  <conditionalFormatting sqref="D70">
    <cfRule type="expression" dxfId="5368" priority="533">
      <formula>$C70="SELECT CLADDING"</formula>
    </cfRule>
  </conditionalFormatting>
  <conditionalFormatting sqref="D73:D74">
    <cfRule type="expression" dxfId="5367" priority="357">
      <formula>($D$14="CANOPY TYPE")</formula>
    </cfRule>
  </conditionalFormatting>
  <conditionalFormatting sqref="D75">
    <cfRule type="expression" dxfId="5366" priority="548">
      <formula>ISNUMBER(SEARCH("UV",D65))</formula>
    </cfRule>
  </conditionalFormatting>
  <conditionalFormatting sqref="D76">
    <cfRule type="expression" dxfId="5365" priority="524">
      <formula>($D$14="CANOPY TYPE")</formula>
    </cfRule>
  </conditionalFormatting>
  <conditionalFormatting sqref="D77">
    <cfRule type="expression" dxfId="5364" priority="531">
      <formula>(ISNUMBER(SEARCH("CMW",D65)))=TRUE</formula>
    </cfRule>
  </conditionalFormatting>
  <conditionalFormatting sqref="D82">
    <cfRule type="containsText" dxfId="5363" priority="506" operator="containsText" text="CANOPY TYPE">
      <formula>NOT(ISERROR(SEARCH("CANOPY TYPE",D82)))</formula>
    </cfRule>
  </conditionalFormatting>
  <conditionalFormatting sqref="D83">
    <cfRule type="expression" dxfId="5362" priority="421">
      <formula>(C83="LIGHT SELECTION")</formula>
    </cfRule>
  </conditionalFormatting>
  <conditionalFormatting sqref="D86">
    <cfRule type="expression" dxfId="5361" priority="498">
      <formula>($C86="SELECT WORKS")</formula>
    </cfRule>
  </conditionalFormatting>
  <conditionalFormatting sqref="D87">
    <cfRule type="expression" dxfId="5360" priority="502">
      <formula>$C87="SELECT CLADDING"</formula>
    </cfRule>
  </conditionalFormatting>
  <conditionalFormatting sqref="D90:D91">
    <cfRule type="expression" dxfId="5359" priority="342">
      <formula>($D$14="CANOPY TYPE")</formula>
    </cfRule>
  </conditionalFormatting>
  <conditionalFormatting sqref="D92">
    <cfRule type="expression" dxfId="5358" priority="518">
      <formula>ISNUMBER(SEARCH("UV",D82))</formula>
    </cfRule>
  </conditionalFormatting>
  <conditionalFormatting sqref="D93">
    <cfRule type="expression" dxfId="5357" priority="493">
      <formula>($D$14="CANOPY TYPE")</formula>
    </cfRule>
  </conditionalFormatting>
  <conditionalFormatting sqref="D94">
    <cfRule type="expression" dxfId="5356" priority="500">
      <formula>(ISNUMBER(SEARCH("CMW",D82)))=TRUE</formula>
    </cfRule>
  </conditionalFormatting>
  <conditionalFormatting sqref="D99">
    <cfRule type="containsText" dxfId="5355" priority="475" operator="containsText" text="CANOPY TYPE">
      <formula>NOT(ISERROR(SEARCH("CANOPY TYPE",D99)))</formula>
    </cfRule>
  </conditionalFormatting>
  <conditionalFormatting sqref="D100">
    <cfRule type="expression" dxfId="5354" priority="420">
      <formula>(C100="LIGHT SELECTION")</formula>
    </cfRule>
  </conditionalFormatting>
  <conditionalFormatting sqref="D103">
    <cfRule type="expression" dxfId="5353" priority="468">
      <formula>($C103="SELECT WORKS")</formula>
    </cfRule>
  </conditionalFormatting>
  <conditionalFormatting sqref="D104">
    <cfRule type="expression" dxfId="5352" priority="410">
      <formula>$C104="SELECT CLADDING"</formula>
    </cfRule>
  </conditionalFormatting>
  <conditionalFormatting sqref="D107:D108">
    <cfRule type="expression" dxfId="5351" priority="327">
      <formula>($D$14="CANOPY TYPE")</formula>
    </cfRule>
  </conditionalFormatting>
  <conditionalFormatting sqref="D109">
    <cfRule type="expression" dxfId="5350" priority="487">
      <formula>ISNUMBER(SEARCH("UV",D99))</formula>
    </cfRule>
  </conditionalFormatting>
  <conditionalFormatting sqref="D110">
    <cfRule type="expression" dxfId="5349" priority="463">
      <formula>($D$14="CANOPY TYPE")</formula>
    </cfRule>
  </conditionalFormatting>
  <conditionalFormatting sqref="D111">
    <cfRule type="expression" dxfId="5348" priority="470">
      <formula>(ISNUMBER(SEARCH("CMW",D99)))=TRUE</formula>
    </cfRule>
  </conditionalFormatting>
  <conditionalFormatting sqref="D116">
    <cfRule type="containsText" dxfId="5347" priority="307" operator="containsText" text="CANOPY TYPE">
      <formula>NOT(ISERROR(SEARCH("CANOPY TYPE",D116)))</formula>
    </cfRule>
  </conditionalFormatting>
  <conditionalFormatting sqref="D117">
    <cfRule type="expression" dxfId="5346" priority="290">
      <formula>(C117="LIGHT SELECTION")</formula>
    </cfRule>
  </conditionalFormatting>
  <conditionalFormatting sqref="D120">
    <cfRule type="expression" dxfId="5345" priority="300">
      <formula>($C120="SELECT WORKS")</formula>
    </cfRule>
  </conditionalFormatting>
  <conditionalFormatting sqref="D121">
    <cfRule type="expression" dxfId="5344" priority="289">
      <formula>$C121="SELECT CLADDING"</formula>
    </cfRule>
  </conditionalFormatting>
  <conditionalFormatting sqref="D124:D125">
    <cfRule type="expression" dxfId="5343" priority="274">
      <formula>($D$14="CANOPY TYPE")</formula>
    </cfRule>
  </conditionalFormatting>
  <conditionalFormatting sqref="D126">
    <cfRule type="expression" dxfId="5342" priority="319">
      <formula>ISNUMBER(SEARCH("UV",D116))</formula>
    </cfRule>
  </conditionalFormatting>
  <conditionalFormatting sqref="D127">
    <cfRule type="expression" dxfId="5341" priority="297">
      <formula>($D$14="CANOPY TYPE")</formula>
    </cfRule>
  </conditionalFormatting>
  <conditionalFormatting sqref="D128">
    <cfRule type="expression" dxfId="5340" priority="302">
      <formula>(ISNUMBER(SEARCH("CMW",D116)))=TRUE</formula>
    </cfRule>
  </conditionalFormatting>
  <conditionalFormatting sqref="D133">
    <cfRule type="containsText" dxfId="5339" priority="170" operator="containsText" text="CANOPY TYPE">
      <formula>NOT(ISERROR(SEARCH("CANOPY TYPE",D133)))</formula>
    </cfRule>
  </conditionalFormatting>
  <conditionalFormatting sqref="D134">
    <cfRule type="expression" dxfId="5338" priority="115">
      <formula>(C134="LIGHT SELECTION")</formula>
    </cfRule>
  </conditionalFormatting>
  <conditionalFormatting sqref="D137">
    <cfRule type="expression" dxfId="5337" priority="162">
      <formula>($C137="SELECT WORKS")</formula>
    </cfRule>
  </conditionalFormatting>
  <conditionalFormatting sqref="D138">
    <cfRule type="expression" dxfId="5336" priority="166">
      <formula>$C138="SELECT CLADDING"</formula>
    </cfRule>
  </conditionalFormatting>
  <conditionalFormatting sqref="D141:D142">
    <cfRule type="expression" dxfId="5335" priority="98">
      <formula>($D$14="CANOPY TYPE")</formula>
    </cfRule>
  </conditionalFormatting>
  <conditionalFormatting sqref="D143">
    <cfRule type="expression" dxfId="5334" priority="182">
      <formula>ISNUMBER(SEARCH("UV",D133))</formula>
    </cfRule>
  </conditionalFormatting>
  <conditionalFormatting sqref="D144">
    <cfRule type="expression" dxfId="5333" priority="157">
      <formula>($D$14="CANOPY TYPE")</formula>
    </cfRule>
  </conditionalFormatting>
  <conditionalFormatting sqref="D145">
    <cfRule type="expression" dxfId="5332" priority="164">
      <formula>(ISNUMBER(SEARCH("CMW",D133)))=TRUE</formula>
    </cfRule>
  </conditionalFormatting>
  <conditionalFormatting sqref="D150">
    <cfRule type="containsText" dxfId="5331" priority="139" operator="containsText" text="CANOPY TYPE">
      <formula>NOT(ISERROR(SEARCH("CANOPY TYPE",D150)))</formula>
    </cfRule>
  </conditionalFormatting>
  <conditionalFormatting sqref="D151">
    <cfRule type="expression" dxfId="5330" priority="114">
      <formula>(C151="LIGHT SELECTION")</formula>
    </cfRule>
  </conditionalFormatting>
  <conditionalFormatting sqref="D154">
    <cfRule type="expression" dxfId="5329" priority="132">
      <formula>($C154="SELECT WORKS")</formula>
    </cfRule>
  </conditionalFormatting>
  <conditionalFormatting sqref="D155">
    <cfRule type="expression" dxfId="5328" priority="113">
      <formula>$C155="SELECT CLADDING"</formula>
    </cfRule>
  </conditionalFormatting>
  <conditionalFormatting sqref="D158:D159">
    <cfRule type="expression" dxfId="5327" priority="83">
      <formula>($D$14="CANOPY TYPE")</formula>
    </cfRule>
  </conditionalFormatting>
  <conditionalFormatting sqref="D160">
    <cfRule type="expression" dxfId="5326" priority="151">
      <formula>ISNUMBER(SEARCH("UV",D150))</formula>
    </cfRule>
  </conditionalFormatting>
  <conditionalFormatting sqref="D161">
    <cfRule type="expression" dxfId="5325" priority="129">
      <formula>($D$14="CANOPY TYPE")</formula>
    </cfRule>
  </conditionalFormatting>
  <conditionalFormatting sqref="D162">
    <cfRule type="expression" dxfId="5324" priority="134">
      <formula>(ISNUMBER(SEARCH("CMW",D150)))=TRUE</formula>
    </cfRule>
  </conditionalFormatting>
  <conditionalFormatting sqref="D167">
    <cfRule type="containsText" dxfId="5323" priority="63" operator="containsText" text="CANOPY TYPE">
      <formula>NOT(ISERROR(SEARCH("CANOPY TYPE",D167)))</formula>
    </cfRule>
  </conditionalFormatting>
  <conditionalFormatting sqref="D168">
    <cfRule type="expression" dxfId="5322" priority="46">
      <formula>(C168="LIGHT SELECTION")</formula>
    </cfRule>
  </conditionalFormatting>
  <conditionalFormatting sqref="D171">
    <cfRule type="expression" dxfId="5321" priority="56">
      <formula>($C171="SELECT WORKS")</formula>
    </cfRule>
  </conditionalFormatting>
  <conditionalFormatting sqref="D172">
    <cfRule type="expression" dxfId="5320" priority="45">
      <formula>$C172="SELECT CLADDING"</formula>
    </cfRule>
  </conditionalFormatting>
  <conditionalFormatting sqref="D175:D176">
    <cfRule type="expression" dxfId="5319" priority="30">
      <formula>($D$14="CANOPY TYPE")</formula>
    </cfRule>
  </conditionalFormatting>
  <conditionalFormatting sqref="D177">
    <cfRule type="expression" dxfId="5318" priority="75">
      <formula>ISNUMBER(SEARCH("UV",D167))</formula>
    </cfRule>
  </conditionalFormatting>
  <conditionalFormatting sqref="D178">
    <cfRule type="expression" dxfId="5317" priority="53">
      <formula>($D$14="CANOPY TYPE")</formula>
    </cfRule>
  </conditionalFormatting>
  <conditionalFormatting sqref="D179">
    <cfRule type="expression" dxfId="5316" priority="58">
      <formula>(ISNUMBER(SEARCH("CMW",D167)))=TRUE</formula>
    </cfRule>
  </conditionalFormatting>
  <conditionalFormatting sqref="E12">
    <cfRule type="expression" dxfId="5315" priority="685">
      <formula>AND((ISNUMBER(SEARCH("I-MUAP",$D$14))),E12&lt;2500)</formula>
    </cfRule>
    <cfRule type="expression" dxfId="5314" priority="686">
      <formula>ISNUMBER(SEARCH("I-MUAP",$D$14))</formula>
    </cfRule>
    <cfRule type="cellIs" dxfId="5313" priority="687" operator="greaterThan">
      <formula>2000</formula>
    </cfRule>
  </conditionalFormatting>
  <conditionalFormatting sqref="E15">
    <cfRule type="expression" dxfId="5312" priority="417">
      <formula>(C15="LIGHT SELECTION")</formula>
    </cfRule>
  </conditionalFormatting>
  <conditionalFormatting sqref="E17:E18">
    <cfRule type="expression" dxfId="5311" priority="628">
      <formula>$C17="SELECT WORKS"</formula>
    </cfRule>
  </conditionalFormatting>
  <conditionalFormatting sqref="E22:E23">
    <cfRule type="expression" dxfId="5310" priority="667">
      <formula>D22="WW PODS"</formula>
    </cfRule>
    <cfRule type="expression" dxfId="5309" priority="668">
      <formula>D22="FILTER TYPE"</formula>
    </cfRule>
    <cfRule type="expression" dxfId="5308" priority="669">
      <formula>D22="KSA"</formula>
    </cfRule>
    <cfRule type="expression" dxfId="5307" priority="690">
      <formula>(D14="CANOPY TYPE")</formula>
    </cfRule>
  </conditionalFormatting>
  <conditionalFormatting sqref="E24">
    <cfRule type="containsText" dxfId="5306" priority="677" operator="containsText" text="LONG ">
      <formula>NOT(ISERROR(SEARCH("LONG ",E24)))</formula>
    </cfRule>
  </conditionalFormatting>
  <conditionalFormatting sqref="E29">
    <cfRule type="expression" dxfId="5305" priority="605">
      <formula>AND((ISNUMBER(SEARCH("I-MUAP",$D$14))),E29&lt;2500)</formula>
    </cfRule>
    <cfRule type="expression" dxfId="5304" priority="606">
      <formula>ISNUMBER(SEARCH("I-MUAP",$D$14))</formula>
    </cfRule>
    <cfRule type="cellIs" dxfId="5303" priority="607" operator="greaterThan">
      <formula>2000</formula>
    </cfRule>
  </conditionalFormatting>
  <conditionalFormatting sqref="E34">
    <cfRule type="expression" dxfId="5302" priority="264">
      <formula>$C34="SELECT WORKS"</formula>
    </cfRule>
  </conditionalFormatting>
  <conditionalFormatting sqref="E39:E40">
    <cfRule type="expression" dxfId="5301" priority="389">
      <formula>D39="WW PODS"</formula>
    </cfRule>
    <cfRule type="expression" dxfId="5300" priority="390">
      <formula>D39="FILTER TYPE"</formula>
    </cfRule>
    <cfRule type="expression" dxfId="5299" priority="391">
      <formula>D39="KSA"</formula>
    </cfRule>
    <cfRule type="expression" dxfId="5298" priority="392">
      <formula>(D31="CANOPY TYPE")</formula>
    </cfRule>
  </conditionalFormatting>
  <conditionalFormatting sqref="E41">
    <cfRule type="containsText" dxfId="5297" priority="598" operator="containsText" text="LONG ">
      <formula>NOT(ISERROR(SEARCH("LONG ",E41)))</formula>
    </cfRule>
  </conditionalFormatting>
  <conditionalFormatting sqref="E46">
    <cfRule type="expression" dxfId="5296" priority="574">
      <formula>AND((ISNUMBER(SEARCH("I-MUAP",$D$14))),E46&lt;2500)</formula>
    </cfRule>
    <cfRule type="expression" dxfId="5295" priority="575">
      <formula>ISNUMBER(SEARCH("I-MUAP",$D$14))</formula>
    </cfRule>
    <cfRule type="cellIs" dxfId="5294" priority="576" operator="greaterThan">
      <formula>2000</formula>
    </cfRule>
  </conditionalFormatting>
  <conditionalFormatting sqref="E49">
    <cfRule type="expression" dxfId="5293" priority="431">
      <formula>(C49="LIGHT SELECTION")</formula>
    </cfRule>
  </conditionalFormatting>
  <conditionalFormatting sqref="E51:E52">
    <cfRule type="expression" dxfId="5292" priority="253">
      <formula>$C51="SELECT WORKS"</formula>
    </cfRule>
  </conditionalFormatting>
  <conditionalFormatting sqref="E56:E57">
    <cfRule type="expression" dxfId="5291" priority="374">
      <formula>D56="WW PODS"</formula>
    </cfRule>
    <cfRule type="expression" dxfId="5290" priority="375">
      <formula>D56="FILTER TYPE"</formula>
    </cfRule>
    <cfRule type="expression" dxfId="5289" priority="376">
      <formula>D56="KSA"</formula>
    </cfRule>
    <cfRule type="expression" dxfId="5288" priority="377">
      <formula>(D48="CANOPY TYPE")</formula>
    </cfRule>
  </conditionalFormatting>
  <conditionalFormatting sqref="E58">
    <cfRule type="containsText" dxfId="5287" priority="567" operator="containsText" text="LONG ">
      <formula>NOT(ISERROR(SEARCH("LONG ",E58)))</formula>
    </cfRule>
  </conditionalFormatting>
  <conditionalFormatting sqref="E63">
    <cfRule type="expression" dxfId="5286" priority="545">
      <formula>AND((ISNUMBER(SEARCH("I-MUAP",$D$14))),E63&lt;2500)</formula>
    </cfRule>
    <cfRule type="expression" dxfId="5285" priority="546">
      <formula>ISNUMBER(SEARCH("I-MUAP",$D$14))</formula>
    </cfRule>
    <cfRule type="cellIs" dxfId="5284" priority="547" operator="greaterThan">
      <formula>2000</formula>
    </cfRule>
  </conditionalFormatting>
  <conditionalFormatting sqref="E68:E69">
    <cfRule type="expression" dxfId="5283" priority="242">
      <formula>$C68="SELECT WORKS"</formula>
    </cfRule>
  </conditionalFormatting>
  <conditionalFormatting sqref="E73:E74">
    <cfRule type="expression" dxfId="5282" priority="359">
      <formula>D73="WW PODS"</formula>
    </cfRule>
    <cfRule type="expression" dxfId="5281" priority="360">
      <formula>D73="FILTER TYPE"</formula>
    </cfRule>
    <cfRule type="expression" dxfId="5280" priority="361">
      <formula>D73="KSA"</formula>
    </cfRule>
    <cfRule type="expression" dxfId="5279" priority="362">
      <formula>(D65="CANOPY TYPE")</formula>
    </cfRule>
  </conditionalFormatting>
  <conditionalFormatting sqref="E75">
    <cfRule type="containsText" dxfId="5278" priority="538" operator="containsText" text="LONG ">
      <formula>NOT(ISERROR(SEARCH("LONG ",E75)))</formula>
    </cfRule>
  </conditionalFormatting>
  <conditionalFormatting sqref="E80">
    <cfRule type="expression" dxfId="5277" priority="515">
      <formula>AND((ISNUMBER(SEARCH("I-MUAP",$D$14))),E80&lt;2500)</formula>
    </cfRule>
    <cfRule type="expression" dxfId="5276" priority="516">
      <formula>ISNUMBER(SEARCH("I-MUAP",$D$14))</formula>
    </cfRule>
    <cfRule type="cellIs" dxfId="5275" priority="517" operator="greaterThan">
      <formula>2000</formula>
    </cfRule>
  </conditionalFormatting>
  <conditionalFormatting sqref="E85:E86">
    <cfRule type="expression" dxfId="5274" priority="231">
      <formula>$C85="SELECT WORKS"</formula>
    </cfRule>
  </conditionalFormatting>
  <conditionalFormatting sqref="E90:E91">
    <cfRule type="expression" dxfId="5273" priority="344">
      <formula>D90="WW PODS"</formula>
    </cfRule>
    <cfRule type="expression" dxfId="5272" priority="345">
      <formula>D90="FILTER TYPE"</formula>
    </cfRule>
    <cfRule type="expression" dxfId="5271" priority="346">
      <formula>D90="KSA"</formula>
    </cfRule>
    <cfRule type="expression" dxfId="5270" priority="347">
      <formula>(D82="CANOPY TYPE")</formula>
    </cfRule>
  </conditionalFormatting>
  <conditionalFormatting sqref="E92">
    <cfRule type="containsText" dxfId="5269" priority="508" operator="containsText" text="LONG ">
      <formula>NOT(ISERROR(SEARCH("LONG ",E92)))</formula>
    </cfRule>
  </conditionalFormatting>
  <conditionalFormatting sqref="E97">
    <cfRule type="expression" dxfId="5268" priority="484">
      <formula>AND((ISNUMBER(SEARCH("I-MUAP",$D$14))),E97&lt;2500)</formula>
    </cfRule>
    <cfRule type="expression" dxfId="5267" priority="485">
      <formula>ISNUMBER(SEARCH("I-MUAP",$D$14))</formula>
    </cfRule>
    <cfRule type="cellIs" dxfId="5266" priority="486" operator="greaterThan">
      <formula>2000</formula>
    </cfRule>
  </conditionalFormatting>
  <conditionalFormatting sqref="E102:E103">
    <cfRule type="expression" dxfId="5265" priority="220">
      <formula>$C102="SELECT WORKS"</formula>
    </cfRule>
  </conditionalFormatting>
  <conditionalFormatting sqref="E107:E108">
    <cfRule type="expression" dxfId="5264" priority="329">
      <formula>D107="WW PODS"</formula>
    </cfRule>
    <cfRule type="expression" dxfId="5263" priority="330">
      <formula>D107="FILTER TYPE"</formula>
    </cfRule>
    <cfRule type="expression" dxfId="5262" priority="331">
      <formula>D107="KSA"</formula>
    </cfRule>
    <cfRule type="expression" dxfId="5261" priority="332">
      <formula>(D99="CANOPY TYPE")</formula>
    </cfRule>
  </conditionalFormatting>
  <conditionalFormatting sqref="E109">
    <cfRule type="containsText" dxfId="5260" priority="477" operator="containsText" text="LONG ">
      <formula>NOT(ISERROR(SEARCH("LONG ",E109)))</formula>
    </cfRule>
  </conditionalFormatting>
  <conditionalFormatting sqref="E114">
    <cfRule type="expression" dxfId="5259" priority="316">
      <formula>AND((ISNUMBER(SEARCH("I-MUAP",$D$14))),E114&lt;2500)</formula>
    </cfRule>
    <cfRule type="expression" dxfId="5258" priority="317">
      <formula>ISNUMBER(SEARCH("I-MUAP",$D$14))</formula>
    </cfRule>
    <cfRule type="cellIs" dxfId="5257" priority="318" operator="greaterThan">
      <formula>2000</formula>
    </cfRule>
  </conditionalFormatting>
  <conditionalFormatting sqref="E119:E120">
    <cfRule type="expression" dxfId="5256" priority="209">
      <formula>$C119="SELECT WORKS"</formula>
    </cfRule>
  </conditionalFormatting>
  <conditionalFormatting sqref="E124:E125">
    <cfRule type="expression" dxfId="5255" priority="276">
      <formula>D124="WW PODS"</formula>
    </cfRule>
    <cfRule type="expression" dxfId="5254" priority="277">
      <formula>D124="FILTER TYPE"</formula>
    </cfRule>
    <cfRule type="expression" dxfId="5253" priority="278">
      <formula>D124="KSA"</formula>
    </cfRule>
    <cfRule type="expression" dxfId="5252" priority="279">
      <formula>(D116="CANOPY TYPE")</formula>
    </cfRule>
  </conditionalFormatting>
  <conditionalFormatting sqref="E126">
    <cfRule type="containsText" dxfId="5251" priority="309" operator="containsText" text="LONG ">
      <formula>NOT(ISERROR(SEARCH("LONG ",E126)))</formula>
    </cfRule>
  </conditionalFormatting>
  <conditionalFormatting sqref="E131">
    <cfRule type="expression" dxfId="5250" priority="179">
      <formula>AND((ISNUMBER(SEARCH("I-MUAP",$D$14))),E131&lt;2500)</formula>
    </cfRule>
    <cfRule type="expression" dxfId="5249" priority="180">
      <formula>ISNUMBER(SEARCH("I-MUAP",$D$14))</formula>
    </cfRule>
    <cfRule type="cellIs" dxfId="5248" priority="181" operator="greaterThan">
      <formula>2000</formula>
    </cfRule>
  </conditionalFormatting>
  <conditionalFormatting sqref="E136:E137">
    <cfRule type="expression" dxfId="5247" priority="22">
      <formula>$C136="SELECT WORKS"</formula>
    </cfRule>
  </conditionalFormatting>
  <conditionalFormatting sqref="E141:E142">
    <cfRule type="expression" dxfId="5246" priority="100">
      <formula>D141="WW PODS"</formula>
    </cfRule>
    <cfRule type="expression" dxfId="5245" priority="101">
      <formula>D141="FILTER TYPE"</formula>
    </cfRule>
    <cfRule type="expression" dxfId="5244" priority="102">
      <formula>D141="KSA"</formula>
    </cfRule>
    <cfRule type="expression" dxfId="5243" priority="103">
      <formula>(D133="CANOPY TYPE")</formula>
    </cfRule>
  </conditionalFormatting>
  <conditionalFormatting sqref="E143">
    <cfRule type="containsText" dxfId="5242" priority="172" operator="containsText" text="LONG ">
      <formula>NOT(ISERROR(SEARCH("LONG ",E143)))</formula>
    </cfRule>
  </conditionalFormatting>
  <conditionalFormatting sqref="E148">
    <cfRule type="expression" dxfId="5241" priority="148">
      <formula>AND((ISNUMBER(SEARCH("I-MUAP",$D$14))),E148&lt;2500)</formula>
    </cfRule>
    <cfRule type="expression" dxfId="5240" priority="149">
      <formula>ISNUMBER(SEARCH("I-MUAP",$D$14))</formula>
    </cfRule>
    <cfRule type="cellIs" dxfId="5239" priority="150" operator="greaterThan">
      <formula>2000</formula>
    </cfRule>
  </conditionalFormatting>
  <conditionalFormatting sqref="E153:E154">
    <cfRule type="expression" dxfId="5238" priority="11">
      <formula>$C153="SELECT WORKS"</formula>
    </cfRule>
  </conditionalFormatting>
  <conditionalFormatting sqref="E158:E159">
    <cfRule type="expression" dxfId="5237" priority="85">
      <formula>D158="WW PODS"</formula>
    </cfRule>
    <cfRule type="expression" dxfId="5236" priority="86">
      <formula>D158="FILTER TYPE"</formula>
    </cfRule>
    <cfRule type="expression" dxfId="5235" priority="87">
      <formula>D158="KSA"</formula>
    </cfRule>
    <cfRule type="expression" dxfId="5234" priority="88">
      <formula>(D150="CANOPY TYPE")</formula>
    </cfRule>
  </conditionalFormatting>
  <conditionalFormatting sqref="E160">
    <cfRule type="containsText" dxfId="5233" priority="141" operator="containsText" text="LONG ">
      <formula>NOT(ISERROR(SEARCH("LONG ",E160)))</formula>
    </cfRule>
  </conditionalFormatting>
  <conditionalFormatting sqref="E165">
    <cfRule type="expression" dxfId="5232" priority="72">
      <formula>AND((ISNUMBER(SEARCH("I-MUAP",$D$14))),E165&lt;2500)</formula>
    </cfRule>
    <cfRule type="expression" dxfId="5231" priority="73">
      <formula>ISNUMBER(SEARCH("I-MUAP",$D$14))</formula>
    </cfRule>
    <cfRule type="cellIs" dxfId="5230" priority="74" operator="greaterThan">
      <formula>2000</formula>
    </cfRule>
  </conditionalFormatting>
  <conditionalFormatting sqref="E170:E171">
    <cfRule type="expression" dxfId="5229" priority="6">
      <formula>$C170="SELECT WORKS"</formula>
    </cfRule>
  </conditionalFormatting>
  <conditionalFormatting sqref="E175:E176">
    <cfRule type="expression" dxfId="5228" priority="32">
      <formula>D175="WW PODS"</formula>
    </cfRule>
    <cfRule type="expression" dxfId="5227" priority="33">
      <formula>D175="FILTER TYPE"</formula>
    </cfRule>
    <cfRule type="expression" dxfId="5226" priority="34">
      <formula>D175="KSA"</formula>
    </cfRule>
    <cfRule type="expression" dxfId="5225" priority="35">
      <formula>(D167="CANOPY TYPE")</formula>
    </cfRule>
  </conditionalFormatting>
  <conditionalFormatting sqref="E177">
    <cfRule type="containsText" dxfId="5224" priority="65" operator="containsText" text="LONG ">
      <formula>NOT(ISERROR(SEARCH("LONG ",E177)))</formula>
    </cfRule>
  </conditionalFormatting>
  <conditionalFormatting sqref="E12:F12">
    <cfRule type="cellIs" dxfId="5223" priority="681" operator="lessThan">
      <formula>1000</formula>
    </cfRule>
  </conditionalFormatting>
  <conditionalFormatting sqref="E14:F14">
    <cfRule type="cellIs" dxfId="5222" priority="678" operator="lessThan">
      <formula>1000</formula>
    </cfRule>
  </conditionalFormatting>
  <conditionalFormatting sqref="E25:F27">
    <cfRule type="expression" dxfId="5221" priority="615">
      <formula>($D$14="CANOPY TYPE")</formula>
    </cfRule>
  </conditionalFormatting>
  <conditionalFormatting sqref="E29:F29">
    <cfRule type="cellIs" dxfId="5220" priority="602" operator="lessThan">
      <formula>1000</formula>
    </cfRule>
  </conditionalFormatting>
  <conditionalFormatting sqref="E31:F31">
    <cfRule type="cellIs" dxfId="5219" priority="599" operator="lessThan">
      <formula>1000</formula>
    </cfRule>
  </conditionalFormatting>
  <conditionalFormatting sqref="E32:F32">
    <cfRule type="expression" dxfId="5218" priority="455">
      <formula>(C32="LIGHT SELECTION")</formula>
    </cfRule>
  </conditionalFormatting>
  <conditionalFormatting sqref="E42:F44">
    <cfRule type="expression" dxfId="5217" priority="584">
      <formula>($D$14="CANOPY TYPE")</formula>
    </cfRule>
  </conditionalFormatting>
  <conditionalFormatting sqref="E46:F46">
    <cfRule type="cellIs" dxfId="5216" priority="571" operator="lessThan">
      <formula>1000</formula>
    </cfRule>
  </conditionalFormatting>
  <conditionalFormatting sqref="E48:F48">
    <cfRule type="cellIs" dxfId="5215" priority="568" operator="lessThan">
      <formula>1000</formula>
    </cfRule>
  </conditionalFormatting>
  <conditionalFormatting sqref="E59:F61">
    <cfRule type="expression" dxfId="5214" priority="555">
      <formula>($D$14="CANOPY TYPE")</formula>
    </cfRule>
  </conditionalFormatting>
  <conditionalFormatting sqref="E63:F63">
    <cfRule type="cellIs" dxfId="5213" priority="542" operator="lessThan">
      <formula>1000</formula>
    </cfRule>
  </conditionalFormatting>
  <conditionalFormatting sqref="E65:F65">
    <cfRule type="cellIs" dxfId="5212" priority="539" operator="lessThan">
      <formula>1000</formula>
    </cfRule>
  </conditionalFormatting>
  <conditionalFormatting sqref="E66:F66">
    <cfRule type="expression" dxfId="5211" priority="448">
      <formula>(C66="LIGHT SELECTION")</formula>
    </cfRule>
  </conditionalFormatting>
  <conditionalFormatting sqref="E76:F78">
    <cfRule type="expression" dxfId="5210" priority="525">
      <formula>($D$14="CANOPY TYPE")</formula>
    </cfRule>
  </conditionalFormatting>
  <conditionalFormatting sqref="E80:F80">
    <cfRule type="cellIs" dxfId="5209" priority="512" operator="lessThan">
      <formula>1000</formula>
    </cfRule>
  </conditionalFormatting>
  <conditionalFormatting sqref="E82:F82">
    <cfRule type="cellIs" dxfId="5208" priority="509" operator="lessThan">
      <formula>1000</formula>
    </cfRule>
  </conditionalFormatting>
  <conditionalFormatting sqref="E83:F83">
    <cfRule type="expression" dxfId="5207" priority="444">
      <formula>(C83="LIGHT SELECTION")</formula>
    </cfRule>
  </conditionalFormatting>
  <conditionalFormatting sqref="E93:F95">
    <cfRule type="expression" dxfId="5206" priority="494">
      <formula>($D$14="CANOPY TYPE")</formula>
    </cfRule>
  </conditionalFormatting>
  <conditionalFormatting sqref="E97:F97">
    <cfRule type="cellIs" dxfId="5205" priority="481" operator="lessThan">
      <formula>1000</formula>
    </cfRule>
  </conditionalFormatting>
  <conditionalFormatting sqref="E99:F99">
    <cfRule type="cellIs" dxfId="5204" priority="478" operator="lessThan">
      <formula>1000</formula>
    </cfRule>
  </conditionalFormatting>
  <conditionalFormatting sqref="E100:F100">
    <cfRule type="expression" dxfId="5203" priority="440">
      <formula>(C100="LIGHT SELECTION")</formula>
    </cfRule>
  </conditionalFormatting>
  <conditionalFormatting sqref="E110:F112 E127:F129 E161:F163 E178:F180">
    <cfRule type="expression" dxfId="5202" priority="464">
      <formula>($D$14="CANOPY TYPE")</formula>
    </cfRule>
  </conditionalFormatting>
  <conditionalFormatting sqref="E114:F114">
    <cfRule type="cellIs" dxfId="5201" priority="313" operator="lessThan">
      <formula>1000</formula>
    </cfRule>
  </conditionalFormatting>
  <conditionalFormatting sqref="E116:F116">
    <cfRule type="cellIs" dxfId="5200" priority="310" operator="lessThan">
      <formula>1000</formula>
    </cfRule>
  </conditionalFormatting>
  <conditionalFormatting sqref="E117:F117">
    <cfRule type="expression" dxfId="5199" priority="294">
      <formula>(C117="LIGHT SELECTION")</formula>
    </cfRule>
  </conditionalFormatting>
  <conditionalFormatting sqref="E131:F131">
    <cfRule type="cellIs" dxfId="5198" priority="176" operator="lessThan">
      <formula>1000</formula>
    </cfRule>
  </conditionalFormatting>
  <conditionalFormatting sqref="E133:F133">
    <cfRule type="cellIs" dxfId="5197" priority="173" operator="lessThan">
      <formula>1000</formula>
    </cfRule>
  </conditionalFormatting>
  <conditionalFormatting sqref="E134:F134">
    <cfRule type="expression" dxfId="5196" priority="125">
      <formula>(C134="LIGHT SELECTION")</formula>
    </cfRule>
  </conditionalFormatting>
  <conditionalFormatting sqref="E144:F146">
    <cfRule type="expression" dxfId="5195" priority="158">
      <formula>($D$14="CANOPY TYPE")</formula>
    </cfRule>
  </conditionalFormatting>
  <conditionalFormatting sqref="E148:F148">
    <cfRule type="cellIs" dxfId="5194" priority="145" operator="lessThan">
      <formula>1000</formula>
    </cfRule>
  </conditionalFormatting>
  <conditionalFormatting sqref="E150:F150">
    <cfRule type="cellIs" dxfId="5193" priority="142" operator="lessThan">
      <formula>1000</formula>
    </cfRule>
  </conditionalFormatting>
  <conditionalFormatting sqref="E151:F151">
    <cfRule type="expression" dxfId="5192" priority="121">
      <formula>(C151="LIGHT SELECTION")</formula>
    </cfRule>
  </conditionalFormatting>
  <conditionalFormatting sqref="E165:F165">
    <cfRule type="cellIs" dxfId="5191" priority="69" operator="lessThan">
      <formula>1000</formula>
    </cfRule>
  </conditionalFormatting>
  <conditionalFormatting sqref="E167:F167">
    <cfRule type="cellIs" dxfId="5190" priority="66" operator="lessThan">
      <formula>1000</formula>
    </cfRule>
  </conditionalFormatting>
  <conditionalFormatting sqref="E168:F168">
    <cfRule type="expression" dxfId="5189" priority="50">
      <formula>(C168="LIGHT SELECTION")</formula>
    </cfRule>
  </conditionalFormatting>
  <conditionalFormatting sqref="F12">
    <cfRule type="cellIs" dxfId="5188" priority="682" operator="greaterThan">
      <formula>3001</formula>
    </cfRule>
  </conditionalFormatting>
  <conditionalFormatting sqref="F15">
    <cfRule type="expression" dxfId="5187" priority="457">
      <formula>(C15="LED STRIP")</formula>
    </cfRule>
    <cfRule type="expression" dxfId="5186" priority="670">
      <formula>(C15="LIGHT SELECTION")</formula>
    </cfRule>
    <cfRule type="expression" dxfId="5185" priority="672">
      <formula>(C15="FLO")</formula>
    </cfRule>
    <cfRule type="expression" dxfId="5184" priority="704">
      <formula>(D49="LIGHT SELECTION")</formula>
    </cfRule>
  </conditionalFormatting>
  <conditionalFormatting sqref="F22:F23">
    <cfRule type="expression" dxfId="5183" priority="695">
      <formula>D22="NF"</formula>
    </cfRule>
    <cfRule type="expression" dxfId="5182" priority="696">
      <formula>D22="WW PODS"</formula>
    </cfRule>
    <cfRule type="expression" dxfId="5181" priority="697">
      <formula>D22="GRILLE"</formula>
    </cfRule>
    <cfRule type="expression" dxfId="5180" priority="698">
      <formula>D22="CENTREX"</formula>
    </cfRule>
    <cfRule type="expression" dxfId="5179" priority="699" stopIfTrue="1">
      <formula>D14="canopy type"</formula>
    </cfRule>
    <cfRule type="expression" dxfId="5178" priority="700">
      <formula>(((I14*3600)/(C22*I11))^2+20)&gt;300</formula>
    </cfRule>
    <cfRule type="expression" dxfId="5177" priority="701" stopIfTrue="1">
      <formula>(ISNUMBER(SEARCH("UV",D14)))</formula>
    </cfRule>
    <cfRule type="expression" dxfId="5176" priority="702">
      <formula>(((I14*3600)/(C22*I11))^2+20)&gt;180</formula>
    </cfRule>
    <cfRule type="expression" dxfId="5175" priority="703">
      <formula>D22="KSA"</formula>
    </cfRule>
  </conditionalFormatting>
  <conditionalFormatting sqref="F24">
    <cfRule type="cellIs" dxfId="5174" priority="676" operator="lessThan">
      <formula>2100</formula>
    </cfRule>
  </conditionalFormatting>
  <conditionalFormatting sqref="F29">
    <cfRule type="cellIs" dxfId="5173" priority="603" operator="greaterThan">
      <formula>3001</formula>
    </cfRule>
  </conditionalFormatting>
  <conditionalFormatting sqref="F32">
    <cfRule type="expression" dxfId="5172" priority="453">
      <formula>(C32="LED STRIP")</formula>
    </cfRule>
    <cfRule type="expression" dxfId="5171" priority="454">
      <formula>(C32="LIGHT SELECTION")</formula>
    </cfRule>
    <cfRule type="expression" dxfId="5170" priority="456">
      <formula>(C32="FLO")</formula>
    </cfRule>
  </conditionalFormatting>
  <conditionalFormatting sqref="F39:F40">
    <cfRule type="expression" dxfId="5169" priority="393">
      <formula>D39="NF"</formula>
    </cfRule>
    <cfRule type="expression" dxfId="5168" priority="394">
      <formula>D39="WW PODS"</formula>
    </cfRule>
    <cfRule type="expression" dxfId="5167" priority="395">
      <formula>D39="GRILLE"</formula>
    </cfRule>
    <cfRule type="expression" dxfId="5166" priority="396">
      <formula>D39="CENTREX"</formula>
    </cfRule>
    <cfRule type="expression" dxfId="5165" priority="397" stopIfTrue="1">
      <formula>D31="canopy type"</formula>
    </cfRule>
    <cfRule type="expression" dxfId="5164" priority="398">
      <formula>(((I31*3600)/(C39*I28))^2+20)&gt;300</formula>
    </cfRule>
    <cfRule type="expression" dxfId="5163" priority="399" stopIfTrue="1">
      <formula>(ISNUMBER(SEARCH("UV",D31)))</formula>
    </cfRule>
    <cfRule type="expression" dxfId="5162" priority="400">
      <formula>(((I31*3600)/(C39*I28))^2+20)&gt;180</formula>
    </cfRule>
    <cfRule type="expression" dxfId="5161" priority="401">
      <formula>D39="KSA"</formula>
    </cfRule>
  </conditionalFormatting>
  <conditionalFormatting sqref="F41">
    <cfRule type="cellIs" dxfId="5160" priority="597" operator="lessThan">
      <formula>2100</formula>
    </cfRule>
  </conditionalFormatting>
  <conditionalFormatting sqref="F46">
    <cfRule type="cellIs" dxfId="5159" priority="572" operator="greaterThan">
      <formula>3001</formula>
    </cfRule>
  </conditionalFormatting>
  <conditionalFormatting sqref="F49">
    <cfRule type="expression" dxfId="5158" priority="450">
      <formula>(C49="LED STRIP")</formula>
    </cfRule>
    <cfRule type="expression" dxfId="5157" priority="451">
      <formula>(C49="LIGHT SELECTION")</formula>
    </cfRule>
    <cfRule type="expression" dxfId="5156" priority="452">
      <formula>(C49="FLO")</formula>
    </cfRule>
    <cfRule type="expression" dxfId="5155" priority="705">
      <formula>(#REF!="LIGHT SELECTION")</formula>
    </cfRule>
  </conditionalFormatting>
  <conditionalFormatting sqref="F56:F57">
    <cfRule type="expression" dxfId="5154" priority="378">
      <formula>D56="NF"</formula>
    </cfRule>
    <cfRule type="expression" dxfId="5153" priority="379">
      <formula>D56="WW PODS"</formula>
    </cfRule>
    <cfRule type="expression" dxfId="5152" priority="380">
      <formula>D56="GRILLE"</formula>
    </cfRule>
    <cfRule type="expression" dxfId="5151" priority="381">
      <formula>D56="CENTREX"</formula>
    </cfRule>
    <cfRule type="expression" dxfId="5150" priority="382" stopIfTrue="1">
      <formula>D48="canopy type"</formula>
    </cfRule>
    <cfRule type="expression" dxfId="5149" priority="383">
      <formula>(((I48*3600)/(C56*I45))^2+20)&gt;300</formula>
    </cfRule>
    <cfRule type="expression" dxfId="5148" priority="384" stopIfTrue="1">
      <formula>(ISNUMBER(SEARCH("UV",D48)))</formula>
    </cfRule>
    <cfRule type="expression" dxfId="5147" priority="385">
      <formula>(((I48*3600)/(C56*I45))^2+20)&gt;180</formula>
    </cfRule>
    <cfRule type="expression" dxfId="5146" priority="386">
      <formula>D56="KSA"</formula>
    </cfRule>
  </conditionalFormatting>
  <conditionalFormatting sqref="F58">
    <cfRule type="cellIs" dxfId="5145" priority="566" operator="lessThan">
      <formula>2100</formula>
    </cfRule>
  </conditionalFormatting>
  <conditionalFormatting sqref="F63">
    <cfRule type="cellIs" dxfId="5144" priority="543" operator="greaterThan">
      <formula>3001</formula>
    </cfRule>
  </conditionalFormatting>
  <conditionalFormatting sqref="F66">
    <cfRule type="expression" dxfId="5143" priority="446">
      <formula>(C66="LED STRIP")</formula>
    </cfRule>
    <cfRule type="expression" dxfId="5142" priority="447">
      <formula>(C66="LIGHT SELECTION")</formula>
    </cfRule>
    <cfRule type="expression" dxfId="5141" priority="449">
      <formula>(C66="FLO")</formula>
    </cfRule>
  </conditionalFormatting>
  <conditionalFormatting sqref="F73:F74">
    <cfRule type="expression" dxfId="5140" priority="363">
      <formula>D73="NF"</formula>
    </cfRule>
    <cfRule type="expression" dxfId="5139" priority="364">
      <formula>D73="WW PODS"</formula>
    </cfRule>
    <cfRule type="expression" dxfId="5138" priority="365">
      <formula>D73="GRILLE"</formula>
    </cfRule>
    <cfRule type="expression" dxfId="5137" priority="366">
      <formula>D73="CENTREX"</formula>
    </cfRule>
    <cfRule type="expression" dxfId="5136" priority="367" stopIfTrue="1">
      <formula>D65="canopy type"</formula>
    </cfRule>
    <cfRule type="expression" dxfId="5135" priority="368">
      <formula>(((I65*3600)/(C73*I62))^2+20)&gt;300</formula>
    </cfRule>
    <cfRule type="expression" dxfId="5134" priority="369" stopIfTrue="1">
      <formula>(ISNUMBER(SEARCH("UV",D65)))</formula>
    </cfRule>
    <cfRule type="expression" dxfId="5133" priority="370">
      <formula>(((I65*3600)/(C73*I62))^2+20)&gt;180</formula>
    </cfRule>
    <cfRule type="expression" dxfId="5132" priority="371">
      <formula>D73="KSA"</formula>
    </cfRule>
  </conditionalFormatting>
  <conditionalFormatting sqref="F75">
    <cfRule type="cellIs" dxfId="5131" priority="537" operator="lessThan">
      <formula>2100</formula>
    </cfRule>
  </conditionalFormatting>
  <conditionalFormatting sqref="F80">
    <cfRule type="cellIs" dxfId="5130" priority="513" operator="greaterThan">
      <formula>3001</formula>
    </cfRule>
  </conditionalFormatting>
  <conditionalFormatting sqref="F83">
    <cfRule type="expression" dxfId="5129" priority="442">
      <formula>(C83="LED STRIP")</formula>
    </cfRule>
    <cfRule type="expression" dxfId="5128" priority="443">
      <formula>(C83="LIGHT SELECTION")</formula>
    </cfRule>
    <cfRule type="expression" dxfId="5127" priority="445">
      <formula>(C83="FLO")</formula>
    </cfRule>
  </conditionalFormatting>
  <conditionalFormatting sqref="F90:F91">
    <cfRule type="expression" dxfId="5126" priority="348">
      <formula>D90="NF"</formula>
    </cfRule>
    <cfRule type="expression" dxfId="5125" priority="349">
      <formula>D90="WW PODS"</formula>
    </cfRule>
    <cfRule type="expression" dxfId="5124" priority="350">
      <formula>D90="GRILLE"</formula>
    </cfRule>
    <cfRule type="expression" dxfId="5123" priority="351">
      <formula>D90="CENTREX"</formula>
    </cfRule>
    <cfRule type="expression" dxfId="5122" priority="352" stopIfTrue="1">
      <formula>D82="canopy type"</formula>
    </cfRule>
    <cfRule type="expression" dxfId="5121" priority="353">
      <formula>(((I82*3600)/(C90*I79))^2+20)&gt;300</formula>
    </cfRule>
    <cfRule type="expression" dxfId="5120" priority="354" stopIfTrue="1">
      <formula>(ISNUMBER(SEARCH("UV",D82)))</formula>
    </cfRule>
    <cfRule type="expression" dxfId="5119" priority="355">
      <formula>(((I82*3600)/(C90*I79))^2+20)&gt;180</formula>
    </cfRule>
    <cfRule type="expression" dxfId="5118" priority="356">
      <formula>D90="KSA"</formula>
    </cfRule>
  </conditionalFormatting>
  <conditionalFormatting sqref="F92">
    <cfRule type="cellIs" dxfId="5117" priority="507" operator="lessThan">
      <formula>2100</formula>
    </cfRule>
  </conditionalFormatting>
  <conditionalFormatting sqref="F97">
    <cfRule type="cellIs" dxfId="5116" priority="482" operator="greaterThan">
      <formula>3001</formula>
    </cfRule>
  </conditionalFormatting>
  <conditionalFormatting sqref="F100">
    <cfRule type="expression" dxfId="5115" priority="438">
      <formula>(C100="LED STRIP")</formula>
    </cfRule>
    <cfRule type="expression" dxfId="5114" priority="439">
      <formula>(C100="LIGHT SELECTION")</formula>
    </cfRule>
    <cfRule type="expression" dxfId="5113" priority="441">
      <formula>(C100="FLO")</formula>
    </cfRule>
  </conditionalFormatting>
  <conditionalFormatting sqref="F107:F108">
    <cfRule type="expression" dxfId="5112" priority="333">
      <formula>D107="NF"</formula>
    </cfRule>
    <cfRule type="expression" dxfId="5111" priority="334">
      <formula>D107="WW PODS"</formula>
    </cfRule>
    <cfRule type="expression" dxfId="5110" priority="335">
      <formula>D107="GRILLE"</formula>
    </cfRule>
    <cfRule type="expression" dxfId="5109" priority="336">
      <formula>D107="CENTREX"</formula>
    </cfRule>
    <cfRule type="expression" dxfId="5108" priority="337" stopIfTrue="1">
      <formula>D99="canopy type"</formula>
    </cfRule>
    <cfRule type="expression" dxfId="5107" priority="338">
      <formula>(((I99*3600)/(C107*I96))^2+20)&gt;300</formula>
    </cfRule>
    <cfRule type="expression" dxfId="5106" priority="339" stopIfTrue="1">
      <formula>(ISNUMBER(SEARCH("UV",D99)))</formula>
    </cfRule>
    <cfRule type="expression" dxfId="5105" priority="340">
      <formula>(((I99*3600)/(C107*I96))^2+20)&gt;180</formula>
    </cfRule>
    <cfRule type="expression" dxfId="5104" priority="341">
      <formula>D107="KSA"</formula>
    </cfRule>
  </conditionalFormatting>
  <conditionalFormatting sqref="F109">
    <cfRule type="cellIs" dxfId="5103" priority="476" operator="lessThan">
      <formula>2100</formula>
    </cfRule>
  </conditionalFormatting>
  <conditionalFormatting sqref="F114">
    <cfRule type="cellIs" dxfId="5102" priority="314" operator="greaterThan">
      <formula>3001</formula>
    </cfRule>
  </conditionalFormatting>
  <conditionalFormatting sqref="F117">
    <cfRule type="expression" dxfId="5101" priority="292">
      <formula>(C117="LED STRIP")</formula>
    </cfRule>
    <cfRule type="expression" dxfId="5100" priority="293">
      <formula>(C117="LIGHT SELECTION")</formula>
    </cfRule>
    <cfRule type="expression" dxfId="5099" priority="295">
      <formula>(C117="FLO")</formula>
    </cfRule>
  </conditionalFormatting>
  <conditionalFormatting sqref="F124:F125">
    <cfRule type="expression" dxfId="5098" priority="280">
      <formula>D124="NF"</formula>
    </cfRule>
    <cfRule type="expression" dxfId="5097" priority="281">
      <formula>D124="WW PODS"</formula>
    </cfRule>
    <cfRule type="expression" dxfId="5096" priority="282">
      <formula>D124="GRILLE"</formula>
    </cfRule>
    <cfRule type="expression" dxfId="5095" priority="283">
      <formula>D124="CENTREX"</formula>
    </cfRule>
    <cfRule type="expression" dxfId="5094" priority="284" stopIfTrue="1">
      <formula>D116="canopy type"</formula>
    </cfRule>
    <cfRule type="expression" dxfId="5093" priority="285">
      <formula>(((I116*3600)/(C124*I113))^2+20)&gt;300</formula>
    </cfRule>
    <cfRule type="expression" dxfId="5092" priority="286" stopIfTrue="1">
      <formula>(ISNUMBER(SEARCH("UV",D116)))</formula>
    </cfRule>
    <cfRule type="expression" dxfId="5091" priority="287">
      <formula>(((I116*3600)/(C124*I113))^2+20)&gt;180</formula>
    </cfRule>
    <cfRule type="expression" dxfId="5090" priority="288">
      <formula>D124="KSA"</formula>
    </cfRule>
  </conditionalFormatting>
  <conditionalFormatting sqref="F126">
    <cfRule type="cellIs" dxfId="5089" priority="308" operator="lessThan">
      <formula>2100</formula>
    </cfRule>
  </conditionalFormatting>
  <conditionalFormatting sqref="F131">
    <cfRule type="cellIs" dxfId="5088" priority="177" operator="greaterThan">
      <formula>3001</formula>
    </cfRule>
  </conditionalFormatting>
  <conditionalFormatting sqref="F134">
    <cfRule type="expression" dxfId="5087" priority="123">
      <formula>(C134="LED STRIP")</formula>
    </cfRule>
    <cfRule type="expression" dxfId="5086" priority="124">
      <formula>(C134="LIGHT SELECTION")</formula>
    </cfRule>
    <cfRule type="expression" dxfId="5085" priority="126">
      <formula>(C134="FLO")</formula>
    </cfRule>
  </conditionalFormatting>
  <conditionalFormatting sqref="F141:F142">
    <cfRule type="expression" dxfId="5084" priority="104">
      <formula>D141="NF"</formula>
    </cfRule>
    <cfRule type="expression" dxfId="5083" priority="105">
      <formula>D141="WW PODS"</formula>
    </cfRule>
    <cfRule type="expression" dxfId="5082" priority="106">
      <formula>D141="GRILLE"</formula>
    </cfRule>
    <cfRule type="expression" dxfId="5081" priority="107">
      <formula>D141="CENTREX"</formula>
    </cfRule>
    <cfRule type="expression" dxfId="5080" priority="108" stopIfTrue="1">
      <formula>D133="canopy type"</formula>
    </cfRule>
    <cfRule type="expression" dxfId="5079" priority="109">
      <formula>(((I133*3600)/(C141*I130))^2+20)&gt;300</formula>
    </cfRule>
    <cfRule type="expression" dxfId="5078" priority="110" stopIfTrue="1">
      <formula>(ISNUMBER(SEARCH("UV",D133)))</formula>
    </cfRule>
    <cfRule type="expression" dxfId="5077" priority="111">
      <formula>(((I133*3600)/(C141*I130))^2+20)&gt;180</formula>
    </cfRule>
    <cfRule type="expression" dxfId="5076" priority="112">
      <formula>D141="KSA"</formula>
    </cfRule>
  </conditionalFormatting>
  <conditionalFormatting sqref="F143">
    <cfRule type="cellIs" dxfId="5075" priority="171" operator="lessThan">
      <formula>2100</formula>
    </cfRule>
  </conditionalFormatting>
  <conditionalFormatting sqref="F148">
    <cfRule type="cellIs" dxfId="5074" priority="146" operator="greaterThan">
      <formula>3001</formula>
    </cfRule>
  </conditionalFormatting>
  <conditionalFormatting sqref="F151">
    <cfRule type="expression" dxfId="5073" priority="119">
      <formula>(C151="LED STRIP")</formula>
    </cfRule>
    <cfRule type="expression" dxfId="5072" priority="120">
      <formula>(C151="LIGHT SELECTION")</formula>
    </cfRule>
    <cfRule type="expression" dxfId="5071" priority="122">
      <formula>(C151="FLO")</formula>
    </cfRule>
  </conditionalFormatting>
  <conditionalFormatting sqref="F158:F159">
    <cfRule type="expression" dxfId="5070" priority="89">
      <formula>D158="NF"</formula>
    </cfRule>
    <cfRule type="expression" dxfId="5069" priority="90">
      <formula>D158="WW PODS"</formula>
    </cfRule>
    <cfRule type="expression" dxfId="5068" priority="91">
      <formula>D158="GRILLE"</formula>
    </cfRule>
    <cfRule type="expression" dxfId="5067" priority="92">
      <formula>D158="CENTREX"</formula>
    </cfRule>
    <cfRule type="expression" dxfId="5066" priority="93" stopIfTrue="1">
      <formula>D150="canopy type"</formula>
    </cfRule>
    <cfRule type="expression" dxfId="5065" priority="94">
      <formula>(((I150*3600)/(C158*I147))^2+20)&gt;300</formula>
    </cfRule>
    <cfRule type="expression" dxfId="5064" priority="95" stopIfTrue="1">
      <formula>(ISNUMBER(SEARCH("UV",D150)))</formula>
    </cfRule>
    <cfRule type="expression" dxfId="5063" priority="96">
      <formula>(((I150*3600)/(C158*I147))^2+20)&gt;180</formula>
    </cfRule>
    <cfRule type="expression" dxfId="5062" priority="97">
      <formula>D158="KSA"</formula>
    </cfRule>
  </conditionalFormatting>
  <conditionalFormatting sqref="F160">
    <cfRule type="cellIs" dxfId="5061" priority="140" operator="lessThan">
      <formula>2100</formula>
    </cfRule>
  </conditionalFormatting>
  <conditionalFormatting sqref="F165">
    <cfRule type="cellIs" dxfId="5060" priority="70" operator="greaterThan">
      <formula>3001</formula>
    </cfRule>
  </conditionalFormatting>
  <conditionalFormatting sqref="F168">
    <cfRule type="expression" dxfId="5059" priority="48">
      <formula>(C168="LED STRIP")</formula>
    </cfRule>
    <cfRule type="expression" dxfId="5058" priority="49">
      <formula>(C168="LIGHT SELECTION")</formula>
    </cfRule>
    <cfRule type="expression" dxfId="5057" priority="51">
      <formula>(C168="FLO")</formula>
    </cfRule>
  </conditionalFormatting>
  <conditionalFormatting sqref="F175:F176">
    <cfRule type="expression" dxfId="5056" priority="36">
      <formula>D175="NF"</formula>
    </cfRule>
    <cfRule type="expression" dxfId="5055" priority="37">
      <formula>D175="WW PODS"</formula>
    </cfRule>
    <cfRule type="expression" dxfId="5054" priority="38">
      <formula>D175="GRILLE"</formula>
    </cfRule>
    <cfRule type="expression" dxfId="5053" priority="39">
      <formula>D175="CENTREX"</formula>
    </cfRule>
    <cfRule type="expression" dxfId="5052" priority="40" stopIfTrue="1">
      <formula>D167="canopy type"</formula>
    </cfRule>
    <cfRule type="expression" dxfId="5051" priority="41">
      <formula>(((I167*3600)/(C175*I164))^2+20)&gt;300</formula>
    </cfRule>
    <cfRule type="expression" dxfId="5050" priority="42" stopIfTrue="1">
      <formula>(ISNUMBER(SEARCH("UV",D167)))</formula>
    </cfRule>
    <cfRule type="expression" dxfId="5049" priority="43">
      <formula>(((I167*3600)/(C175*I164))^2+20)&gt;180</formula>
    </cfRule>
    <cfRule type="expression" dxfId="5048" priority="44">
      <formula>D175="KSA"</formula>
    </cfRule>
  </conditionalFormatting>
  <conditionalFormatting sqref="F177">
    <cfRule type="cellIs" dxfId="5047" priority="64" operator="lessThan">
      <formula>2100</formula>
    </cfRule>
  </conditionalFormatting>
  <conditionalFormatting sqref="G11">
    <cfRule type="expression" dxfId="5046" priority="684">
      <formula>((F14-50)/H14)&lt;950</formula>
    </cfRule>
  </conditionalFormatting>
  <conditionalFormatting sqref="G12">
    <cfRule type="expression" dxfId="5045" priority="683">
      <formula>((F14-50)/H14)&lt;950</formula>
    </cfRule>
  </conditionalFormatting>
  <conditionalFormatting sqref="G14">
    <cfRule type="cellIs" dxfId="5044" priority="679" operator="lessThan">
      <formula>400</formula>
    </cfRule>
  </conditionalFormatting>
  <conditionalFormatting sqref="G28">
    <cfRule type="expression" dxfId="5043" priority="626">
      <formula>((F31-50)/H31)&lt;950</formula>
    </cfRule>
  </conditionalFormatting>
  <conditionalFormatting sqref="G29">
    <cfRule type="expression" dxfId="5042" priority="604">
      <formula>((F31-50)/H31)&lt;950</formula>
    </cfRule>
  </conditionalFormatting>
  <conditionalFormatting sqref="G31">
    <cfRule type="cellIs" dxfId="5041" priority="600" operator="lessThan">
      <formula>400</formula>
    </cfRule>
  </conditionalFormatting>
  <conditionalFormatting sqref="G45">
    <cfRule type="expression" dxfId="5040" priority="643">
      <formula>((F48-50)/H48)&lt;950</formula>
    </cfRule>
  </conditionalFormatting>
  <conditionalFormatting sqref="G46">
    <cfRule type="expression" dxfId="5039" priority="573">
      <formula>((F48-50)/H48)&lt;950</formula>
    </cfRule>
  </conditionalFormatting>
  <conditionalFormatting sqref="G48">
    <cfRule type="cellIs" dxfId="5038" priority="569" operator="lessThan">
      <formula>400</formula>
    </cfRule>
  </conditionalFormatting>
  <conditionalFormatting sqref="G62">
    <cfRule type="expression" dxfId="5037" priority="644">
      <formula>((F65-50)/H65)&lt;950</formula>
    </cfRule>
  </conditionalFormatting>
  <conditionalFormatting sqref="G63">
    <cfRule type="expression" dxfId="5036" priority="544">
      <formula>((F65-50)/H65)&lt;950</formula>
    </cfRule>
  </conditionalFormatting>
  <conditionalFormatting sqref="G65">
    <cfRule type="cellIs" dxfId="5035" priority="540" operator="lessThan">
      <formula>400</formula>
    </cfRule>
  </conditionalFormatting>
  <conditionalFormatting sqref="G79">
    <cfRule type="expression" dxfId="5034" priority="645">
      <formula>((F82-50)/H82)&lt;950</formula>
    </cfRule>
  </conditionalFormatting>
  <conditionalFormatting sqref="G80">
    <cfRule type="expression" dxfId="5033" priority="514">
      <formula>((F82-50)/H82)&lt;950</formula>
    </cfRule>
  </conditionalFormatting>
  <conditionalFormatting sqref="G82">
    <cfRule type="cellIs" dxfId="5032" priority="510" operator="lessThan">
      <formula>400</formula>
    </cfRule>
  </conditionalFormatting>
  <conditionalFormatting sqref="G96">
    <cfRule type="expression" dxfId="5031" priority="653">
      <formula>((F99-50)/H99)&lt;950</formula>
    </cfRule>
  </conditionalFormatting>
  <conditionalFormatting sqref="G97">
    <cfRule type="expression" dxfId="5030" priority="483">
      <formula>((F99-50)/H99)&lt;950</formula>
    </cfRule>
  </conditionalFormatting>
  <conditionalFormatting sqref="G99">
    <cfRule type="cellIs" dxfId="5029" priority="479" operator="lessThan">
      <formula>400</formula>
    </cfRule>
  </conditionalFormatting>
  <conditionalFormatting sqref="G113">
    <cfRule type="expression" dxfId="5028" priority="326">
      <formula>((F116-50)/H116)&lt;950</formula>
    </cfRule>
  </conditionalFormatting>
  <conditionalFormatting sqref="G114">
    <cfRule type="expression" dxfId="5027" priority="315">
      <formula>((F116-50)/H116)&lt;950</formula>
    </cfRule>
  </conditionalFormatting>
  <conditionalFormatting sqref="G116">
    <cfRule type="cellIs" dxfId="5026" priority="311" operator="lessThan">
      <formula>400</formula>
    </cfRule>
  </conditionalFormatting>
  <conditionalFormatting sqref="G130">
    <cfRule type="expression" dxfId="5025" priority="190">
      <formula>((F133-50)/H133)&lt;950</formula>
    </cfRule>
  </conditionalFormatting>
  <conditionalFormatting sqref="G131">
    <cfRule type="expression" dxfId="5024" priority="178">
      <formula>((F133-50)/H133)&lt;950</formula>
    </cfRule>
  </conditionalFormatting>
  <conditionalFormatting sqref="G133">
    <cfRule type="cellIs" dxfId="5023" priority="174" operator="lessThan">
      <formula>400</formula>
    </cfRule>
  </conditionalFormatting>
  <conditionalFormatting sqref="G147">
    <cfRule type="expression" dxfId="5022" priority="191">
      <formula>((F150-50)/H150)&lt;950</formula>
    </cfRule>
  </conditionalFormatting>
  <conditionalFormatting sqref="G148">
    <cfRule type="expression" dxfId="5021" priority="147">
      <formula>((F150-50)/H150)&lt;950</formula>
    </cfRule>
  </conditionalFormatting>
  <conditionalFormatting sqref="G150">
    <cfRule type="cellIs" dxfId="5020" priority="143" operator="lessThan">
      <formula>400</formula>
    </cfRule>
  </conditionalFormatting>
  <conditionalFormatting sqref="G164">
    <cfRule type="expression" dxfId="5019" priority="82">
      <formula>((F167-50)/H167)&lt;950</formula>
    </cfRule>
  </conditionalFormatting>
  <conditionalFormatting sqref="G165">
    <cfRule type="expression" dxfId="5018" priority="71">
      <formula>((F167-50)/H167)&lt;950</formula>
    </cfRule>
  </conditionalFormatting>
  <conditionalFormatting sqref="G167">
    <cfRule type="cellIs" dxfId="5017" priority="67" operator="lessThan">
      <formula>400</formula>
    </cfRule>
  </conditionalFormatting>
  <conditionalFormatting sqref="I14">
    <cfRule type="cellIs" dxfId="5016" priority="680" operator="lessThan">
      <formula>0.1</formula>
    </cfRule>
  </conditionalFormatting>
  <conditionalFormatting sqref="I31">
    <cfRule type="cellIs" dxfId="5015" priority="601" operator="lessThan">
      <formula>0.1</formula>
    </cfRule>
  </conditionalFormatting>
  <conditionalFormatting sqref="I48">
    <cfRule type="cellIs" dxfId="5014" priority="570" operator="lessThan">
      <formula>0.1</formula>
    </cfRule>
  </conditionalFormatting>
  <conditionalFormatting sqref="I65">
    <cfRule type="cellIs" dxfId="5013" priority="541" operator="lessThan">
      <formula>0.1</formula>
    </cfRule>
  </conditionalFormatting>
  <conditionalFormatting sqref="I82">
    <cfRule type="cellIs" dxfId="5012" priority="511" operator="lessThan">
      <formula>0.1</formula>
    </cfRule>
  </conditionalFormatting>
  <conditionalFormatting sqref="I99">
    <cfRule type="cellIs" dxfId="5011" priority="480" operator="lessThan">
      <formula>0.1</formula>
    </cfRule>
  </conditionalFormatting>
  <conditionalFormatting sqref="I116">
    <cfRule type="cellIs" dxfId="5010" priority="312" operator="lessThan">
      <formula>0.1</formula>
    </cfRule>
  </conditionalFormatting>
  <conditionalFormatting sqref="I133">
    <cfRule type="cellIs" dxfId="5009" priority="175" operator="lessThan">
      <formula>0.1</formula>
    </cfRule>
  </conditionalFormatting>
  <conditionalFormatting sqref="I150">
    <cfRule type="cellIs" dxfId="5008" priority="144" operator="lessThan">
      <formula>0.1</formula>
    </cfRule>
  </conditionalFormatting>
  <conditionalFormatting sqref="I167">
    <cfRule type="cellIs" dxfId="5007" priority="68" operator="lessThan">
      <formula>0.1</formula>
    </cfRule>
  </conditionalFormatting>
  <conditionalFormatting sqref="J14:J27">
    <cfRule type="cellIs" dxfId="5006" priority="404" operator="greaterThan">
      <formula>0</formula>
    </cfRule>
  </conditionalFormatting>
  <conditionalFormatting sqref="J31:J44">
    <cfRule type="cellIs" dxfId="5005" priority="261" operator="greaterThan">
      <formula>0</formula>
    </cfRule>
  </conditionalFormatting>
  <conditionalFormatting sqref="J48:J61">
    <cfRule type="cellIs" dxfId="5004" priority="250" operator="greaterThan">
      <formula>0</formula>
    </cfRule>
  </conditionalFormatting>
  <conditionalFormatting sqref="J65:J78">
    <cfRule type="cellIs" dxfId="5003" priority="239" operator="greaterThan">
      <formula>0</formula>
    </cfRule>
  </conditionalFormatting>
  <conditionalFormatting sqref="J82:J95">
    <cfRule type="cellIs" dxfId="5002" priority="228" operator="greaterThan">
      <formula>0</formula>
    </cfRule>
  </conditionalFormatting>
  <conditionalFormatting sqref="J99:J112">
    <cfRule type="cellIs" dxfId="5001" priority="217" operator="greaterThan">
      <formula>0</formula>
    </cfRule>
  </conditionalFormatting>
  <conditionalFormatting sqref="J116:J129 J167:J180">
    <cfRule type="cellIs" dxfId="5000" priority="206" operator="greaterThan">
      <formula>0</formula>
    </cfRule>
  </conditionalFormatting>
  <conditionalFormatting sqref="J133:J146">
    <cfRule type="cellIs" dxfId="4999" priority="19" operator="greaterThan">
      <formula>0</formula>
    </cfRule>
  </conditionalFormatting>
  <conditionalFormatting sqref="J150:J163">
    <cfRule type="cellIs" dxfId="4998" priority="8" operator="greaterThan">
      <formula>0</formula>
    </cfRule>
  </conditionalFormatting>
  <conditionalFormatting sqref="J183:J197">
    <cfRule type="expression" dxfId="4997" priority="654">
      <formula>C183&gt;0</formula>
    </cfRule>
  </conditionalFormatting>
  <conditionalFormatting sqref="J199">
    <cfRule type="expression" dxfId="4996" priority="659">
      <formula>#REF!="EURO"</formula>
    </cfRule>
  </conditionalFormatting>
  <conditionalFormatting sqref="K14:K27">
    <cfRule type="cellIs" dxfId="4995" priority="418" operator="greaterThan">
      <formula>0</formula>
    </cfRule>
  </conditionalFormatting>
  <conditionalFormatting sqref="K31:K44">
    <cfRule type="cellIs" dxfId="4994" priority="262" operator="greaterThan">
      <formula>0</formula>
    </cfRule>
  </conditionalFormatting>
  <conditionalFormatting sqref="K48:K61">
    <cfRule type="cellIs" dxfId="4993" priority="251" operator="greaterThan">
      <formula>0</formula>
    </cfRule>
  </conditionalFormatting>
  <conditionalFormatting sqref="K65:K78">
    <cfRule type="cellIs" dxfId="4992" priority="240" operator="greaterThan">
      <formula>0</formula>
    </cfRule>
  </conditionalFormatting>
  <conditionalFormatting sqref="K82:K95">
    <cfRule type="cellIs" dxfId="4991" priority="229" operator="greaterThan">
      <formula>0</formula>
    </cfRule>
  </conditionalFormatting>
  <conditionalFormatting sqref="K99:K112">
    <cfRule type="cellIs" dxfId="4990" priority="218" operator="greaterThan">
      <formula>0</formula>
    </cfRule>
  </conditionalFormatting>
  <conditionalFormatting sqref="K116:K129 K167:K180">
    <cfRule type="cellIs" dxfId="4989" priority="207" operator="greaterThan">
      <formula>0</formula>
    </cfRule>
  </conditionalFormatting>
  <conditionalFormatting sqref="K133:K146">
    <cfRule type="cellIs" dxfId="4988" priority="20" operator="greaterThan">
      <formula>0</formula>
    </cfRule>
  </conditionalFormatting>
  <conditionalFormatting sqref="K150:K163">
    <cfRule type="cellIs" dxfId="4987" priority="9" operator="greaterThan">
      <formula>0</formula>
    </cfRule>
  </conditionalFormatting>
  <conditionalFormatting sqref="K183:K197">
    <cfRule type="cellIs" dxfId="4986" priority="661" operator="greaterThan">
      <formula>0</formula>
    </cfRule>
  </conditionalFormatting>
  <conditionalFormatting sqref="K199">
    <cfRule type="expression" dxfId="4985" priority="655">
      <formula>$B$9="PLN"</formula>
    </cfRule>
    <cfRule type="expression" dxfId="4984" priority="656">
      <formula>$B$9="CZK"</formula>
    </cfRule>
    <cfRule type="expression" dxfId="4983" priority="657">
      <formula>$B$9="USD"</formula>
    </cfRule>
    <cfRule type="expression" dxfId="4982" priority="658">
      <formula>$B$9="EURO"</formula>
    </cfRule>
  </conditionalFormatting>
  <conditionalFormatting sqref="L14:L27">
    <cfRule type="expression" dxfId="4981" priority="415">
      <formula>$C$9&lt;0</formula>
    </cfRule>
    <cfRule type="expression" dxfId="4980" priority="416">
      <formula>$C$9&gt;0</formula>
    </cfRule>
  </conditionalFormatting>
  <conditionalFormatting sqref="L31:L44">
    <cfRule type="expression" dxfId="4979" priority="204">
      <formula>$C$9&lt;0</formula>
    </cfRule>
    <cfRule type="expression" dxfId="4978" priority="205">
      <formula>$C$9&gt;0</formula>
    </cfRule>
  </conditionalFormatting>
  <conditionalFormatting sqref="L48:L61">
    <cfRule type="expression" dxfId="4977" priority="202">
      <formula>$C$9&lt;0</formula>
    </cfRule>
    <cfRule type="expression" dxfId="4976" priority="203">
      <formula>$C$9&gt;0</formula>
    </cfRule>
  </conditionalFormatting>
  <conditionalFormatting sqref="L65:L78">
    <cfRule type="expression" dxfId="4975" priority="200">
      <formula>$C$9&lt;0</formula>
    </cfRule>
    <cfRule type="expression" dxfId="4974" priority="201">
      <formula>$C$9&gt;0</formula>
    </cfRule>
  </conditionalFormatting>
  <conditionalFormatting sqref="L82:L95">
    <cfRule type="expression" dxfId="4973" priority="198">
      <formula>$C$9&lt;0</formula>
    </cfRule>
    <cfRule type="expression" dxfId="4972" priority="199">
      <formula>$C$9&gt;0</formula>
    </cfRule>
  </conditionalFormatting>
  <conditionalFormatting sqref="L99:L112">
    <cfRule type="expression" dxfId="4971" priority="196">
      <formula>$C$9&lt;0</formula>
    </cfRule>
    <cfRule type="expression" dxfId="4970" priority="197">
      <formula>$C$9&gt;0</formula>
    </cfRule>
  </conditionalFormatting>
  <conditionalFormatting sqref="L116:L129 L167:L180">
    <cfRule type="expression" dxfId="4969" priority="194">
      <formula>$C$9&lt;0</formula>
    </cfRule>
    <cfRule type="expression" dxfId="4968" priority="195">
      <formula>$C$9&gt;0</formula>
    </cfRule>
  </conditionalFormatting>
  <conditionalFormatting sqref="L133:L146">
    <cfRule type="expression" dxfId="4967" priority="3">
      <formula>$C$9&lt;0</formula>
    </cfRule>
    <cfRule type="expression" dxfId="4966" priority="4">
      <formula>$C$9&gt;0</formula>
    </cfRule>
  </conditionalFormatting>
  <conditionalFormatting sqref="L150:L163">
    <cfRule type="expression" dxfId="4965" priority="1">
      <formula>$C$9&lt;0</formula>
    </cfRule>
    <cfRule type="expression" dxfId="4964" priority="2">
      <formula>$C$9&gt;0</formula>
    </cfRule>
  </conditionalFormatting>
  <conditionalFormatting sqref="L183:L197">
    <cfRule type="expression" dxfId="4963" priority="192">
      <formula>$C$9&lt;0</formula>
    </cfRule>
    <cfRule type="expression" dxfId="4962" priority="193">
      <formula>$C$9&gt;0</formula>
    </cfRule>
  </conditionalFormatting>
  <conditionalFormatting sqref="N9 N12">
    <cfRule type="expression" dxfId="4961" priority="691">
      <formula>$B$9="PLN"</formula>
    </cfRule>
    <cfRule type="expression" dxfId="4960" priority="692">
      <formula>$B$9="CZK"</formula>
    </cfRule>
    <cfRule type="expression" dxfId="4959" priority="693">
      <formula>$B$9="USD"</formula>
    </cfRule>
    <cfRule type="expression" dxfId="4958" priority="694">
      <formula>$B$9="EURO"</formula>
    </cfRule>
  </conditionalFormatting>
  <conditionalFormatting sqref="N14:N27">
    <cfRule type="cellIs" dxfId="4957" priority="630" operator="greaterThan">
      <formula>0</formula>
    </cfRule>
    <cfRule type="expression" dxfId="4956" priority="631">
      <formula>$B$9="EURO"</formula>
    </cfRule>
    <cfRule type="expression" dxfId="4955" priority="632">
      <formula>$B$9="USD"</formula>
    </cfRule>
    <cfRule type="expression" dxfId="4954" priority="633">
      <formula>$B$9="PLN"</formula>
    </cfRule>
    <cfRule type="expression" dxfId="4953" priority="634">
      <formula>$B$9="CZK"</formula>
    </cfRule>
  </conditionalFormatting>
  <conditionalFormatting sqref="N29">
    <cfRule type="expression" dxfId="4952" priority="610">
      <formula>$B$9="PLN"</formula>
    </cfRule>
    <cfRule type="expression" dxfId="4951" priority="611">
      <formula>$B$9="CZK"</formula>
    </cfRule>
    <cfRule type="expression" dxfId="4950" priority="612">
      <formula>$B$9="USD"</formula>
    </cfRule>
    <cfRule type="expression" dxfId="4949" priority="613">
      <formula>$B$9="EURO"</formula>
    </cfRule>
  </conditionalFormatting>
  <conditionalFormatting sqref="N31:N44">
    <cfRule type="cellIs" dxfId="4948" priority="265" operator="greaterThan">
      <formula>0</formula>
    </cfRule>
    <cfRule type="expression" dxfId="4947" priority="266">
      <formula>$B$9="EURO"</formula>
    </cfRule>
    <cfRule type="expression" dxfId="4946" priority="267">
      <formula>$B$9="USD"</formula>
    </cfRule>
    <cfRule type="expression" dxfId="4945" priority="268">
      <formula>$B$9="PLN"</formula>
    </cfRule>
    <cfRule type="expression" dxfId="4944" priority="269">
      <formula>$B$9="CZK"</formula>
    </cfRule>
  </conditionalFormatting>
  <conditionalFormatting sqref="N46">
    <cfRule type="expression" dxfId="4943" priority="579">
      <formula>$B$9="PLN"</formula>
    </cfRule>
    <cfRule type="expression" dxfId="4942" priority="580">
      <formula>$B$9="CZK"</formula>
    </cfRule>
    <cfRule type="expression" dxfId="4941" priority="581">
      <formula>$B$9="USD"</formula>
    </cfRule>
    <cfRule type="expression" dxfId="4940" priority="582">
      <formula>$B$9="EURO"</formula>
    </cfRule>
  </conditionalFormatting>
  <conditionalFormatting sqref="N48:N61">
    <cfRule type="cellIs" dxfId="4939" priority="254" operator="greaterThan">
      <formula>0</formula>
    </cfRule>
    <cfRule type="expression" dxfId="4938" priority="255">
      <formula>$B$9="EURO"</formula>
    </cfRule>
    <cfRule type="expression" dxfId="4937" priority="256">
      <formula>$B$9="USD"</formula>
    </cfRule>
    <cfRule type="expression" dxfId="4936" priority="257">
      <formula>$B$9="PLN"</formula>
    </cfRule>
    <cfRule type="expression" dxfId="4935" priority="258">
      <formula>$B$9="CZK"</formula>
    </cfRule>
  </conditionalFormatting>
  <conditionalFormatting sqref="N63">
    <cfRule type="expression" dxfId="4934" priority="550">
      <formula>$B$9="PLN"</formula>
    </cfRule>
    <cfRule type="expression" dxfId="4933" priority="551">
      <formula>$B$9="CZK"</formula>
    </cfRule>
    <cfRule type="expression" dxfId="4932" priority="552">
      <formula>$B$9="USD"</formula>
    </cfRule>
    <cfRule type="expression" dxfId="4931" priority="553">
      <formula>$B$9="EURO"</formula>
    </cfRule>
  </conditionalFormatting>
  <conditionalFormatting sqref="N65:N78">
    <cfRule type="cellIs" dxfId="4930" priority="243" operator="greaterThan">
      <formula>0</formula>
    </cfRule>
    <cfRule type="expression" dxfId="4929" priority="244">
      <formula>$B$9="EURO"</formula>
    </cfRule>
    <cfRule type="expression" dxfId="4928" priority="245">
      <formula>$B$9="USD"</formula>
    </cfRule>
    <cfRule type="expression" dxfId="4927" priority="246">
      <formula>$B$9="PLN"</formula>
    </cfRule>
    <cfRule type="expression" dxfId="4926" priority="247">
      <formula>$B$9="CZK"</formula>
    </cfRule>
  </conditionalFormatting>
  <conditionalFormatting sqref="N80">
    <cfRule type="expression" dxfId="4925" priority="520">
      <formula>$B$9="PLN"</formula>
    </cfRule>
    <cfRule type="expression" dxfId="4924" priority="521">
      <formula>$B$9="CZK"</formula>
    </cfRule>
    <cfRule type="expression" dxfId="4923" priority="522">
      <formula>$B$9="USD"</formula>
    </cfRule>
    <cfRule type="expression" dxfId="4922" priority="523">
      <formula>$B$9="EURO"</formula>
    </cfRule>
  </conditionalFormatting>
  <conditionalFormatting sqref="N82:N95">
    <cfRule type="cellIs" dxfId="4921" priority="232" operator="greaterThan">
      <formula>0</formula>
    </cfRule>
    <cfRule type="expression" dxfId="4920" priority="233">
      <formula>$B$9="EURO"</formula>
    </cfRule>
    <cfRule type="expression" dxfId="4919" priority="234">
      <formula>$B$9="USD"</formula>
    </cfRule>
    <cfRule type="expression" dxfId="4918" priority="235">
      <formula>$B$9="PLN"</formula>
    </cfRule>
    <cfRule type="expression" dxfId="4917" priority="236">
      <formula>$B$9="CZK"</formula>
    </cfRule>
  </conditionalFormatting>
  <conditionalFormatting sqref="N97">
    <cfRule type="expression" dxfId="4916" priority="489">
      <formula>$B$9="PLN"</formula>
    </cfRule>
    <cfRule type="expression" dxfId="4915" priority="490">
      <formula>$B$9="CZK"</formula>
    </cfRule>
    <cfRule type="expression" dxfId="4914" priority="491">
      <formula>$B$9="USD"</formula>
    </cfRule>
    <cfRule type="expression" dxfId="4913" priority="492">
      <formula>$B$9="EURO"</formula>
    </cfRule>
  </conditionalFormatting>
  <conditionalFormatting sqref="N99:N112">
    <cfRule type="cellIs" dxfId="4912" priority="221" operator="greaterThan">
      <formula>0</formula>
    </cfRule>
    <cfRule type="expression" dxfId="4911" priority="222">
      <formula>$B$9="EURO"</formula>
    </cfRule>
    <cfRule type="expression" dxfId="4910" priority="223">
      <formula>$B$9="USD"</formula>
    </cfRule>
    <cfRule type="expression" dxfId="4909" priority="224">
      <formula>$B$9="PLN"</formula>
    </cfRule>
    <cfRule type="expression" dxfId="4908" priority="225">
      <formula>$B$9="CZK"</formula>
    </cfRule>
  </conditionalFormatting>
  <conditionalFormatting sqref="N114">
    <cfRule type="expression" dxfId="4907" priority="321">
      <formula>$B$9="PLN"</formula>
    </cfRule>
    <cfRule type="expression" dxfId="4906" priority="322">
      <formula>$B$9="CZK"</formula>
    </cfRule>
    <cfRule type="expression" dxfId="4905" priority="323">
      <formula>$B$9="USD"</formula>
    </cfRule>
    <cfRule type="expression" dxfId="4904" priority="324">
      <formula>$B$9="EURO"</formula>
    </cfRule>
  </conditionalFormatting>
  <conditionalFormatting sqref="N116:N129 N167:N180">
    <cfRule type="cellIs" dxfId="4903" priority="210" operator="greaterThan">
      <formula>0</formula>
    </cfRule>
    <cfRule type="expression" dxfId="4902" priority="211">
      <formula>$B$9="EURO"</formula>
    </cfRule>
    <cfRule type="expression" dxfId="4901" priority="212">
      <formula>$B$9="USD"</formula>
    </cfRule>
    <cfRule type="expression" dxfId="4900" priority="213">
      <formula>$B$9="PLN"</formula>
    </cfRule>
    <cfRule type="expression" dxfId="4899" priority="214">
      <formula>$B$9="CZK"</formula>
    </cfRule>
  </conditionalFormatting>
  <conditionalFormatting sqref="N131">
    <cfRule type="expression" dxfId="4898" priority="184">
      <formula>$B$9="PLN"</formula>
    </cfRule>
    <cfRule type="expression" dxfId="4897" priority="185">
      <formula>$B$9="CZK"</formula>
    </cfRule>
    <cfRule type="expression" dxfId="4896" priority="186">
      <formula>$B$9="USD"</formula>
    </cfRule>
    <cfRule type="expression" dxfId="4895" priority="187">
      <formula>$B$9="EURO"</formula>
    </cfRule>
  </conditionalFormatting>
  <conditionalFormatting sqref="N133:N146">
    <cfRule type="cellIs" dxfId="4894" priority="23" operator="greaterThan">
      <formula>0</formula>
    </cfRule>
    <cfRule type="expression" dxfId="4893" priority="24">
      <formula>$B$9="EURO"</formula>
    </cfRule>
    <cfRule type="expression" dxfId="4892" priority="25">
      <formula>$B$9="USD"</formula>
    </cfRule>
    <cfRule type="expression" dxfId="4891" priority="26">
      <formula>$B$9="PLN"</formula>
    </cfRule>
    <cfRule type="expression" dxfId="4890" priority="27">
      <formula>$B$9="CZK"</formula>
    </cfRule>
  </conditionalFormatting>
  <conditionalFormatting sqref="N148">
    <cfRule type="expression" dxfId="4889" priority="153">
      <formula>$B$9="PLN"</formula>
    </cfRule>
    <cfRule type="expression" dxfId="4888" priority="154">
      <formula>$B$9="CZK"</formula>
    </cfRule>
    <cfRule type="expression" dxfId="4887" priority="155">
      <formula>$B$9="USD"</formula>
    </cfRule>
    <cfRule type="expression" dxfId="4886" priority="156">
      <formula>$B$9="EURO"</formula>
    </cfRule>
  </conditionalFormatting>
  <conditionalFormatting sqref="N150:N163">
    <cfRule type="cellIs" dxfId="4885" priority="12" operator="greaterThan">
      <formula>0</formula>
    </cfRule>
    <cfRule type="expression" dxfId="4884" priority="13">
      <formula>$B$9="EURO"</formula>
    </cfRule>
    <cfRule type="expression" dxfId="4883" priority="14">
      <formula>$B$9="USD"</formula>
    </cfRule>
    <cfRule type="expression" dxfId="4882" priority="15">
      <formula>$B$9="PLN"</formula>
    </cfRule>
    <cfRule type="expression" dxfId="4881" priority="16">
      <formula>$B$9="CZK"</formula>
    </cfRule>
  </conditionalFormatting>
  <conditionalFormatting sqref="N165">
    <cfRule type="expression" dxfId="4880" priority="77">
      <formula>$B$9="PLN"</formula>
    </cfRule>
    <cfRule type="expression" dxfId="4879" priority="78">
      <formula>$B$9="CZK"</formula>
    </cfRule>
    <cfRule type="expression" dxfId="4878" priority="79">
      <formula>$B$9="USD"</formula>
    </cfRule>
    <cfRule type="expression" dxfId="4877" priority="80">
      <formula>$B$9="EURO"</formula>
    </cfRule>
  </conditionalFormatting>
  <conditionalFormatting sqref="N183:N197">
    <cfRule type="cellIs" dxfId="4876" priority="638" operator="greaterThan">
      <formula>0</formula>
    </cfRule>
    <cfRule type="expression" dxfId="4875" priority="639">
      <formula>$B$9="EURO"</formula>
    </cfRule>
    <cfRule type="expression" dxfId="4874" priority="640">
      <formula>$B$9="USD"</formula>
    </cfRule>
    <cfRule type="expression" dxfId="4873" priority="641">
      <formula>$B$9="PLN"</formula>
    </cfRule>
    <cfRule type="expression" dxfId="4872" priority="642">
      <formula>$B$9="CZK"</formula>
    </cfRule>
  </conditionalFormatting>
  <conditionalFormatting sqref="N182:O182">
    <cfRule type="expression" dxfId="4871" priority="646">
      <formula>$B$9="PLN"</formula>
    </cfRule>
    <cfRule type="expression" dxfId="4870" priority="647">
      <formula>$B$9="CZK"</formula>
    </cfRule>
    <cfRule type="expression" dxfId="4869" priority="648">
      <formula>$B$9="USD"</formula>
    </cfRule>
    <cfRule type="expression" dxfId="4868" priority="649">
      <formula>$B$9="EURO"</formula>
    </cfRule>
  </conditionalFormatting>
  <conditionalFormatting sqref="O14:O27">
    <cfRule type="cellIs" dxfId="4867" priority="635" operator="greaterThan">
      <formula>0</formula>
    </cfRule>
  </conditionalFormatting>
  <conditionalFormatting sqref="O31:O44">
    <cfRule type="cellIs" dxfId="4866" priority="270" operator="greaterThan">
      <formula>0</formula>
    </cfRule>
  </conditionalFormatting>
  <conditionalFormatting sqref="O48:O61">
    <cfRule type="cellIs" dxfId="4865" priority="259" operator="greaterThan">
      <formula>0</formula>
    </cfRule>
  </conditionalFormatting>
  <conditionalFormatting sqref="O65:O78">
    <cfRule type="cellIs" dxfId="4864" priority="248" operator="greaterThan">
      <formula>0</formula>
    </cfRule>
  </conditionalFormatting>
  <conditionalFormatting sqref="O82:O95">
    <cfRule type="cellIs" dxfId="4863" priority="237" operator="greaterThan">
      <formula>0</formula>
    </cfRule>
  </conditionalFormatting>
  <conditionalFormatting sqref="O99:O112">
    <cfRule type="cellIs" dxfId="4862" priority="226" operator="greaterThan">
      <formula>0</formula>
    </cfRule>
  </conditionalFormatting>
  <conditionalFormatting sqref="O116:O129 O167:O180">
    <cfRule type="cellIs" dxfId="4861" priority="215" operator="greaterThan">
      <formula>0</formula>
    </cfRule>
  </conditionalFormatting>
  <conditionalFormatting sqref="O133:O146">
    <cfRule type="cellIs" dxfId="4860" priority="28" operator="greaterThan">
      <formula>0</formula>
    </cfRule>
  </conditionalFormatting>
  <conditionalFormatting sqref="O150:O163">
    <cfRule type="cellIs" dxfId="4859" priority="17" operator="greaterThan">
      <formula>0</formula>
    </cfRule>
  </conditionalFormatting>
  <conditionalFormatting sqref="O183:O197">
    <cfRule type="cellIs" dxfId="4858" priority="660" operator="greaterThan">
      <formula>0</formula>
    </cfRule>
  </conditionalFormatting>
  <conditionalFormatting sqref="Q16">
    <cfRule type="cellIs" dxfId="4857" priority="405" operator="greaterThan">
      <formula>0</formula>
    </cfRule>
    <cfRule type="expression" dxfId="4856" priority="406">
      <formula>$B$9="EURO"</formula>
    </cfRule>
    <cfRule type="expression" dxfId="4855" priority="407">
      <formula>$B$9="USD"</formula>
    </cfRule>
    <cfRule type="expression" dxfId="4854" priority="408">
      <formula>$B$9="PLN"</formula>
    </cfRule>
    <cfRule type="expression" dxfId="4853" priority="409">
      <formula>$B$9="CZK"</formula>
    </cfRule>
  </conditionalFormatting>
  <dataValidations count="7">
    <dataValidation type="list" allowBlank="1" showInputMessage="1" showErrorMessage="1" sqref="D26 D94 D77 D60 D43 D111 D128 D145 D162 D179" xr:uid="{1E9342CD-5761-D748-A7A8-12858BAAD965}">
      <formula1>"0,1,2,3,4,5,6,7,8,9,10"</formula1>
    </dataValidation>
    <dataValidation type="list" allowBlank="1" showInputMessage="1" showErrorMessage="1" sqref="G181" xr:uid="{2053ED08-D88D-0443-8EB4-BC215D104B42}">
      <formula1>#REF!</formula1>
    </dataValidation>
    <dataValidation type="list" allowBlank="1" showInputMessage="1" showErrorMessage="1" sqref="C99 C31 C82 C65 C48 C14 C116 C150 C133 C167" xr:uid="{2753175D-4F83-7846-9408-5BD27A888CA1}">
      <formula1>"WALL, ISLAND"</formula1>
    </dataValidation>
    <dataValidation operator="greaterThan" allowBlank="1" showInputMessage="1" showErrorMessage="1" sqref="E14 E65 E48 E31 E82 E99 E116 E133 E150 E167" xr:uid="{517A2289-2B93-3849-8F22-D9E3B16DBF5D}"/>
    <dataValidation type="list" allowBlank="1" showInputMessage="1" showErrorMessage="1" sqref="C71:C72 C37:C38 C88:C89 C20:C21 I84 I16 C54:C55 I67 I33 I50 C105:C106 I101 C122:C123 I118 C139:C140 I135 C156:C157 I152 C173:C174 I169" xr:uid="{0FC8B184-3DE8-C44A-80EB-EB679A4AA45D}">
      <formula1>"0,1,2,3,4,5,6,7,8,9,10,11,12,13,14,15,16,17,18,19,20"</formula1>
    </dataValidation>
    <dataValidation type="list" allowBlank="1" showInputMessage="1" showErrorMessage="1" errorTitle="Minimum number of sections " error="Must be greater than zero" sqref="H14 H65 H48 H31 H82 H99 H116 H133 H150 H167" xr:uid="{7ABDEEB3-FD6D-E74D-A07C-939676D45950}">
      <formula1>"1,2,3,4,5,6,7,8,9,10"</formula1>
    </dataValidation>
    <dataValidation type="list" allowBlank="1" showInputMessage="1" showErrorMessage="1" sqref="C27 C78 C95 C44 C61 C112 C129 C146 C163 C180" xr:uid="{1BD9CE61-26C1-FA49-97F3-DED810120045}">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A8EC76B3-BCEB-EC49-9871-EFDB38CE6DA6}">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24DB470F-7115-D148-AF42-128FAA978F01}">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FB1CE905-A0FD-A640-ABDA-8104552A0CE4}">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D3694BDC-2A01-6B4C-9DCE-02A9C1D0AE07}">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E56C6EBB-F3FE-5249-9707-4F043C0FA331}">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D4DF0453-B1BF-9B44-83B3-EAD2A003B93D}">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ED3D5111-3521-234D-853E-DC25D464B5DF}">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41E5A5EC-7849-3440-9D0D-25880F99EEF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7AA02939-AB91-6E40-98CC-D7393BE9E548}">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59615D6-C285-1044-8F8F-D384B138730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9D4D1A1A-B6C7-8647-BC8D-910C5A61A489}">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24175985-5665-514C-8E6F-14EC8041639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E6038CBD-21FA-8542-A090-DED73AC75755}">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DCBAEE85-EFE0-3B4E-905D-3A00D9538E1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9CFBD995-0244-6D4F-8438-3562EBB7758F}">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502DFD56-DD2D-854C-837C-7B804117998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1DF5345E-7FB5-484B-9BFC-730267FA5AA5}">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63427851-F4AB-BD42-B357-A1B06B5B982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EC0E9BE1-8D3D-2B44-AD6D-634BB972B93E}">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0BED2D9A-8E68-334A-B5C4-A92734B74ED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8F8BD7FC-7C1C-3D40-8112-F0DFF8CC2FF3}">
          <x14:formula1>
            <xm:f>'Base Costs'!$U$44:$U$56</xm:f>
          </x14:formula1>
          <xm:sqref>C17 C170 C153 C136 C119 C102 C85 C68 C51 C34</xm:sqref>
        </x14:dataValidation>
        <x14:dataValidation type="list" allowBlank="1" showInputMessage="1" showErrorMessage="1" xr:uid="{88A750B8-A026-5444-904B-C612025ABA6F}">
          <x14:formula1>
            <xm:f>'Base Costs'!$U$4:$U$41</xm:f>
          </x14:formula1>
          <xm:sqref>C33 C152 C135 C169 C16 C101 C84 C67 C50 C118</xm:sqref>
        </x14:dataValidation>
        <x14:dataValidation type="list" allowBlank="1" showInputMessage="1" showErrorMessage="1" xr:uid="{E7E90EC7-3694-824A-80B1-17E59465B195}">
          <x14:formula1>
            <xm:f>'Base Costs'!$Q$35:$Q$45</xm:f>
          </x14:formula1>
          <xm:sqref>C43 C145 C162 C179 C60 C77 C94 C111 C26 C128</xm:sqref>
        </x14:dataValidation>
        <x14:dataValidation type="list" allowBlank="1" showInputMessage="1" showErrorMessage="1" xr:uid="{2AC52599-E474-1646-B71D-DAA03E5E2CD9}">
          <x14:formula1>
            <xm:f>'Base Costs'!$A$19:$A$22</xm:f>
          </x14:formula1>
          <xm:sqref>C19 C138 C155 C172 C36 C87 C70 C53 C104 C121</xm:sqref>
        </x14:dataValidation>
        <x14:dataValidation type="list" allowBlank="1" showInputMessage="1" showErrorMessage="1" xr:uid="{A7F2A621-8369-E448-921C-7FF556E1E24C}">
          <x14:formula1>
            <xm:f>'Base Costs'!$A$4:$A$16</xm:f>
          </x14:formula1>
          <xm:sqref>D184:D185</xm:sqref>
        </x14:dataValidation>
        <x14:dataValidation type="list" allowBlank="1" showInputMessage="1" showErrorMessage="1" xr:uid="{AC956613-F2FD-EA47-A269-6553019BDABB}">
          <x14:formula1>
            <xm:f>'Base Costs'!$E$4:$E$213</xm:f>
          </x14:formula1>
          <xm:sqref>D183 D186</xm:sqref>
        </x14:dataValidation>
        <x14:dataValidation type="list" allowBlank="1" showInputMessage="1" showErrorMessage="1" xr:uid="{ED8110C4-CF70-2047-9998-E174B34ACE65}">
          <x14:formula1>
            <xm:f>'Base Costs'!$A$32:$A$37</xm:f>
          </x14:formula1>
          <xm:sqref>B9</xm:sqref>
        </x14:dataValidation>
        <x14:dataValidation type="list" allowBlank="1" showInputMessage="1" showErrorMessage="1" xr:uid="{FC6BBF2C-7D65-A545-9EEF-90534A9FD595}">
          <x14:formula1>
            <xm:f>CCBASE!$A$81:$A$85</xm:f>
          </x14:formula1>
          <xm:sqref>C25 C42 C93 C76 C59 C110 C127 C144 C161 C178</xm:sqref>
        </x14:dataValidation>
        <x14:dataValidation type="list" allowBlank="1" showInputMessage="1" showErrorMessage="1" xr:uid="{0B35BE5A-8AAD-0142-86CA-8FA381EBCADA}">
          <x14:formula1>
            <xm:f>CCBASE!$A$53:$A$73</xm:f>
          </x14:formula1>
          <xm:sqref>C52 C69 C18 C35 C103 C86 C120 C154 C137 C171</xm:sqref>
        </x14:dataValidation>
        <x14:dataValidation type="list" allowBlank="1" showInputMessage="1" showErrorMessage="1" xr:uid="{49C98E50-F452-5643-95D7-453A4F3C9DB0}">
          <x14:formula1>
            <xm:f>'Base Costs'!$A$39:$A$53</xm:f>
          </x14:formula1>
          <xm:sqref>D14 D150 D133 D167 D31 D99 D48 D82 D65 D116</xm:sqref>
        </x14:dataValidation>
        <x14:dataValidation type="list" allowBlank="1" showInputMessage="1" showErrorMessage="1" xr:uid="{66FC76C8-9502-4144-B2E2-4302F759D1D0}">
          <x14:formula1>
            <xm:f>'Base Costs'!$M$4:$M$21</xm:f>
          </x14:formula1>
          <xm:sqref>C32 C151 C134 C168 C100 C49 C66 C83 C117</xm:sqref>
        </x14:dataValidation>
        <x14:dataValidation type="list" allowBlank="1" showInputMessage="1" showErrorMessage="1" xr:uid="{7CD722BF-9A5D-CF48-8A9B-94F53D01FC87}">
          <x14:formula1>
            <xm:f>'Base Costs'!$M$4:$M$23</xm:f>
          </x14:formula1>
          <xm:sqref>C15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2EE66-E5F2-7E40-888D-44E724C1FCB1}">
  <sheetPr>
    <tabColor theme="8" tint="0.79998168889431442"/>
    <pageSetUpPr fitToPage="1"/>
  </sheetPr>
  <dimension ref="A1:AE117"/>
  <sheetViews>
    <sheetView topLeftCell="A14" zoomScale="80" zoomScaleNormal="80" workbookViewId="0">
      <selection activeCell="R29" sqref="R29"/>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56" t="s">
        <v>1502</v>
      </c>
      <c r="C1" s="1156"/>
      <c r="D1" s="1156"/>
      <c r="E1" s="160"/>
      <c r="F1" s="161"/>
      <c r="G1" s="162"/>
      <c r="H1" s="163"/>
      <c r="I1" s="161"/>
      <c r="J1" s="161"/>
      <c r="K1" s="989" t="s">
        <v>1501</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8" t="e">
        <f>IF(#REF!="","",#REF!)</f>
        <v>#REF!</v>
      </c>
      <c r="D4" s="1158"/>
      <c r="E4" s="177" t="s">
        <v>78</v>
      </c>
      <c r="F4" s="1159" t="e">
        <f>IF(#REF!="","",#REF!)</f>
        <v>#REF!</v>
      </c>
      <c r="G4" s="1159"/>
      <c r="H4" s="1159"/>
      <c r="I4" s="1157"/>
      <c r="J4" s="1157"/>
      <c r="K4" s="1157"/>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8" t="e">
        <f>IF(#REF!="","",#REF!)</f>
        <v>#REF!</v>
      </c>
      <c r="D6" s="1158"/>
      <c r="E6" s="177" t="s">
        <v>77</v>
      </c>
      <c r="F6" s="1159" t="e">
        <f>IF(#REF!="","",#REF!)</f>
        <v>#REF!</v>
      </c>
      <c r="G6" s="1159"/>
      <c r="H6" s="1159"/>
      <c r="I6" s="1157"/>
      <c r="J6" s="1157"/>
      <c r="K6" s="1157"/>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8" t="e">
        <f>IF(#REF!="","",#REF!)</f>
        <v>#REF!</v>
      </c>
      <c r="D8" s="1158"/>
      <c r="E8" s="181" t="s">
        <v>76</v>
      </c>
      <c r="F8" s="1160" t="e">
        <f>IF(#REF!="","",#REF!)</f>
        <v>#REF!</v>
      </c>
      <c r="G8" s="1160"/>
      <c r="H8" s="1160"/>
      <c r="J8" s="187" t="s">
        <v>79</v>
      </c>
      <c r="K8" s="1148" t="e">
        <f>IF(#REF!="","",#REF!)</f>
        <v>#REF!</v>
      </c>
      <c r="L8" s="1148"/>
      <c r="M8" s="467"/>
      <c r="N8" s="1094" t="s">
        <v>1409</v>
      </c>
      <c r="O8" s="1094"/>
      <c r="P8" s="1094"/>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0"/>
      <c r="F10" s="1151"/>
      <c r="G10" s="25">
        <f>SUBTOTAL(9,G14:G102)</f>
        <v>1488</v>
      </c>
      <c r="H10" s="981">
        <f>IF(K10=0,"-",K10/I10)</f>
        <v>0.40143664399961704</v>
      </c>
      <c r="I10" s="25">
        <f>SUBTOTAL(9,I14:I102)</f>
        <v>2485.9523809523807</v>
      </c>
      <c r="J10" s="464">
        <f>SUBTOTAL(9,J14:J102)</f>
        <v>2485.9523809523807</v>
      </c>
      <c r="K10" s="25">
        <f>SUBTOTAL(9,K14:K102)</f>
        <v>997.95238095238119</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1488</v>
      </c>
      <c r="H13" s="145">
        <f>IF(G13=0,"-",K13/I13)</f>
        <v>0.40143664399961704</v>
      </c>
      <c r="I13" s="61">
        <f>SUBTOTAL(9,I14:I32)</f>
        <v>2485.9523809523807</v>
      </c>
      <c r="J13" s="465">
        <f>SUBTOTAL(9,J14:J32)</f>
        <v>2485.9523809523807</v>
      </c>
      <c r="K13" s="61">
        <f>SUBTOTAL(9,K14:K32)</f>
        <v>997.95238095238119</v>
      </c>
      <c r="L13" s="469"/>
      <c r="O13" s="840" t="s">
        <v>918</v>
      </c>
      <c r="Q13" s="1154" t="s">
        <v>664</v>
      </c>
      <c r="R13" s="1155"/>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v>1</v>
      </c>
      <c r="D30" s="269" t="s">
        <v>491</v>
      </c>
      <c r="E30" s="315"/>
      <c r="F30" s="380">
        <f>'Base Costs'!AX22</f>
        <v>700</v>
      </c>
      <c r="G30" s="378">
        <f t="shared" si="2"/>
        <v>700</v>
      </c>
      <c r="H30" s="381">
        <v>0.4</v>
      </c>
      <c r="I30" s="311">
        <f t="shared" si="0"/>
        <v>1166.6666666666667</v>
      </c>
      <c r="J30" s="378">
        <f>I30*VLOOKUP($B$10,'Base Costs'!$A$32:$B$37,2,FALSE)</f>
        <v>1166.6666666666667</v>
      </c>
      <c r="K30" s="379">
        <f t="shared" si="1"/>
        <v>466.66666666666674</v>
      </c>
      <c r="L30" s="469"/>
      <c r="M30" s="469"/>
      <c r="N30" s="469"/>
      <c r="Q30" s="164"/>
      <c r="R30" s="164"/>
    </row>
    <row r="31" spans="1:18" ht="15.75" customHeight="1" x14ac:dyDescent="0.2">
      <c r="A31" s="299">
        <v>268</v>
      </c>
      <c r="B31" s="269" t="s">
        <v>55</v>
      </c>
      <c r="C31" s="314">
        <v>1</v>
      </c>
      <c r="D31" s="269" t="s">
        <v>491</v>
      </c>
      <c r="E31" s="315"/>
      <c r="F31" s="380">
        <f>'Base Costs'!AX23</f>
        <v>380</v>
      </c>
      <c r="G31" s="378">
        <f t="shared" si="2"/>
        <v>380</v>
      </c>
      <c r="H31" s="381">
        <v>0.4</v>
      </c>
      <c r="I31" s="311">
        <f t="shared" si="0"/>
        <v>633.33333333333337</v>
      </c>
      <c r="J31" s="378">
        <f>I31*VLOOKUP($B$10,'Base Costs'!$A$32:$B$37,2,FALSE)</f>
        <v>633.33333333333337</v>
      </c>
      <c r="K31" s="379">
        <f t="shared" si="1"/>
        <v>253.33333333333337</v>
      </c>
      <c r="L31" s="469"/>
      <c r="M31" s="469"/>
      <c r="N31" s="469"/>
      <c r="Q31" s="164"/>
      <c r="R31" s="164"/>
    </row>
    <row r="32" spans="1:18" ht="15.75" customHeight="1" x14ac:dyDescent="0.2">
      <c r="A32" s="299">
        <v>268</v>
      </c>
      <c r="B32" s="269" t="s">
        <v>56</v>
      </c>
      <c r="C32" s="314">
        <v>1</v>
      </c>
      <c r="D32" s="269" t="s">
        <v>442</v>
      </c>
      <c r="E32" s="315"/>
      <c r="F32" s="380">
        <f>'Base Costs'!AX24</f>
        <v>358</v>
      </c>
      <c r="G32" s="378">
        <f t="shared" si="2"/>
        <v>358</v>
      </c>
      <c r="H32" s="381">
        <v>0.4</v>
      </c>
      <c r="I32" s="311">
        <f t="shared" si="0"/>
        <v>596.66666666666674</v>
      </c>
      <c r="J32" s="378">
        <f>I32*VLOOKUP($B$10,'Base Costs'!$A$32:$B$37,2,FALSE)</f>
        <v>596.66666666666674</v>
      </c>
      <c r="K32" s="379">
        <f t="shared" si="1"/>
        <v>238.66666666666674</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61"/>
      <c r="P34" s="1161"/>
      <c r="Q34" s="815"/>
      <c r="R34" s="815"/>
      <c r="S34" s="1162"/>
      <c r="T34" s="1162"/>
      <c r="U34" s="1162"/>
      <c r="V34" s="1162"/>
      <c r="Y34" s="1163"/>
      <c r="Z34" s="1163"/>
      <c r="AA34" s="1163"/>
      <c r="AB34" s="1163"/>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49"/>
      <c r="P35" s="1149"/>
      <c r="Q35" s="815"/>
      <c r="R35" s="815"/>
      <c r="S35" s="1152"/>
      <c r="T35" s="1152"/>
      <c r="U35" s="1152"/>
      <c r="V35" s="1152"/>
      <c r="W35" s="822"/>
      <c r="Y35" s="1152"/>
      <c r="Z35" s="1152"/>
      <c r="AA35" s="1152"/>
      <c r="AB35" s="1152"/>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49"/>
      <c r="P36" s="1149"/>
      <c r="Q36" s="815"/>
      <c r="R36" s="815"/>
      <c r="S36" s="1152"/>
      <c r="T36" s="1152"/>
      <c r="U36" s="1152"/>
      <c r="V36" s="1152"/>
      <c r="W36" s="822"/>
      <c r="Y36" s="1152"/>
      <c r="Z36" s="1152"/>
      <c r="AA36" s="1152"/>
      <c r="AB36" s="1152"/>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49"/>
      <c r="P37" s="1149"/>
      <c r="Q37" s="815"/>
      <c r="R37" s="815"/>
      <c r="S37" s="1152"/>
      <c r="T37" s="1152"/>
      <c r="U37" s="1152"/>
      <c r="V37" s="1152"/>
      <c r="W37" s="822"/>
      <c r="Y37" s="1152"/>
      <c r="Z37" s="1152"/>
      <c r="AA37" s="1152"/>
      <c r="AB37" s="1152"/>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1481</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49"/>
      <c r="P39" s="1149"/>
      <c r="Q39" s="815"/>
      <c r="R39" s="815"/>
      <c r="S39" s="1152"/>
      <c r="T39" s="1152"/>
      <c r="U39" s="1152"/>
      <c r="V39" s="1152"/>
      <c r="W39" s="822"/>
      <c r="Y39" s="1152"/>
      <c r="Z39" s="1152"/>
      <c r="AA39" s="1152"/>
      <c r="AB39" s="1152"/>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49"/>
      <c r="P40" s="1149"/>
      <c r="Q40" s="815"/>
      <c r="R40" s="815"/>
      <c r="S40" s="1152"/>
      <c r="T40" s="1152"/>
      <c r="U40" s="1152"/>
      <c r="V40" s="1152"/>
      <c r="W40" s="822"/>
      <c r="Y40" s="1152"/>
      <c r="Z40" s="1152"/>
      <c r="AA40" s="1152"/>
      <c r="AB40" s="1152"/>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49"/>
      <c r="P41" s="1149"/>
      <c r="Q41" s="815"/>
      <c r="R41" s="815"/>
      <c r="Y41" s="1153"/>
      <c r="Z41" s="1153"/>
      <c r="AA41" s="1153"/>
      <c r="AB41" s="1153"/>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Costs'!$AU$65:$BA$72,7,FALSE)),0)</f>
        <v>0</v>
      </c>
      <c r="M49" s="820">
        <f>L49*C49</f>
        <v>0</v>
      </c>
      <c r="N49" s="469"/>
      <c r="O49" s="1149"/>
      <c r="P49" s="1149"/>
      <c r="Q49" s="815"/>
      <c r="R49" s="815"/>
      <c r="Y49" s="1153"/>
      <c r="Z49" s="1153"/>
      <c r="AA49" s="1153"/>
      <c r="AB49" s="1153"/>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Costs'!$AU$65:$BA$72,7,FALSE)),0)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Costs'!$AU$65:$BA$72,7,FALSE)),0)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Costs'!$AU$65:$BA$72,7,FALSE)),0)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Costs'!$AU$65:$BA$72,7,FALSE)),0)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Costs'!$AU$65:$BA$72,7,FALSE)),0)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Costs'!$AU$65:$BA$72,7,FALSE)),0)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Costs'!$AU$65:$BA$72,7,FALSE)),0)</f>
        <v>0</v>
      </c>
      <c r="M56" s="820">
        <f t="shared" si="11"/>
        <v>0</v>
      </c>
      <c r="N56" s="469"/>
      <c r="O56" s="1149"/>
      <c r="P56" s="1149"/>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49"/>
      <c r="P57" s="1149"/>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49"/>
      <c r="P58" s="1149"/>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49"/>
      <c r="P59" s="1149"/>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49"/>
      <c r="P60" s="1149"/>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49"/>
      <c r="P61" s="1149"/>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49"/>
      <c r="P62" s="1149"/>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49"/>
      <c r="P63" s="1149"/>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49"/>
      <c r="P64" s="1149"/>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49"/>
      <c r="P65" s="1149"/>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49"/>
      <c r="P66" s="1149"/>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49"/>
      <c r="P67" s="1149"/>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49"/>
      <c r="P68" s="1149"/>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46" t="s">
        <v>1478</v>
      </c>
      <c r="E99" s="1147"/>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2485.9523809523807</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2485.9523809523807</v>
      </c>
      <c r="D108" s="202"/>
      <c r="E108" s="204"/>
      <c r="F108" s="202"/>
      <c r="G108" s="209"/>
      <c r="H108" s="206"/>
      <c r="I108" s="203"/>
      <c r="J108" s="203"/>
      <c r="K108" s="209"/>
    </row>
    <row r="109" spans="1:18" ht="15.75" customHeight="1" thickBot="1" x14ac:dyDescent="0.25">
      <c r="A109" s="299">
        <v>280</v>
      </c>
      <c r="B109" s="580" t="s">
        <v>666</v>
      </c>
      <c r="C109" s="916">
        <f>C108+J102</f>
        <v>2485.9523809523807</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O64:P64"/>
    <mergeCell ref="O65:P65"/>
    <mergeCell ref="O66:P66"/>
    <mergeCell ref="O67:P67"/>
    <mergeCell ref="O68:P68"/>
    <mergeCell ref="D99:E99"/>
    <mergeCell ref="O58:P58"/>
    <mergeCell ref="O59:P59"/>
    <mergeCell ref="O60:P60"/>
    <mergeCell ref="O61:P61"/>
    <mergeCell ref="O62:P62"/>
    <mergeCell ref="O63:P63"/>
    <mergeCell ref="O41:P41"/>
    <mergeCell ref="Y41:AB41"/>
    <mergeCell ref="O49:P49"/>
    <mergeCell ref="Y49:AB49"/>
    <mergeCell ref="O56:P56"/>
    <mergeCell ref="O57:P57"/>
    <mergeCell ref="O39:P39"/>
    <mergeCell ref="S39:V39"/>
    <mergeCell ref="Y39:AB39"/>
    <mergeCell ref="O40:P40"/>
    <mergeCell ref="S40:V40"/>
    <mergeCell ref="Y40:AB40"/>
    <mergeCell ref="O36:P36"/>
    <mergeCell ref="S36:V36"/>
    <mergeCell ref="Y36:AB36"/>
    <mergeCell ref="O37:P37"/>
    <mergeCell ref="S37:V37"/>
    <mergeCell ref="Y37:AB37"/>
    <mergeCell ref="O34:P34"/>
    <mergeCell ref="S34:V34"/>
    <mergeCell ref="Y34:AB34"/>
    <mergeCell ref="O35:P35"/>
    <mergeCell ref="S35:V35"/>
    <mergeCell ref="Y35:AB35"/>
    <mergeCell ref="C8:D8"/>
    <mergeCell ref="F8:H8"/>
    <mergeCell ref="K8:L8"/>
    <mergeCell ref="N8:P8"/>
    <mergeCell ref="E10:F10"/>
    <mergeCell ref="Q13:R13"/>
    <mergeCell ref="B1:D1"/>
    <mergeCell ref="C4:D4"/>
    <mergeCell ref="F4:H4"/>
    <mergeCell ref="I4:K4"/>
    <mergeCell ref="C6:D6"/>
    <mergeCell ref="F6:H6"/>
    <mergeCell ref="I6:K6"/>
  </mergeCells>
  <conditionalFormatting sqref="B10">
    <cfRule type="containsText" dxfId="4852" priority="33" operator="containsText" text="SELECT">
      <formula>NOT(ISERROR(SEARCH("SELECT",B10)))</formula>
    </cfRule>
    <cfRule type="expression" dxfId="4851" priority="34">
      <formula>B10="CURRENCY"</formula>
    </cfRule>
  </conditionalFormatting>
  <conditionalFormatting sqref="B14:B40">
    <cfRule type="expression" dxfId="4850" priority="12">
      <formula>$C14&gt;0</formula>
    </cfRule>
  </conditionalFormatting>
  <conditionalFormatting sqref="B35 B41:B56">
    <cfRule type="expression" dxfId="4849" priority="42">
      <formula>$D35&gt;0</formula>
    </cfRule>
  </conditionalFormatting>
  <conditionalFormatting sqref="B57:B68">
    <cfRule type="expression" dxfId="4848" priority="17">
      <formula>$C57&gt;0</formula>
    </cfRule>
  </conditionalFormatting>
  <conditionalFormatting sqref="B71:B82">
    <cfRule type="expression" dxfId="4847" priority="16">
      <formula>$C71&gt;0</formula>
    </cfRule>
  </conditionalFormatting>
  <conditionalFormatting sqref="B85:B93">
    <cfRule type="expression" dxfId="4846" priority="15">
      <formula>$C85&gt;0</formula>
    </cfRule>
  </conditionalFormatting>
  <conditionalFormatting sqref="B96:B102">
    <cfRule type="expression" dxfId="4845" priority="14">
      <formula>$C96&gt;0</formula>
    </cfRule>
  </conditionalFormatting>
  <conditionalFormatting sqref="C14:C32 C71:C82 C85:C93">
    <cfRule type="cellIs" dxfId="4844" priority="35" operator="equal">
      <formula>0</formula>
    </cfRule>
  </conditionalFormatting>
  <conditionalFormatting sqref="C35:C68">
    <cfRule type="cellIs" dxfId="4843" priority="11" operator="equal">
      <formula>0</formula>
    </cfRule>
  </conditionalFormatting>
  <conditionalFormatting sqref="C96:C102">
    <cfRule type="cellIs" dxfId="4842" priority="13" operator="equal">
      <formula>0</formula>
    </cfRule>
  </conditionalFormatting>
  <conditionalFormatting sqref="C10:D10">
    <cfRule type="cellIs" dxfId="4841" priority="31" operator="lessThan">
      <formula>0</formula>
    </cfRule>
    <cfRule type="cellIs" dxfId="4840" priority="32" operator="greaterThan">
      <formula>0</formula>
    </cfRule>
  </conditionalFormatting>
  <conditionalFormatting sqref="F14:F68">
    <cfRule type="expression" dxfId="4839" priority="1">
      <formula>C14&gt;0</formula>
    </cfRule>
  </conditionalFormatting>
  <conditionalFormatting sqref="F35:F64">
    <cfRule type="expression" dxfId="4838" priority="2">
      <formula>D35&gt;0</formula>
    </cfRule>
  </conditionalFormatting>
  <conditionalFormatting sqref="F71:F82">
    <cfRule type="expression" dxfId="4837" priority="30">
      <formula>C71&gt;0</formula>
    </cfRule>
  </conditionalFormatting>
  <conditionalFormatting sqref="F85:F93">
    <cfRule type="expression" dxfId="4836" priority="28">
      <formula>C85&gt;0</formula>
    </cfRule>
  </conditionalFormatting>
  <conditionalFormatting sqref="F96:F102">
    <cfRule type="expression" dxfId="4835" priority="29">
      <formula>C96&gt;0</formula>
    </cfRule>
  </conditionalFormatting>
  <conditionalFormatting sqref="G14:G32">
    <cfRule type="cellIs" dxfId="4834" priority="27" operator="greaterThan">
      <formula>0</formula>
    </cfRule>
  </conditionalFormatting>
  <conditionalFormatting sqref="G35:G68">
    <cfRule type="cellIs" dxfId="4833" priority="3" operator="greaterThan">
      <formula>0</formula>
    </cfRule>
  </conditionalFormatting>
  <conditionalFormatting sqref="G71:G82 G85:G93 G96:G102">
    <cfRule type="cellIs" dxfId="4832" priority="26" operator="greaterThan">
      <formula>0</formula>
    </cfRule>
  </conditionalFormatting>
  <conditionalFormatting sqref="H14:H32">
    <cfRule type="expression" dxfId="4831" priority="40">
      <formula>$C$10&gt;0</formula>
    </cfRule>
    <cfRule type="expression" dxfId="4830" priority="41">
      <formula>$C$10&lt;0</formula>
    </cfRule>
  </conditionalFormatting>
  <conditionalFormatting sqref="H35:H68">
    <cfRule type="expression" dxfId="4829" priority="9">
      <formula>$C$10&gt;0</formula>
    </cfRule>
  </conditionalFormatting>
  <conditionalFormatting sqref="H35:H82">
    <cfRule type="expression" dxfId="4828" priority="23">
      <formula>$C$10&lt;0</formula>
    </cfRule>
  </conditionalFormatting>
  <conditionalFormatting sqref="H40:H68">
    <cfRule type="expression" dxfId="4827" priority="10">
      <formula>$C$10&lt;0</formula>
    </cfRule>
  </conditionalFormatting>
  <conditionalFormatting sqref="H71:H82">
    <cfRule type="expression" dxfId="4826" priority="22">
      <formula>$C$10&gt;0</formula>
    </cfRule>
  </conditionalFormatting>
  <conditionalFormatting sqref="H85:H93">
    <cfRule type="expression" dxfId="4825" priority="20">
      <formula>$C$10&gt;0</formula>
    </cfRule>
    <cfRule type="expression" dxfId="4824" priority="21">
      <formula>$C$10&lt;0</formula>
    </cfRule>
  </conditionalFormatting>
  <conditionalFormatting sqref="H96:H102">
    <cfRule type="expression" dxfId="4823" priority="18">
      <formula>$C$10&gt;0</formula>
    </cfRule>
    <cfRule type="expression" dxfId="4822" priority="19">
      <formula>$C$10&lt;0</formula>
    </cfRule>
  </conditionalFormatting>
  <conditionalFormatting sqref="J1:J7 J9:J33">
    <cfRule type="expression" dxfId="4821" priority="36">
      <formula>$B$10="EURO"</formula>
    </cfRule>
    <cfRule type="expression" dxfId="4820" priority="37">
      <formula>$B$10="USD"</formula>
    </cfRule>
    <cfRule type="expression" dxfId="4819" priority="38">
      <formula>$B$10="PLN"</formula>
    </cfRule>
    <cfRule type="expression" dxfId="4818" priority="39">
      <formula>$B$10="CZK"</formula>
    </cfRule>
  </conditionalFormatting>
  <conditionalFormatting sqref="J35:J69">
    <cfRule type="expression" dxfId="4817" priority="5">
      <formula>$B$10="EURO"</formula>
    </cfRule>
  </conditionalFormatting>
  <conditionalFormatting sqref="J35:J1048576">
    <cfRule type="expression" dxfId="4816" priority="6">
      <formula>$B$10="USD"</formula>
    </cfRule>
    <cfRule type="expression" dxfId="4815" priority="7">
      <formula>$B$10="PLN"</formula>
    </cfRule>
    <cfRule type="expression" dxfId="4814" priority="8">
      <formula>$B$10="CZK"</formula>
    </cfRule>
  </conditionalFormatting>
  <conditionalFormatting sqref="J71:J83 J85:J94 J96:J1048576">
    <cfRule type="expression" dxfId="4813" priority="25">
      <formula>$B$10="EURO"</formula>
    </cfRule>
  </conditionalFormatting>
  <conditionalFormatting sqref="J14:K68">
    <cfRule type="cellIs" dxfId="4812" priority="4" operator="greaterThan">
      <formula>0</formula>
    </cfRule>
  </conditionalFormatting>
  <conditionalFormatting sqref="J71:K82 J85:K93 J96:K102">
    <cfRule type="cellIs" dxfId="4811"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5A5B61FC-8727-754D-962C-E51D4EC12BF2}">
          <x14:formula1>
            <xm:f>'Base Costs'!$AU$55:$AU$61</xm:f>
          </x14:formula1>
          <xm:sqref>D40:D47</xm:sqref>
        </x14:dataValidation>
        <x14:dataValidation type="list" allowBlank="1" showInputMessage="1" showErrorMessage="1" xr:uid="{0A5F7BC1-FEBF-D147-A1E3-2A0AF953AB47}">
          <x14:formula1>
            <xm:f>'Base Costs'!$AU$64:$AU$72</xm:f>
          </x14:formula1>
          <xm:sqref>D49:D56</xm:sqref>
        </x14:dataValidation>
        <x14:dataValidation type="list" allowBlank="1" showInputMessage="1" showErrorMessage="1" xr:uid="{DCE3573B-7430-FD43-AC15-7FB8C01628FF}">
          <x14:formula1>
            <xm:f>'Base Costs'!$AU$26:$AU$48</xm:f>
          </x14:formula1>
          <xm:sqref>D35</xm:sqref>
        </x14:dataValidation>
        <x14:dataValidation type="list" allowBlank="1" showInputMessage="1" showErrorMessage="1" xr:uid="{26B90A0A-5A9D-A146-9B13-AF045A264D0C}">
          <x14:formula1>
            <xm:f>'Base Costs'!$A$32:$A$37</xm:f>
          </x14:formula1>
          <xm:sqref>B10</xm:sqref>
        </x14:dataValidation>
        <x14:dataValidation type="list" allowBlank="1" showInputMessage="1" showErrorMessage="1" xr:uid="{C3AC38BA-A10F-3A4F-96E1-53D4077557C5}">
          <x14:formula1>
            <xm:f>'Base Costs'!$E$4:$E$213</xm:f>
          </x14:formula1>
          <xm:sqref>D97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6CD24-AE0F-7041-A968-F7C94513C60B}">
  <sheetPr>
    <tabColor theme="8" tint="0.79998168889431442"/>
    <pageSetUpPr fitToPage="1"/>
  </sheetPr>
  <dimension ref="A1:AD161"/>
  <sheetViews>
    <sheetView showGridLines="0" zoomScale="80" zoomScaleNormal="80" zoomScaleSheetLayoutView="50" workbookViewId="0">
      <selection activeCell="R29" sqref="R29"/>
    </sheetView>
  </sheetViews>
  <sheetFormatPr baseColWidth="10" defaultColWidth="8.83203125" defaultRowHeight="15" customHeight="1" x14ac:dyDescent="0.15"/>
  <cols>
    <col min="1" max="2" width="2" style="215" customWidth="1"/>
    <col min="3" max="3" width="42.83203125" style="217" bestFit="1"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1505</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1498</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1499</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1488</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1491</v>
      </c>
      <c r="D25" s="1080" t="s">
        <v>1497</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1489</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1493</v>
      </c>
      <c r="U27" s="229"/>
      <c r="AA27" s="217"/>
    </row>
    <row r="28" spans="1:27" ht="15" customHeight="1" x14ac:dyDescent="0.2">
      <c r="C28" s="869" t="s">
        <v>1490</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1492</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f>IF(K37=0,"-",O37/M37)</f>
        <v>0.39433325837643363</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4810" priority="35" operator="containsText" text="SELECT">
      <formula>NOT(ISERROR(SEARCH("SELECT",C9)))</formula>
    </cfRule>
    <cfRule type="expression" dxfId="4809" priority="36">
      <formula>C9="CURRENCY"</formula>
    </cfRule>
  </conditionalFormatting>
  <conditionalFormatting sqref="C14:C34">
    <cfRule type="expression" dxfId="4808" priority="1">
      <formula>$J14&gt;0</formula>
    </cfRule>
  </conditionalFormatting>
  <conditionalFormatting sqref="C38:C48">
    <cfRule type="expression" dxfId="4807" priority="12">
      <formula>$D38&gt;0</formula>
    </cfRule>
  </conditionalFormatting>
  <conditionalFormatting sqref="D38:D39 D41:D48">
    <cfRule type="cellIs" dxfId="4806" priority="37" operator="lessThan">
      <formula>1</formula>
    </cfRule>
  </conditionalFormatting>
  <conditionalFormatting sqref="D40">
    <cfRule type="cellIs" dxfId="4805" priority="32" operator="lessThan">
      <formula>1</formula>
    </cfRule>
  </conditionalFormatting>
  <conditionalFormatting sqref="D9:E9">
    <cfRule type="cellIs" dxfId="4804" priority="33" operator="lessThan">
      <formula>0</formula>
    </cfRule>
    <cfRule type="cellIs" dxfId="4803" priority="34" operator="greaterThan">
      <formula>0</formula>
    </cfRule>
  </conditionalFormatting>
  <conditionalFormatting sqref="F12">
    <cfRule type="expression" dxfId="4802" priority="42">
      <formula>AND((ISNUMBER(SEARCH("I-MUAP",$E$14))),F12&lt;2500)</formula>
    </cfRule>
    <cfRule type="expression" dxfId="4801" priority="43">
      <formula>ISNUMBER(SEARCH("I-MUAP",$E$14))</formula>
    </cfRule>
    <cfRule type="cellIs" dxfId="4800" priority="44" operator="greaterThan">
      <formula>2000</formula>
    </cfRule>
  </conditionalFormatting>
  <conditionalFormatting sqref="F12:G12">
    <cfRule type="cellIs" dxfId="4799" priority="38" operator="lessThan">
      <formula>1000</formula>
    </cfRule>
  </conditionalFormatting>
  <conditionalFormatting sqref="F14:G28">
    <cfRule type="cellIs" dxfId="4798" priority="5" operator="lessThan">
      <formula>1000</formula>
    </cfRule>
  </conditionalFormatting>
  <conditionalFormatting sqref="F31:G32">
    <cfRule type="cellIs" dxfId="4797" priority="2" operator="lessThan">
      <formula>1000</formula>
    </cfRule>
  </conditionalFormatting>
  <conditionalFormatting sqref="G12">
    <cfRule type="cellIs" dxfId="4796" priority="39" operator="greaterThan">
      <formula>3001</formula>
    </cfRule>
  </conditionalFormatting>
  <conditionalFormatting sqref="H11">
    <cfRule type="expression" dxfId="4795" priority="41">
      <formula>((G14-50)/I14)&lt;950</formula>
    </cfRule>
  </conditionalFormatting>
  <conditionalFormatting sqref="H12">
    <cfRule type="expression" dxfId="4794" priority="40">
      <formula>((G14-50)/I14)&lt;950</formula>
    </cfRule>
  </conditionalFormatting>
  <conditionalFormatting sqref="H14:H28">
    <cfRule type="cellIs" dxfId="4793" priority="6" operator="lessThan">
      <formula>400</formula>
    </cfRule>
  </conditionalFormatting>
  <conditionalFormatting sqref="H31:H32">
    <cfRule type="cellIs" dxfId="4792" priority="3" operator="lessThan">
      <formula>400</formula>
    </cfRule>
  </conditionalFormatting>
  <conditionalFormatting sqref="H35">
    <cfRule type="expression" dxfId="4791" priority="49">
      <formula>((#REF!-50)/#REF!)&lt;950</formula>
    </cfRule>
  </conditionalFormatting>
  <conditionalFormatting sqref="J14:J32">
    <cfRule type="cellIs" dxfId="4790" priority="17" operator="greaterThan">
      <formula>0</formula>
    </cfRule>
  </conditionalFormatting>
  <conditionalFormatting sqref="J38:J48">
    <cfRule type="expression" dxfId="4789" priority="25">
      <formula>D38&gt;0</formula>
    </cfRule>
  </conditionalFormatting>
  <conditionalFormatting sqref="J50:J56">
    <cfRule type="expression" dxfId="4788" priority="30">
      <formula>#REF!="EURO"</formula>
    </cfRule>
  </conditionalFormatting>
  <conditionalFormatting sqref="K14:K34">
    <cfRule type="cellIs" dxfId="4787" priority="4" operator="greaterThan">
      <formula>0</formula>
    </cfRule>
  </conditionalFormatting>
  <conditionalFormatting sqref="K38:K48">
    <cfRule type="cellIs" dxfId="4786" priority="31" operator="greaterThan">
      <formula>0</formula>
    </cfRule>
  </conditionalFormatting>
  <conditionalFormatting sqref="K50:K56">
    <cfRule type="expression" dxfId="4785" priority="26">
      <formula>$C$9="PLN"</formula>
    </cfRule>
    <cfRule type="expression" dxfId="4784" priority="27">
      <formula>$C$9="CZK"</formula>
    </cfRule>
    <cfRule type="expression" dxfId="4783" priority="28">
      <formula>$C$9="USD"</formula>
    </cfRule>
    <cfRule type="expression" dxfId="4782" priority="29">
      <formula>$C$9="EURO"</formula>
    </cfRule>
  </conditionalFormatting>
  <conditionalFormatting sqref="L14:L34">
    <cfRule type="expression" dxfId="4781" priority="15">
      <formula>$D$9&lt;0</formula>
    </cfRule>
    <cfRule type="expression" dxfId="4780" priority="16">
      <formula>$D$9&gt;0</formula>
    </cfRule>
  </conditionalFormatting>
  <conditionalFormatting sqref="L38:L48">
    <cfRule type="expression" dxfId="4779" priority="13">
      <formula>$D$9&lt;0</formula>
    </cfRule>
    <cfRule type="expression" dxfId="4778" priority="14">
      <formula>$D$9&gt;0</formula>
    </cfRule>
  </conditionalFormatting>
  <conditionalFormatting sqref="N9 N12">
    <cfRule type="expression" dxfId="4777" priority="45">
      <formula>$C$9="PLN"</formula>
    </cfRule>
    <cfRule type="expression" dxfId="4776" priority="46">
      <formula>$C$9="CZK"</formula>
    </cfRule>
    <cfRule type="expression" dxfId="4775" priority="47">
      <formula>$C$9="USD"</formula>
    </cfRule>
    <cfRule type="expression" dxfId="4774" priority="48">
      <formula>$C$9="EURO"</formula>
    </cfRule>
  </conditionalFormatting>
  <conditionalFormatting sqref="N14:N34">
    <cfRule type="expression" dxfId="4773" priority="19">
      <formula>$C$9="PLN"</formula>
    </cfRule>
    <cfRule type="expression" dxfId="4772" priority="20">
      <formula>$C$9="CZK"</formula>
    </cfRule>
    <cfRule type="expression" dxfId="4771" priority="21">
      <formula>$C$9="USD"</formula>
    </cfRule>
    <cfRule type="expression" dxfId="4770" priority="22">
      <formula>$C$9="EURO"</formula>
    </cfRule>
  </conditionalFormatting>
  <conditionalFormatting sqref="N18:N22">
    <cfRule type="cellIs" dxfId="4769" priority="23" operator="greaterThan">
      <formula>0</formula>
    </cfRule>
  </conditionalFormatting>
  <conditionalFormatting sqref="N37:N48">
    <cfRule type="expression" dxfId="4768" priority="8">
      <formula>$C$9="PLN"</formula>
    </cfRule>
    <cfRule type="expression" dxfId="4767" priority="9">
      <formula>$C$9="CZK"</formula>
    </cfRule>
    <cfRule type="expression" dxfId="4766" priority="10">
      <formula>$C$9="USD"</formula>
    </cfRule>
    <cfRule type="expression" dxfId="4765" priority="11">
      <formula>$C$9="EURO"</formula>
    </cfRule>
  </conditionalFormatting>
  <conditionalFormatting sqref="N14:O34">
    <cfRule type="cellIs" dxfId="4764" priority="18" operator="greaterThan">
      <formula>0</formula>
    </cfRule>
  </conditionalFormatting>
  <conditionalFormatting sqref="N38:O48">
    <cfRule type="cellIs" dxfId="4763" priority="7" operator="greaterThan">
      <formula>0</formula>
    </cfRule>
  </conditionalFormatting>
  <conditionalFormatting sqref="O14:O22">
    <cfRule type="cellIs" dxfId="4762" priority="24" operator="greaterThan">
      <formula>0</formula>
    </cfRule>
  </conditionalFormatting>
  <dataValidations count="3">
    <dataValidation type="list" allowBlank="1" showInputMessage="1" showErrorMessage="1" sqref="E14:E34" xr:uid="{28569EFE-6E40-084A-98FF-4B8176DE57F3}">
      <formula1>"0,1,2,3,4,5,6,7,8,9,10,11,12,13,14,15,16,17,18,19,20"</formula1>
    </dataValidation>
    <dataValidation operator="greaterThan" allowBlank="1" showInputMessage="1" showErrorMessage="1" sqref="F14:F28 F31:F32" xr:uid="{FEA0CF03-172C-294A-AE09-2827EDA73D19}"/>
    <dataValidation type="list" allowBlank="1" showInputMessage="1" showErrorMessage="1" sqref="H36" xr:uid="{39F3637E-0D67-224D-A70A-BE49CC417870}">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B3ED58C5-CB3B-CB4A-A26C-1157D94D7E0E}">
          <x14:formula1>
            <xm:f>'Base Costs'!$A$32:$A$37</xm:f>
          </x14:formula1>
          <xm:sqref>C9</xm:sqref>
        </x14:dataValidation>
        <x14:dataValidation type="list" allowBlank="1" showInputMessage="1" showErrorMessage="1" xr:uid="{4C3FCB1E-C9AF-1144-B3B7-07647D80FE74}">
          <x14:formula1>
            <xm:f>'Base Costs'!$E$4:$E$213</xm:f>
          </x14:formula1>
          <xm:sqref>E38</xm:sqref>
        </x14:dataValidation>
        <x14:dataValidation type="list" allowBlank="1" showInputMessage="1" showErrorMessage="1" xr:uid="{33D6358E-2F49-854D-AADE-1711790A16C8}">
          <x14:formula1>
            <xm:f>'Base Costs'!$A$4:$A$16</xm:f>
          </x14:formula1>
          <xm:sqref>E39:E40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D1F58-439F-3B4D-853C-ABCC3472514C}">
  <sheetPr>
    <tabColor theme="8" tint="0.79998168889431442"/>
    <pageSetUpPr fitToPage="1"/>
  </sheetPr>
  <dimension ref="A1:AD160"/>
  <sheetViews>
    <sheetView showGridLines="0" topLeftCell="B4" zoomScale="90" zoomScaleNormal="90" zoomScaleSheetLayoutView="50" workbookViewId="0">
      <selection activeCell="R29" sqref="R29"/>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1509</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IF(K36=0,"-",O36/M36)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1" t="s">
        <v>1442</v>
      </c>
      <c r="G38" s="1121"/>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1393</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1" t="s">
        <v>1443</v>
      </c>
      <c r="G42" s="1121"/>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4" t="s">
        <v>1494</v>
      </c>
      <c r="F46" s="1185"/>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4761" priority="35" operator="containsText" text="SELECT">
      <formula>NOT(ISERROR(SEARCH("SELECT",C9)))</formula>
    </cfRule>
    <cfRule type="expression" dxfId="4760" priority="36">
      <formula>C9="CURRENCY"</formula>
    </cfRule>
  </conditionalFormatting>
  <conditionalFormatting sqref="C14:C33">
    <cfRule type="expression" dxfId="4759" priority="1">
      <formula>$J14&gt;0</formula>
    </cfRule>
  </conditionalFormatting>
  <conditionalFormatting sqref="C37:C47">
    <cfRule type="expression" dxfId="4758" priority="12">
      <formula>$D37&gt;0</formula>
    </cfRule>
  </conditionalFormatting>
  <conditionalFormatting sqref="D37:D38 D40:D47">
    <cfRule type="cellIs" dxfId="4757" priority="37" operator="lessThan">
      <formula>1</formula>
    </cfRule>
  </conditionalFormatting>
  <conditionalFormatting sqref="D39">
    <cfRule type="cellIs" dxfId="4756" priority="32" operator="lessThan">
      <formula>1</formula>
    </cfRule>
  </conditionalFormatting>
  <conditionalFormatting sqref="D9:E9">
    <cfRule type="cellIs" dxfId="4755" priority="33" operator="lessThan">
      <formula>0</formula>
    </cfRule>
    <cfRule type="cellIs" dxfId="4754" priority="34" operator="greaterThan">
      <formula>0</formula>
    </cfRule>
  </conditionalFormatting>
  <conditionalFormatting sqref="F12">
    <cfRule type="expression" dxfId="4753" priority="42">
      <formula>AND((ISNUMBER(SEARCH("I-MUAP",$E$14))),F12&lt;2500)</formula>
    </cfRule>
    <cfRule type="expression" dxfId="4752" priority="43">
      <formula>ISNUMBER(SEARCH("I-MUAP",$E$14))</formula>
    </cfRule>
    <cfRule type="cellIs" dxfId="4751" priority="44" operator="greaterThan">
      <formula>2000</formula>
    </cfRule>
  </conditionalFormatting>
  <conditionalFormatting sqref="F12:G12">
    <cfRule type="cellIs" dxfId="4750" priority="38" operator="lessThan">
      <formula>1000</formula>
    </cfRule>
  </conditionalFormatting>
  <conditionalFormatting sqref="F14:G26">
    <cfRule type="cellIs" dxfId="4749" priority="5" operator="lessThan">
      <formula>1000</formula>
    </cfRule>
  </conditionalFormatting>
  <conditionalFormatting sqref="F30:G31">
    <cfRule type="cellIs" dxfId="4748" priority="2" operator="lessThan">
      <formula>1000</formula>
    </cfRule>
  </conditionalFormatting>
  <conditionalFormatting sqref="G12">
    <cfRule type="cellIs" dxfId="4747" priority="39" operator="greaterThan">
      <formula>3001</formula>
    </cfRule>
  </conditionalFormatting>
  <conditionalFormatting sqref="H11">
    <cfRule type="expression" dxfId="4746" priority="41">
      <formula>((G14-50)/I14)&lt;950</formula>
    </cfRule>
  </conditionalFormatting>
  <conditionalFormatting sqref="H12">
    <cfRule type="expression" dxfId="4745" priority="40">
      <formula>((G14-50)/I14)&lt;950</formula>
    </cfRule>
  </conditionalFormatting>
  <conditionalFormatting sqref="H14:H26">
    <cfRule type="cellIs" dxfId="4744" priority="6" operator="lessThan">
      <formula>400</formula>
    </cfRule>
  </conditionalFormatting>
  <conditionalFormatting sqref="H30:H31">
    <cfRule type="cellIs" dxfId="4743" priority="3" operator="lessThan">
      <formula>400</formula>
    </cfRule>
  </conditionalFormatting>
  <conditionalFormatting sqref="H34">
    <cfRule type="expression" dxfId="4742" priority="49">
      <formula>((#REF!-50)/#REF!)&lt;950</formula>
    </cfRule>
  </conditionalFormatting>
  <conditionalFormatting sqref="J14:J31">
    <cfRule type="cellIs" dxfId="4741" priority="17" operator="greaterThan">
      <formula>0</formula>
    </cfRule>
  </conditionalFormatting>
  <conditionalFormatting sqref="J37:J47">
    <cfRule type="expression" dxfId="4740" priority="25">
      <formula>D37&gt;0</formula>
    </cfRule>
  </conditionalFormatting>
  <conditionalFormatting sqref="J49:J55">
    <cfRule type="expression" dxfId="4739" priority="30">
      <formula>#REF!="EURO"</formula>
    </cfRule>
  </conditionalFormatting>
  <conditionalFormatting sqref="K14:K33">
    <cfRule type="cellIs" dxfId="4738" priority="4" operator="greaterThan">
      <formula>0</formula>
    </cfRule>
  </conditionalFormatting>
  <conditionalFormatting sqref="K37:K47">
    <cfRule type="cellIs" dxfId="4737" priority="31" operator="greaterThan">
      <formula>0</formula>
    </cfRule>
  </conditionalFormatting>
  <conditionalFormatting sqref="K49:K55">
    <cfRule type="expression" dxfId="4736" priority="26">
      <formula>$C$9="PLN"</formula>
    </cfRule>
    <cfRule type="expression" dxfId="4735" priority="27">
      <formula>$C$9="CZK"</formula>
    </cfRule>
    <cfRule type="expression" dxfId="4734" priority="28">
      <formula>$C$9="USD"</formula>
    </cfRule>
    <cfRule type="expression" dxfId="4733" priority="29">
      <formula>$C$9="EURO"</formula>
    </cfRule>
  </conditionalFormatting>
  <conditionalFormatting sqref="L14:L33">
    <cfRule type="expression" dxfId="4732" priority="15">
      <formula>$D$9&lt;0</formula>
    </cfRule>
    <cfRule type="expression" dxfId="4731" priority="16">
      <formula>$D$9&gt;0</formula>
    </cfRule>
  </conditionalFormatting>
  <conditionalFormatting sqref="L37:L47">
    <cfRule type="expression" dxfId="4730" priority="13">
      <formula>$D$9&lt;0</formula>
    </cfRule>
    <cfRule type="expression" dxfId="4729" priority="14">
      <formula>$D$9&gt;0</formula>
    </cfRule>
  </conditionalFormatting>
  <conditionalFormatting sqref="N9 N12">
    <cfRule type="expression" dxfId="4728" priority="45">
      <formula>$C$9="PLN"</formula>
    </cfRule>
    <cfRule type="expression" dxfId="4727" priority="46">
      <formula>$C$9="CZK"</formula>
    </cfRule>
    <cfRule type="expression" dxfId="4726" priority="47">
      <formula>$C$9="USD"</formula>
    </cfRule>
    <cfRule type="expression" dxfId="4725" priority="48">
      <formula>$C$9="EURO"</formula>
    </cfRule>
  </conditionalFormatting>
  <conditionalFormatting sqref="N14:N33">
    <cfRule type="expression" dxfId="4724" priority="19">
      <formula>$C$9="PLN"</formula>
    </cfRule>
    <cfRule type="expression" dxfId="4723" priority="20">
      <formula>$C$9="CZK"</formula>
    </cfRule>
    <cfRule type="expression" dxfId="4722" priority="21">
      <formula>$C$9="USD"</formula>
    </cfRule>
    <cfRule type="expression" dxfId="4721" priority="22">
      <formula>$C$9="EURO"</formula>
    </cfRule>
  </conditionalFormatting>
  <conditionalFormatting sqref="N18:N20">
    <cfRule type="cellIs" dxfId="4720" priority="23" operator="greaterThan">
      <formula>0</formula>
    </cfRule>
  </conditionalFormatting>
  <conditionalFormatting sqref="N36:N47">
    <cfRule type="expression" dxfId="4719" priority="8">
      <formula>$C$9="PLN"</formula>
    </cfRule>
    <cfRule type="expression" dxfId="4718" priority="9">
      <formula>$C$9="CZK"</formula>
    </cfRule>
    <cfRule type="expression" dxfId="4717" priority="10">
      <formula>$C$9="USD"</formula>
    </cfRule>
    <cfRule type="expression" dxfId="4716" priority="11">
      <formula>$C$9="EURO"</formula>
    </cfRule>
  </conditionalFormatting>
  <conditionalFormatting sqref="N14:O33">
    <cfRule type="cellIs" dxfId="4715" priority="18" operator="greaterThan">
      <formula>0</formula>
    </cfRule>
  </conditionalFormatting>
  <conditionalFormatting sqref="N37:O47">
    <cfRule type="cellIs" dxfId="4714" priority="7" operator="greaterThan">
      <formula>0</formula>
    </cfRule>
  </conditionalFormatting>
  <conditionalFormatting sqref="O14:O20">
    <cfRule type="cellIs" dxfId="4713" priority="24" operator="greaterThan">
      <formula>0</formula>
    </cfRule>
  </conditionalFormatting>
  <dataValidations count="3">
    <dataValidation type="list" allowBlank="1" showInputMessage="1" showErrorMessage="1" sqref="H35" xr:uid="{0DFD2E71-9DF9-484C-8E55-DD51D2DEAF4C}">
      <formula1>#REF!</formula1>
    </dataValidation>
    <dataValidation operator="greaterThan" allowBlank="1" showInputMessage="1" showErrorMessage="1" sqref="F14:F26 F30:F31" xr:uid="{9CC10A5E-46AC-F547-B257-36184D948A17}"/>
    <dataValidation type="list" allowBlank="1" showInputMessage="1" showErrorMessage="1" sqref="E14:E33" xr:uid="{740E41B9-D54D-4747-8A51-D4983E048A56}">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2373ABF6-C25C-7E4B-86FF-2133FD7E2A0C}">
          <x14:formula1>
            <xm:f>'Base Costs'!$A$4:$A$16</xm:f>
          </x14:formula1>
          <xm:sqref>E38:E39</xm:sqref>
        </x14:dataValidation>
        <x14:dataValidation type="list" allowBlank="1" showInputMessage="1" showErrorMessage="1" xr:uid="{08651118-BC27-DB43-A796-E3F9A0EDDEA2}">
          <x14:formula1>
            <xm:f>'Base Costs'!$E$4:$E$213</xm:f>
          </x14:formula1>
          <xm:sqref>E37</xm:sqref>
        </x14:dataValidation>
        <x14:dataValidation type="list" allowBlank="1" showInputMessage="1" showErrorMessage="1" xr:uid="{CD4BD007-4FA9-2545-B22A-E5224CCAB070}">
          <x14:formula1>
            <xm:f>'Base Costs'!$A$32:$A$37</xm:f>
          </x14:formula1>
          <xm:sqref>C9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4CBF6-A5BA-BA48-8C70-BBBB8D976014}">
  <sheetPr>
    <tabColor theme="8" tint="0.79998168889431442"/>
    <pageSetUpPr fitToPage="1"/>
  </sheetPr>
  <dimension ref="A1:AB310"/>
  <sheetViews>
    <sheetView showGridLines="0" topLeftCell="A3" zoomScale="80" zoomScaleNormal="80" zoomScaleSheetLayoutView="50" workbookViewId="0">
      <selection activeCell="R29" sqref="R29"/>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13"/>
      <c r="F3" s="690" t="s">
        <v>78</v>
      </c>
      <c r="G3" s="1084"/>
      <c r="H3" s="1114"/>
      <c r="I3" s="1114"/>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13"/>
      <c r="F5" s="690" t="s">
        <v>77</v>
      </c>
      <c r="G5" s="1084"/>
      <c r="H5" s="1114"/>
      <c r="I5" s="1114"/>
      <c r="J5" s="1114"/>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13"/>
      <c r="F7" s="690" t="s">
        <v>76</v>
      </c>
      <c r="G7" s="1086"/>
      <c r="H7" s="1115"/>
      <c r="I7" s="1115"/>
      <c r="J7" s="1115"/>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2"/>
      <c r="F9" s="1112"/>
      <c r="G9" s="1125"/>
      <c r="H9" s="1126"/>
      <c r="I9" s="1126"/>
      <c r="J9" s="1126"/>
      <c r="K9" s="703">
        <f>SUBTOTAL(9,K12:K197)</f>
        <v>0</v>
      </c>
      <c r="L9" s="982" t="str">
        <f>IF(O9=0,"-",O9/M9)</f>
        <v>-</v>
      </c>
      <c r="M9" s="703">
        <f>SUBTOTAL(9,M12:M197)</f>
        <v>0</v>
      </c>
      <c r="N9" s="705">
        <f>SUBTOTAL(9,N12:N197)</f>
        <v>0</v>
      </c>
      <c r="O9" s="703">
        <f>SUBTOTAL(9,O12:O197)</f>
        <v>0</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344</v>
      </c>
      <c r="C16" s="752" t="s">
        <v>347</v>
      </c>
      <c r="D16" s="735"/>
      <c r="E16" s="753" t="str">
        <f>IF(C16="","",VLOOKUP(C16,CCBASE!$A$53:$D$73,4,FALSE))</f>
        <v/>
      </c>
      <c r="F16" s="754"/>
      <c r="G16" s="749"/>
      <c r="H16" s="750"/>
      <c r="I16" s="755"/>
      <c r="J16" s="736">
        <f>IF(C16="",0,VLOOKUP(C16,CCBASE!$A$53:$C$73,2,FALSE))</f>
        <v>0</v>
      </c>
      <c r="K16" s="737">
        <f>J16*D16</f>
        <v>0</v>
      </c>
      <c r="L16" s="738">
        <v>0.35</v>
      </c>
      <c r="M16" s="739">
        <f t="shared" si="0"/>
        <v>0</v>
      </c>
      <c r="N16" s="737">
        <f>M16*VLOOKUP($B$9,'Base Costs'!$A$32:$B$37,2,FALSE)</f>
        <v>0</v>
      </c>
      <c r="O16" s="740">
        <f t="shared" si="1"/>
        <v>0</v>
      </c>
      <c r="P16" s="745"/>
      <c r="Q16" s="940"/>
      <c r="S16" s="694"/>
      <c r="Y16" s="673"/>
    </row>
    <row r="17" spans="1:26" ht="15"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customHeight="1" outlineLevel="1" x14ac:dyDescent="0.15">
      <c r="B18" s="992" t="s">
        <v>344</v>
      </c>
      <c r="C18" s="993" t="s">
        <v>1404</v>
      </c>
      <c r="D18" s="994">
        <v>0</v>
      </c>
      <c r="E18" s="995" t="str">
        <f>IF(C18="","",VLOOKUP(C18,CCBASE!$A$53:$D$73,4,FALSE))</f>
        <v>SECTION(S) OF CANOPY</v>
      </c>
      <c r="F18" s="996"/>
      <c r="G18" s="991"/>
      <c r="H18" s="997"/>
      <c r="I18" s="998"/>
      <c r="J18" s="999">
        <f>IF(C18="",0,VLOOKUP(C18,CCBASE!$A$53:$C$73,2,FALSE))</f>
        <v>50</v>
      </c>
      <c r="K18" s="1000">
        <f>J18*D18</f>
        <v>0</v>
      </c>
      <c r="L18" s="1001">
        <v>0.44</v>
      </c>
      <c r="M18" s="1002">
        <f t="shared" si="0"/>
        <v>0</v>
      </c>
      <c r="N18" s="1000">
        <f>M18*VLOOKUP($B$9,'Base Costs'!$A$32:$B$37,2,FALSE)</f>
        <v>0</v>
      </c>
      <c r="O18" s="1003">
        <f t="shared" si="1"/>
        <v>0</v>
      </c>
      <c r="P18" s="1004" t="s">
        <v>1453</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P19" t="s">
        <v>1513</v>
      </c>
      <c r="Q19" t="s">
        <v>1514</v>
      </c>
      <c r="R19" s="217"/>
      <c r="S19" s="229" t="s">
        <v>1515</v>
      </c>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K32" si="2">J24*1</f>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344</v>
      </c>
      <c r="C33" s="752" t="s">
        <v>347</v>
      </c>
      <c r="D33" s="735"/>
      <c r="E33" s="753" t="str">
        <f>IF(C33="","",VLOOKUP(C33,CCBASE!$A$53:$D$73,4,FALSE))</f>
        <v/>
      </c>
      <c r="F33" s="754"/>
      <c r="G33" s="749"/>
      <c r="H33" s="750"/>
      <c r="I33" s="755"/>
      <c r="J33" s="736">
        <f>IF(C33="",0,VLOOKUP(C33,CCBASE!$A$53:$C$73,2,FALSE))</f>
        <v>0</v>
      </c>
      <c r="K33" s="737">
        <f>J33*D33</f>
        <v>0</v>
      </c>
      <c r="L33" s="738">
        <v>0.35</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8"/>
      <c r="F35" s="119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ROUNDUP($F31/1000,0)</f>
        <v>0</v>
      </c>
      <c r="E36" s="1110" t="s">
        <v>1092</v>
      </c>
      <c r="F36" s="1196"/>
      <c r="G36" s="754"/>
      <c r="H36" s="750"/>
      <c r="I36" s="755"/>
      <c r="J36" s="736">
        <f>IF(D36=0,0,VLOOKUP(C36,'Base Costs'!$A$19:$B$22,2,FALSE))</f>
        <v>0</v>
      </c>
      <c r="K36" s="737">
        <f>J36*D36</f>
        <v>0</v>
      </c>
      <c r="L36" s="738">
        <v>0.44</v>
      </c>
      <c r="M36" s="739">
        <f t="shared" si="3"/>
        <v>0</v>
      </c>
      <c r="N36" s="737">
        <f>M36*VLOOKUP($B$9,'Base Costs'!$A$32:$B$37,2,FALSE)</f>
        <v>0</v>
      </c>
      <c r="O36" s="740">
        <f>M36-K36</f>
        <v>0</v>
      </c>
      <c r="P36" t="s">
        <v>1513</v>
      </c>
      <c r="Q36" t="s">
        <v>1514</v>
      </c>
      <c r="R36" s="217"/>
      <c r="S36" s="229" t="s">
        <v>1515</v>
      </c>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269" t="s">
        <v>344</v>
      </c>
      <c r="C50" s="752" t="s">
        <v>347</v>
      </c>
      <c r="D50" s="735"/>
      <c r="E50" s="753" t="str">
        <f>IF(C50="","",VLOOKUP(C50,CCBASE!$A$53:$D$73,4,FALSE))</f>
        <v/>
      </c>
      <c r="F50" s="754"/>
      <c r="G50" s="749"/>
      <c r="H50" s="750"/>
      <c r="I50" s="755"/>
      <c r="J50" s="736">
        <f>IF(C50="",0,VLOOKUP(C50,CCBASE!$A$53:$C$73,2,FALSE))</f>
        <v>0</v>
      </c>
      <c r="K50" s="737">
        <f>J50*D50</f>
        <v>0</v>
      </c>
      <c r="L50" s="738">
        <v>0.35</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ROUNDUP($F48/1000,0)</f>
        <v>0</v>
      </c>
      <c r="E53" s="1110" t="s">
        <v>1092</v>
      </c>
      <c r="F53" s="1196"/>
      <c r="G53" s="754"/>
      <c r="H53" s="750"/>
      <c r="I53" s="755"/>
      <c r="J53" s="736">
        <f>IF(D53=0,0,VLOOKUP(C53,'Base Costs'!$A$19:$B$22,2,FALSE))</f>
        <v>0</v>
      </c>
      <c r="K53" s="737">
        <f>J53*D53</f>
        <v>0</v>
      </c>
      <c r="L53" s="738">
        <v>0.44</v>
      </c>
      <c r="M53" s="739">
        <f t="shared" si="7"/>
        <v>0</v>
      </c>
      <c r="N53" s="737">
        <f>M53*VLOOKUP($B$9,'Base Costs'!$A$32:$B$37,2,FALSE)</f>
        <v>0</v>
      </c>
      <c r="O53" s="740">
        <f>M53-K53</f>
        <v>0</v>
      </c>
      <c r="P53" t="s">
        <v>1513</v>
      </c>
      <c r="Q53" t="s">
        <v>1514</v>
      </c>
      <c r="R53" s="217"/>
      <c r="S53" s="229" t="s">
        <v>1515</v>
      </c>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269" t="s">
        <v>344</v>
      </c>
      <c r="C67" s="752" t="s">
        <v>347</v>
      </c>
      <c r="D67" s="735"/>
      <c r="E67" s="753" t="str">
        <f>IF(C67="","",VLOOKUP(C67,CCBASE!$A$53:$D$73,4,FALSE))</f>
        <v/>
      </c>
      <c r="F67" s="754"/>
      <c r="G67" s="749"/>
      <c r="H67" s="750"/>
      <c r="I67" s="755"/>
      <c r="J67" s="736">
        <f>IF(C67="",0,VLOOKUP(C67,CCBASE!$A$53:$C$73,2,FALSE))</f>
        <v>0</v>
      </c>
      <c r="K67" s="737">
        <f>J67*D67</f>
        <v>0</v>
      </c>
      <c r="L67" s="738">
        <v>0.35</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1"/>
        <v>0</v>
      </c>
      <c r="N70" s="737">
        <f>M70*VLOOKUP($B$9,'Base Costs'!$A$32:$B$37,2,FALSE)</f>
        <v>0</v>
      </c>
      <c r="O70" s="740">
        <f>M70-K70</f>
        <v>0</v>
      </c>
      <c r="P70" t="s">
        <v>1513</v>
      </c>
      <c r="Q70" t="s">
        <v>1514</v>
      </c>
      <c r="R70" s="217"/>
      <c r="S70" s="229" t="s">
        <v>1515</v>
      </c>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217"/>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269" t="s">
        <v>344</v>
      </c>
      <c r="C84" s="752" t="s">
        <v>347</v>
      </c>
      <c r="D84" s="735"/>
      <c r="E84" s="753" t="str">
        <f>IF(C84="","",VLOOKUP(C84,CCBASE!$A$53:$D$73,4,FALSE))</f>
        <v/>
      </c>
      <c r="F84" s="754"/>
      <c r="G84" s="749"/>
      <c r="H84" s="750"/>
      <c r="I84" s="755"/>
      <c r="J84" s="736">
        <f>IF(C84="",0,VLOOKUP(C84,CCBASE!$A$53:$C$73,2,FALSE))</f>
        <v>0</v>
      </c>
      <c r="K84" s="737">
        <f>J84*D84</f>
        <v>0</v>
      </c>
      <c r="L84" s="738">
        <v>0.35</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5"/>
        <v>0</v>
      </c>
      <c r="N87" s="737">
        <f>M87*VLOOKUP($B$9,'Base Costs'!$A$32:$B$37,2,FALSE)</f>
        <v>0</v>
      </c>
      <c r="O87" s="740">
        <f>M87-K87</f>
        <v>0</v>
      </c>
      <c r="P87" t="s">
        <v>1513</v>
      </c>
      <c r="Q87" t="s">
        <v>1514</v>
      </c>
      <c r="R87" s="217"/>
      <c r="S87" s="229" t="s">
        <v>1515</v>
      </c>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269" t="s">
        <v>344</v>
      </c>
      <c r="C101" s="752" t="s">
        <v>347</v>
      </c>
      <c r="D101" s="735"/>
      <c r="E101" s="753" t="str">
        <f>IF(C101="","",VLOOKUP(C101,CCBASE!$A$53:$D$73,4,FALSE))</f>
        <v/>
      </c>
      <c r="F101" s="754"/>
      <c r="G101" s="749"/>
      <c r="H101" s="750"/>
      <c r="I101" s="755"/>
      <c r="J101" s="736">
        <f>IF(C101="",0,VLOOKUP(C101,CCBASE!$A$53:$C$73,2,FALSE))</f>
        <v>0</v>
      </c>
      <c r="K101" s="737">
        <f>J101*D101</f>
        <v>0</v>
      </c>
      <c r="L101" s="738">
        <v>0.35</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19"/>
        <v>0</v>
      </c>
      <c r="N104" s="737">
        <f>M104*VLOOKUP($B$9,'Base Costs'!$A$32:$B$37,2,FALSE)</f>
        <v>0</v>
      </c>
      <c r="O104" s="740">
        <f>M104-K104</f>
        <v>0</v>
      </c>
      <c r="P104" t="s">
        <v>1513</v>
      </c>
      <c r="Q104" t="s">
        <v>1514</v>
      </c>
      <c r="R104" s="217"/>
      <c r="S104" s="229" t="s">
        <v>1515</v>
      </c>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269" t="s">
        <v>344</v>
      </c>
      <c r="C118" s="752" t="s">
        <v>347</v>
      </c>
      <c r="D118" s="735"/>
      <c r="E118" s="753" t="str">
        <f>IF(C118="","",VLOOKUP(C118,CCBASE!$A$53:$D$73,4,FALSE))</f>
        <v/>
      </c>
      <c r="F118" s="754"/>
      <c r="G118" s="749"/>
      <c r="H118" s="750"/>
      <c r="I118" s="755"/>
      <c r="J118" s="736">
        <f>IF(C118="",0,VLOOKUP(C118,CCBASE!$A$53:$C$73,2,FALSE))</f>
        <v>0</v>
      </c>
      <c r="K118" s="737">
        <f>J118*D118</f>
        <v>0</v>
      </c>
      <c r="L118" s="738">
        <v>0.35</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3"/>
        <v>0</v>
      </c>
      <c r="N121" s="737">
        <f>M121*VLOOKUP($B$9,'Base Costs'!$A$32:$B$37,2,FALSE)</f>
        <v>0</v>
      </c>
      <c r="O121" s="740">
        <f>M121-K121</f>
        <v>0</v>
      </c>
      <c r="P121" t="s">
        <v>1513</v>
      </c>
      <c r="Q121" t="s">
        <v>1514</v>
      </c>
      <c r="R121" s="217"/>
      <c r="S121" s="229" t="s">
        <v>1515</v>
      </c>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269" t="s">
        <v>344</v>
      </c>
      <c r="C135" s="752" t="s">
        <v>347</v>
      </c>
      <c r="D135" s="735"/>
      <c r="E135" s="753" t="str">
        <f>IF(C135="","",VLOOKUP(C135,CCBASE!$A$53:$D$73,4,FALSE))</f>
        <v/>
      </c>
      <c r="F135" s="754"/>
      <c r="G135" s="749"/>
      <c r="H135" s="750"/>
      <c r="I135" s="755"/>
      <c r="J135" s="736">
        <f>IF(C135="",0,VLOOKUP(C135,CCBASE!$A$53:$C$73,2,FALSE))</f>
        <v>0</v>
      </c>
      <c r="K135" s="737">
        <f>J135*D135</f>
        <v>0</v>
      </c>
      <c r="L135" s="738">
        <v>0.35</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ROUNDUP($F133/1000,0)</f>
        <v>0</v>
      </c>
      <c r="E138" s="1110" t="s">
        <v>1092</v>
      </c>
      <c r="F138" s="1108"/>
      <c r="G138" s="754"/>
      <c r="H138" s="750"/>
      <c r="I138" s="755"/>
      <c r="J138" s="736">
        <f>IF(D138=0,0,VLOOKUP(C138,'Base Costs'!$A$19:$B$22,2,FALSE))</f>
        <v>0</v>
      </c>
      <c r="K138" s="737">
        <f>J138*D138</f>
        <v>0</v>
      </c>
      <c r="L138" s="738">
        <v>0.44</v>
      </c>
      <c r="M138" s="739">
        <f t="shared" si="27"/>
        <v>0</v>
      </c>
      <c r="N138" s="737">
        <f>M138*VLOOKUP($B$9,'Base Costs'!$A$32:$B$37,2,FALSE)</f>
        <v>0</v>
      </c>
      <c r="O138" s="740">
        <f>M138-K138</f>
        <v>0</v>
      </c>
      <c r="P138" t="s">
        <v>1513</v>
      </c>
      <c r="Q138" t="s">
        <v>1514</v>
      </c>
      <c r="R138" s="217"/>
      <c r="S138" s="229" t="s">
        <v>1515</v>
      </c>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269" t="s">
        <v>344</v>
      </c>
      <c r="C152" s="752" t="s">
        <v>347</v>
      </c>
      <c r="D152" s="735"/>
      <c r="E152" s="753" t="str">
        <f>IF(C152="","",VLOOKUP(C152,CCBASE!$A$53:$D$73,4,FALSE))</f>
        <v/>
      </c>
      <c r="F152" s="754"/>
      <c r="G152" s="749"/>
      <c r="H152" s="750"/>
      <c r="I152" s="755"/>
      <c r="J152" s="736">
        <f>IF(C152="",0,VLOOKUP(C152,CCBASE!$A$53:$C$73,2,FALSE))</f>
        <v>0</v>
      </c>
      <c r="K152" s="737">
        <f>J152*D152</f>
        <v>0</v>
      </c>
      <c r="L152" s="738">
        <v>0.35</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1"/>
        <v>0</v>
      </c>
      <c r="N155" s="737">
        <f>M155*VLOOKUP($B$9,'Base Costs'!$A$32:$B$37,2,FALSE)</f>
        <v>0</v>
      </c>
      <c r="O155" s="740">
        <f>M155-K155</f>
        <v>0</v>
      </c>
      <c r="P155" t="s">
        <v>1513</v>
      </c>
      <c r="Q155" t="s">
        <v>1514</v>
      </c>
      <c r="R155" s="217"/>
      <c r="S155" s="229" t="s">
        <v>1515</v>
      </c>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269" t="s">
        <v>344</v>
      </c>
      <c r="C169" s="752" t="s">
        <v>347</v>
      </c>
      <c r="D169" s="735"/>
      <c r="E169" s="753" t="str">
        <f>IF(C169="","",VLOOKUP(C169,CCBASE!$A$53:$D$73,4,FALSE))</f>
        <v/>
      </c>
      <c r="F169" s="754"/>
      <c r="G169" s="749"/>
      <c r="H169" s="750"/>
      <c r="I169" s="755"/>
      <c r="J169" s="736">
        <f>IF(C169="",0,VLOOKUP(C169,CCBASE!$A$53:$C$73,2,FALSE))</f>
        <v>0</v>
      </c>
      <c r="K169" s="737">
        <f>J169*D169</f>
        <v>0</v>
      </c>
      <c r="L169" s="738">
        <v>0.35</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35"/>
        <v>0</v>
      </c>
      <c r="N172" s="737">
        <f>M172*VLOOKUP($B$9,'Base Costs'!$A$32:$B$37,2,FALSE)</f>
        <v>0</v>
      </c>
      <c r="O172" s="740">
        <f>M172-K172</f>
        <v>0</v>
      </c>
      <c r="P172" t="s">
        <v>1513</v>
      </c>
      <c r="Q172" t="s">
        <v>1514</v>
      </c>
      <c r="R172" s="217"/>
      <c r="S172" s="229" t="s">
        <v>1515</v>
      </c>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IF(K182=0,"-",O182/M182)</f>
        <v>-</v>
      </c>
      <c r="M182" s="723">
        <f>SUBTOTAL(9,M183:M197)</f>
        <v>0</v>
      </c>
      <c r="N182" s="705">
        <f>SUBTOTAL(9,N183:N197)</f>
        <v>0</v>
      </c>
      <c r="O182" s="703">
        <f>SUBTOTAL(9,O183:O197)</f>
        <v>0</v>
      </c>
      <c r="S182" s="694"/>
    </row>
    <row r="183" spans="1:25" ht="15" customHeight="1" x14ac:dyDescent="0.15">
      <c r="A183" s="666">
        <v>222</v>
      </c>
      <c r="B183" s="589" t="s">
        <v>1133</v>
      </c>
      <c r="C183" s="774"/>
      <c r="D183" s="775" t="s">
        <v>48</v>
      </c>
      <c r="E183" s="1118" t="s">
        <v>732</v>
      </c>
      <c r="F183" s="1119"/>
      <c r="G183" s="1109"/>
      <c r="H183" s="1109"/>
      <c r="I183" s="110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7"/>
      <c r="F186" s="1108"/>
      <c r="G186" s="1109"/>
      <c r="H186" s="1109"/>
      <c r="I186" s="110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6" t="s">
        <v>1495</v>
      </c>
      <c r="E193" s="1117"/>
      <c r="F193" s="111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4712" priority="687" operator="containsText" text="SELECT">
      <formula>NOT(ISERROR(SEARCH("SELECT",B9)))</formula>
    </cfRule>
    <cfRule type="expression" dxfId="4711" priority="688">
      <formula>B9="CURRENCY"</formula>
    </cfRule>
  </conditionalFormatting>
  <conditionalFormatting sqref="B11">
    <cfRule type="expression" dxfId="4710" priority="650">
      <formula>$B11&lt;&gt;""</formula>
    </cfRule>
  </conditionalFormatting>
  <conditionalFormatting sqref="B14:B23">
    <cfRule type="expression" dxfId="4709" priority="642">
      <formula>$J14&gt;0</formula>
    </cfRule>
  </conditionalFormatting>
  <conditionalFormatting sqref="B24">
    <cfRule type="expression" dxfId="4708" priority="639">
      <formula>ISNUMBER(SEARCH("UV",$D14))</formula>
    </cfRule>
    <cfRule type="expression" dxfId="4707" priority="640">
      <formula>($D14="CANOPY TYPE")</formula>
    </cfRule>
  </conditionalFormatting>
  <conditionalFormatting sqref="B25:B27">
    <cfRule type="expression" dxfId="4706" priority="455">
      <formula>$J25&gt;0</formula>
    </cfRule>
  </conditionalFormatting>
  <conditionalFormatting sqref="B28">
    <cfRule type="expression" dxfId="4705" priority="648">
      <formula>$B28&lt;&gt;""</formula>
    </cfRule>
  </conditionalFormatting>
  <conditionalFormatting sqref="B31:B32 B34:B40">
    <cfRule type="expression" dxfId="4704" priority="400">
      <formula>$J31&gt;0</formula>
    </cfRule>
  </conditionalFormatting>
  <conditionalFormatting sqref="B41">
    <cfRule type="expression" dxfId="4703" priority="607">
      <formula>ISNUMBER(SEARCH("UV",$D31))</formula>
    </cfRule>
    <cfRule type="expression" dxfId="4702" priority="608">
      <formula>($D31="CANOPY TYPE")</formula>
    </cfRule>
  </conditionalFormatting>
  <conditionalFormatting sqref="B42:B44">
    <cfRule type="expression" dxfId="4701" priority="609">
      <formula>$J42&gt;0</formula>
    </cfRule>
  </conditionalFormatting>
  <conditionalFormatting sqref="B45">
    <cfRule type="expression" dxfId="4700" priority="647">
      <formula>$B45&lt;&gt;""</formula>
    </cfRule>
  </conditionalFormatting>
  <conditionalFormatting sqref="B48:B49 B51:B57">
    <cfRule type="expression" dxfId="4699" priority="374">
      <formula>$J48&gt;0</formula>
    </cfRule>
  </conditionalFormatting>
  <conditionalFormatting sqref="B58">
    <cfRule type="expression" dxfId="4698" priority="577">
      <formula>ISNUMBER(SEARCH("UV",$D48))</formula>
    </cfRule>
    <cfRule type="expression" dxfId="4697" priority="578">
      <formula>($D48="CANOPY TYPE")</formula>
    </cfRule>
  </conditionalFormatting>
  <conditionalFormatting sqref="B59:B61">
    <cfRule type="expression" dxfId="4696" priority="454">
      <formula>$J59&gt;0</formula>
    </cfRule>
  </conditionalFormatting>
  <conditionalFormatting sqref="B62">
    <cfRule type="expression" dxfId="4695" priority="646">
      <formula>$B62&lt;&gt;""</formula>
    </cfRule>
  </conditionalFormatting>
  <conditionalFormatting sqref="B65:B66 B68:B74">
    <cfRule type="expression" dxfId="4694" priority="348">
      <formula>$J65&gt;0</formula>
    </cfRule>
  </conditionalFormatting>
  <conditionalFormatting sqref="B75">
    <cfRule type="expression" dxfId="4693" priority="546">
      <formula>ISNUMBER(SEARCH("UV",$D65))</formula>
    </cfRule>
    <cfRule type="expression" dxfId="4692" priority="547">
      <formula>($D65="CANOPY TYPE")</formula>
    </cfRule>
  </conditionalFormatting>
  <conditionalFormatting sqref="B76:B78">
    <cfRule type="expression" dxfId="4691" priority="453">
      <formula>$J76&gt;0</formula>
    </cfRule>
  </conditionalFormatting>
  <conditionalFormatting sqref="B79">
    <cfRule type="expression" dxfId="4690" priority="645">
      <formula>$B79&lt;&gt;""</formula>
    </cfRule>
  </conditionalFormatting>
  <conditionalFormatting sqref="B82:B83 B85:B91">
    <cfRule type="expression" dxfId="4689" priority="322">
      <formula>$J82&gt;0</formula>
    </cfRule>
  </conditionalFormatting>
  <conditionalFormatting sqref="B92">
    <cfRule type="expression" dxfId="4688" priority="514">
      <formula>ISNUMBER(SEARCH("UV",$D82))</formula>
    </cfRule>
    <cfRule type="expression" dxfId="4687" priority="515">
      <formula>($D82="CANOPY TYPE")</formula>
    </cfRule>
  </conditionalFormatting>
  <conditionalFormatting sqref="B93:B95">
    <cfRule type="expression" dxfId="4686" priority="452">
      <formula>$J93&gt;0</formula>
    </cfRule>
  </conditionalFormatting>
  <conditionalFormatting sqref="B96">
    <cfRule type="expression" dxfId="4685" priority="644">
      <formula>$B96&lt;&gt;""</formula>
    </cfRule>
  </conditionalFormatting>
  <conditionalFormatting sqref="B99:B100 B102:B108">
    <cfRule type="expression" dxfId="4684" priority="296">
      <formula>$J99&gt;0</formula>
    </cfRule>
  </conditionalFormatting>
  <conditionalFormatting sqref="B109">
    <cfRule type="expression" dxfId="4683" priority="483">
      <formula>ISNUMBER(SEARCH("UV",$D99))</formula>
    </cfRule>
    <cfRule type="expression" dxfId="4682" priority="484">
      <formula>($D99="CANOPY TYPE")</formula>
    </cfRule>
  </conditionalFormatting>
  <conditionalFormatting sqref="B110:B112 B127:B129 B144:B146 B161:B163 B178:B180">
    <cfRule type="expression" dxfId="4681" priority="451">
      <formula>$J110&gt;0</formula>
    </cfRule>
  </conditionalFormatting>
  <conditionalFormatting sqref="B113">
    <cfRule type="expression" dxfId="4680" priority="288">
      <formula>$B113&lt;&gt;""</formula>
    </cfRule>
  </conditionalFormatting>
  <conditionalFormatting sqref="B116:B117 B119:B125">
    <cfRule type="expression" dxfId="4679" priority="231">
      <formula>$J116&gt;0</formula>
    </cfRule>
  </conditionalFormatting>
  <conditionalFormatting sqref="B126">
    <cfRule type="expression" dxfId="4678" priority="260">
      <formula>ISNUMBER(SEARCH("UV",$D116))</formula>
    </cfRule>
    <cfRule type="expression" dxfId="4677" priority="261">
      <formula>($D116="CANOPY TYPE")</formula>
    </cfRule>
  </conditionalFormatting>
  <conditionalFormatting sqref="B130">
    <cfRule type="expression" dxfId="4676" priority="219">
      <formula>$B130&lt;&gt;""</formula>
    </cfRule>
  </conditionalFormatting>
  <conditionalFormatting sqref="B133:B134 B136:B142">
    <cfRule type="expression" dxfId="4675" priority="168">
      <formula>$J133&gt;0</formula>
    </cfRule>
  </conditionalFormatting>
  <conditionalFormatting sqref="B143">
    <cfRule type="expression" dxfId="4674" priority="191">
      <formula>ISNUMBER(SEARCH("UV",$D133))</formula>
    </cfRule>
    <cfRule type="expression" dxfId="4673" priority="192">
      <formula>($D133="CANOPY TYPE")</formula>
    </cfRule>
  </conditionalFormatting>
  <conditionalFormatting sqref="B147">
    <cfRule type="expression" dxfId="4672" priority="164">
      <formula>$B147&lt;&gt;""</formula>
    </cfRule>
  </conditionalFormatting>
  <conditionalFormatting sqref="B150:B151 B153:B159">
    <cfRule type="expression" dxfId="4671" priority="113">
      <formula>$J150&gt;0</formula>
    </cfRule>
  </conditionalFormatting>
  <conditionalFormatting sqref="B160">
    <cfRule type="expression" dxfId="4670" priority="136">
      <formula>ISNUMBER(SEARCH("UV",$D150))</formula>
    </cfRule>
    <cfRule type="expression" dxfId="4669" priority="137">
      <formula>($D150="CANOPY TYPE")</formula>
    </cfRule>
  </conditionalFormatting>
  <conditionalFormatting sqref="B164">
    <cfRule type="expression" dxfId="4668" priority="109">
      <formula>$B164&lt;&gt;""</formula>
    </cfRule>
  </conditionalFormatting>
  <conditionalFormatting sqref="B167:B168 B170:B176">
    <cfRule type="expression" dxfId="4667" priority="58">
      <formula>$J167&gt;0</formula>
    </cfRule>
  </conditionalFormatting>
  <conditionalFormatting sqref="B177">
    <cfRule type="expression" dxfId="4666" priority="81">
      <formula>ISNUMBER(SEARCH("UV",$D167))</formula>
    </cfRule>
    <cfRule type="expression" dxfId="4665" priority="82">
      <formula>($D167="CANOPY TYPE")</formula>
    </cfRule>
  </conditionalFormatting>
  <conditionalFormatting sqref="B183:B197">
    <cfRule type="expression" dxfId="4664" priority="641">
      <formula>$C183&gt;0</formula>
    </cfRule>
  </conditionalFormatting>
  <conditionalFormatting sqref="C14">
    <cfRule type="containsText" dxfId="4663" priority="441" operator="containsText" text="CONFIG">
      <formula>NOT(ISERROR(SEARCH("CONFIG",C14)))</formula>
    </cfRule>
  </conditionalFormatting>
  <conditionalFormatting sqref="C15">
    <cfRule type="containsText" dxfId="4662" priority="446" operator="containsText" text="LIGHT SELECTION">
      <formula>NOT(ISERROR(SEARCH("LIGHT SELECTION",C15)))</formula>
    </cfRule>
  </conditionalFormatting>
  <conditionalFormatting sqref="C20:C21">
    <cfRule type="cellIs" dxfId="4659" priority="693" operator="lessThan">
      <formula>1</formula>
    </cfRule>
  </conditionalFormatting>
  <conditionalFormatting sqref="C22:C23">
    <cfRule type="expression" dxfId="4658" priority="421">
      <formula>D22="WW PODS"</formula>
    </cfRule>
  </conditionalFormatting>
  <conditionalFormatting sqref="C24">
    <cfRule type="expression" dxfId="4657" priority="710">
      <formula>ISNUMBER(SEARCH("UV",D14))</formula>
    </cfRule>
  </conditionalFormatting>
  <conditionalFormatting sqref="C25">
    <cfRule type="expression" dxfId="4656" priority="675">
      <formula>(ISNUMBER(SEARCH("CMW",D14)))=TRUE</formula>
    </cfRule>
  </conditionalFormatting>
  <conditionalFormatting sqref="C26">
    <cfRule type="expression" dxfId="4655" priority="674">
      <formula>(ISNUMBER(SEARCH("CMW",D14)))=TRUE</formula>
    </cfRule>
  </conditionalFormatting>
  <conditionalFormatting sqref="C27">
    <cfRule type="expression" dxfId="4654" priority="643">
      <formula>(ISNUMBER(SEARCH("CMW",$D14)))=TRUE</formula>
    </cfRule>
  </conditionalFormatting>
  <conditionalFormatting sqref="C31">
    <cfRule type="containsText" dxfId="4653" priority="618" operator="containsText" text="CONFIG">
      <formula>NOT(ISERROR(SEARCH("CONFIG",C31)))</formula>
    </cfRule>
  </conditionalFormatting>
  <conditionalFormatting sqref="C32">
    <cfRule type="containsText" dxfId="4652" priority="448" operator="containsText" text="LIGHT SELECTION">
      <formula>NOT(ISERROR(SEARCH("LIGHT SELECTION",C32)))</formula>
    </cfRule>
  </conditionalFormatting>
  <conditionalFormatting sqref="C37:C38">
    <cfRule type="cellIs" dxfId="4649" priority="617" operator="lessThan">
      <formula>1</formula>
    </cfRule>
  </conditionalFormatting>
  <conditionalFormatting sqref="C39:C40">
    <cfRule type="expression" dxfId="4648" priority="399">
      <formula>D39="WW PODS"</formula>
    </cfRule>
  </conditionalFormatting>
  <conditionalFormatting sqref="C41">
    <cfRule type="expression" dxfId="4647" priority="632">
      <formula>ISNUMBER(SEARCH("UV",D31))</formula>
    </cfRule>
  </conditionalFormatting>
  <conditionalFormatting sqref="C42">
    <cfRule type="expression" dxfId="4646" priority="615">
      <formula>(ISNUMBER(SEARCH("CMW",D31)))=TRUE</formula>
    </cfRule>
  </conditionalFormatting>
  <conditionalFormatting sqref="C43">
    <cfRule type="expression" dxfId="4645" priority="480">
      <formula>(ISNUMBER(SEARCH("CMW",D31)))=TRUE</formula>
    </cfRule>
  </conditionalFormatting>
  <conditionalFormatting sqref="C44">
    <cfRule type="expression" dxfId="4644" priority="610">
      <formula>(ISNUMBER(SEARCH("CMW",$D31)))=TRUE</formula>
    </cfRule>
  </conditionalFormatting>
  <conditionalFormatting sqref="C48">
    <cfRule type="containsText" dxfId="4643" priority="587" operator="containsText" text="CONFIG">
      <formula>NOT(ISERROR(SEARCH("CONFIG",C48)))</formula>
    </cfRule>
  </conditionalFormatting>
  <conditionalFormatting sqref="C49">
    <cfRule type="containsText" dxfId="4642" priority="445" operator="containsText" text="LIGHT SELECTION">
      <formula>NOT(ISERROR(SEARCH("LIGHT SELECTION",C49)))</formula>
    </cfRule>
  </conditionalFormatting>
  <conditionalFormatting sqref="C54:C55">
    <cfRule type="cellIs" dxfId="4639" priority="586" operator="lessThan">
      <formula>1</formula>
    </cfRule>
  </conditionalFormatting>
  <conditionalFormatting sqref="C56:C57">
    <cfRule type="expression" dxfId="4638" priority="373">
      <formula>D56="WW PODS"</formula>
    </cfRule>
  </conditionalFormatting>
  <conditionalFormatting sqref="C58">
    <cfRule type="expression" dxfId="4637" priority="600">
      <formula>ISNUMBER(SEARCH("UV",D48))</formula>
    </cfRule>
  </conditionalFormatting>
  <conditionalFormatting sqref="C59">
    <cfRule type="expression" dxfId="4636" priority="584">
      <formula>(ISNUMBER(SEARCH("CMW",D48)))=TRUE</formula>
    </cfRule>
  </conditionalFormatting>
  <conditionalFormatting sqref="C60">
    <cfRule type="expression" dxfId="4635" priority="479">
      <formula>(ISNUMBER(SEARCH("CMW",D48)))=TRUE</formula>
    </cfRule>
  </conditionalFormatting>
  <conditionalFormatting sqref="C61">
    <cfRule type="expression" dxfId="4634" priority="579">
      <formula>(ISNUMBER(SEARCH("CMW",$D48)))=TRUE</formula>
    </cfRule>
  </conditionalFormatting>
  <conditionalFormatting sqref="C65">
    <cfRule type="containsText" dxfId="4633" priority="557" operator="containsText" text="CONFIG">
      <formula>NOT(ISERROR(SEARCH("CONFIG",C65)))</formula>
    </cfRule>
  </conditionalFormatting>
  <conditionalFormatting sqref="C66">
    <cfRule type="containsText" dxfId="4632" priority="444" operator="containsText" text="LIGHT SELECTION">
      <formula>NOT(ISERROR(SEARCH("LIGHT SELECTION",C66)))</formula>
    </cfRule>
  </conditionalFormatting>
  <conditionalFormatting sqref="C71:C72">
    <cfRule type="cellIs" dxfId="4629" priority="556" operator="lessThan">
      <formula>1</formula>
    </cfRule>
  </conditionalFormatting>
  <conditionalFormatting sqref="C73:C74">
    <cfRule type="expression" dxfId="4628" priority="347">
      <formula>D73="WW PODS"</formula>
    </cfRule>
  </conditionalFormatting>
  <conditionalFormatting sqref="C75">
    <cfRule type="expression" dxfId="4627" priority="570">
      <formula>ISNUMBER(SEARCH("UV",D65))</formula>
    </cfRule>
  </conditionalFormatting>
  <conditionalFormatting sqref="C76">
    <cfRule type="expression" dxfId="4626" priority="553">
      <formula>(ISNUMBER(SEARCH("CMW",D65)))=TRUE</formula>
    </cfRule>
  </conditionalFormatting>
  <conditionalFormatting sqref="C77">
    <cfRule type="expression" dxfId="4625" priority="478">
      <formula>(ISNUMBER(SEARCH("CMW",D65)))=TRUE</formula>
    </cfRule>
  </conditionalFormatting>
  <conditionalFormatting sqref="C78">
    <cfRule type="expression" dxfId="4624" priority="548">
      <formula>(ISNUMBER(SEARCH("CMW",$D65)))=TRUE</formula>
    </cfRule>
  </conditionalFormatting>
  <conditionalFormatting sqref="C82">
    <cfRule type="containsText" dxfId="4623" priority="525" operator="containsText" text="CONFIG">
      <formula>NOT(ISERROR(SEARCH("CONFIG",C82)))</formula>
    </cfRule>
  </conditionalFormatting>
  <conditionalFormatting sqref="C83">
    <cfRule type="containsText" dxfId="4622" priority="443" operator="containsText" text="LIGHT SELECTION">
      <formula>NOT(ISERROR(SEARCH("LIGHT SELECTION",C83)))</formula>
    </cfRule>
  </conditionalFormatting>
  <conditionalFormatting sqref="C88:C89">
    <cfRule type="cellIs" dxfId="4619" priority="524" operator="lessThan">
      <formula>1</formula>
    </cfRule>
  </conditionalFormatting>
  <conditionalFormatting sqref="C90:C91">
    <cfRule type="expression" dxfId="4618" priority="321">
      <formula>D90="WW PODS"</formula>
    </cfRule>
  </conditionalFormatting>
  <conditionalFormatting sqref="C92">
    <cfRule type="expression" dxfId="4617" priority="539">
      <formula>ISNUMBER(SEARCH("UV",D82))</formula>
    </cfRule>
  </conditionalFormatting>
  <conditionalFormatting sqref="C93">
    <cfRule type="expression" dxfId="4616" priority="521">
      <formula>(ISNUMBER(SEARCH("CMW",D82)))=TRUE</formula>
    </cfRule>
  </conditionalFormatting>
  <conditionalFormatting sqref="C94">
    <cfRule type="expression" dxfId="4615" priority="477">
      <formula>(ISNUMBER(SEARCH("CMW",D82)))=TRUE</formula>
    </cfRule>
  </conditionalFormatting>
  <conditionalFormatting sqref="C95">
    <cfRule type="expression" dxfId="4614" priority="516">
      <formula>(ISNUMBER(SEARCH("CMW",$D82)))=TRUE</formula>
    </cfRule>
  </conditionalFormatting>
  <conditionalFormatting sqref="C99">
    <cfRule type="containsText" dxfId="4613" priority="493" operator="containsText" text="CONFIG">
      <formula>NOT(ISERROR(SEARCH("CONFIG",C99)))</formula>
    </cfRule>
  </conditionalFormatting>
  <conditionalFormatting sqref="C100">
    <cfRule type="containsText" dxfId="4612" priority="442" operator="containsText" text="LIGHT SELECTION">
      <formula>NOT(ISERROR(SEARCH("LIGHT SELECTION",C100)))</formula>
    </cfRule>
  </conditionalFormatting>
  <conditionalFormatting sqref="C105:C106">
    <cfRule type="cellIs" dxfId="4609" priority="492" operator="lessThan">
      <formula>1</formula>
    </cfRule>
  </conditionalFormatting>
  <conditionalFormatting sqref="C107:C108">
    <cfRule type="expression" dxfId="4608" priority="295">
      <formula>D107="WW PODS"</formula>
    </cfRule>
  </conditionalFormatting>
  <conditionalFormatting sqref="C109">
    <cfRule type="expression" dxfId="4607" priority="507">
      <formula>ISNUMBER(SEARCH("UV",D99))</formula>
    </cfRule>
  </conditionalFormatting>
  <conditionalFormatting sqref="C110">
    <cfRule type="expression" dxfId="4606" priority="490">
      <formula>(ISNUMBER(SEARCH("CMW",D99)))=TRUE</formula>
    </cfRule>
  </conditionalFormatting>
  <conditionalFormatting sqref="C111">
    <cfRule type="expression" dxfId="4605" priority="476">
      <formula>(ISNUMBER(SEARCH("CMW",D99)))=TRUE</formula>
    </cfRule>
  </conditionalFormatting>
  <conditionalFormatting sqref="C112 C129 C146 C163 C180">
    <cfRule type="expression" dxfId="4604" priority="485">
      <formula>(ISNUMBER(SEARCH("CMW",$D99)))=TRUE</formula>
    </cfRule>
  </conditionalFormatting>
  <conditionalFormatting sqref="C116">
    <cfRule type="containsText" dxfId="4603" priority="269" operator="containsText" text="CONFIG">
      <formula>NOT(ISERROR(SEARCH("CONFIG",C116)))</formula>
    </cfRule>
  </conditionalFormatting>
  <conditionalFormatting sqref="C117">
    <cfRule type="containsText" dxfId="4602" priority="253" operator="containsText" text="LIGHT SELECTION">
      <formula>NOT(ISERROR(SEARCH("LIGHT SELECTION",C117)))</formula>
    </cfRule>
  </conditionalFormatting>
  <conditionalFormatting sqref="C122:C123">
    <cfRule type="cellIs" dxfId="4599" priority="268" operator="lessThan">
      <formula>1</formula>
    </cfRule>
  </conditionalFormatting>
  <conditionalFormatting sqref="C124:C125">
    <cfRule type="expression" dxfId="4598" priority="230">
      <formula>D124="WW PODS"</formula>
    </cfRule>
  </conditionalFormatting>
  <conditionalFormatting sqref="C126">
    <cfRule type="expression" dxfId="4597" priority="283">
      <formula>ISNUMBER(SEARCH("UV",D116))</formula>
    </cfRule>
  </conditionalFormatting>
  <conditionalFormatting sqref="C127">
    <cfRule type="expression" dxfId="4596" priority="266">
      <formula>(ISNUMBER(SEARCH("CMW",D116)))=TRUE</formula>
    </cfRule>
  </conditionalFormatting>
  <conditionalFormatting sqref="C128">
    <cfRule type="expression" dxfId="4595" priority="258">
      <formula>(ISNUMBER(SEARCH("CMW",D116)))=TRUE</formula>
    </cfRule>
  </conditionalFormatting>
  <conditionalFormatting sqref="C133">
    <cfRule type="containsText" dxfId="4594" priority="200" operator="containsText" text="CONFIG">
      <formula>NOT(ISERROR(SEARCH("CONFIG",C133)))</formula>
    </cfRule>
  </conditionalFormatting>
  <conditionalFormatting sqref="C134">
    <cfRule type="containsText" dxfId="4593" priority="184" operator="containsText" text="LIGHT SELECTION">
      <formula>NOT(ISERROR(SEARCH("LIGHT SELECTION",C134)))</formula>
    </cfRule>
  </conditionalFormatting>
  <conditionalFormatting sqref="C139:C140">
    <cfRule type="cellIs" dxfId="4590" priority="199" operator="lessThan">
      <formula>1</formula>
    </cfRule>
  </conditionalFormatting>
  <conditionalFormatting sqref="C141:C142">
    <cfRule type="expression" dxfId="4589" priority="167">
      <formula>D141="WW PODS"</formula>
    </cfRule>
  </conditionalFormatting>
  <conditionalFormatting sqref="C143">
    <cfRule type="expression" dxfId="4588" priority="214">
      <formula>ISNUMBER(SEARCH("UV",D133))</formula>
    </cfRule>
  </conditionalFormatting>
  <conditionalFormatting sqref="C144">
    <cfRule type="expression" dxfId="4587" priority="197">
      <formula>(ISNUMBER(SEARCH("CMW",D133)))=TRUE</formula>
    </cfRule>
  </conditionalFormatting>
  <conditionalFormatting sqref="C145">
    <cfRule type="expression" dxfId="4586" priority="189">
      <formula>(ISNUMBER(SEARCH("CMW",D133)))=TRUE</formula>
    </cfRule>
  </conditionalFormatting>
  <conditionalFormatting sqref="C150">
    <cfRule type="containsText" dxfId="4585" priority="145" operator="containsText" text="CONFIG">
      <formula>NOT(ISERROR(SEARCH("CONFIG",C150)))</formula>
    </cfRule>
  </conditionalFormatting>
  <conditionalFormatting sqref="C151">
    <cfRule type="containsText" dxfId="4584" priority="129" operator="containsText" text="LIGHT SELECTION">
      <formula>NOT(ISERROR(SEARCH("LIGHT SELECTION",C151)))</formula>
    </cfRule>
  </conditionalFormatting>
  <conditionalFormatting sqref="C156:C157">
    <cfRule type="cellIs" dxfId="4581" priority="144" operator="lessThan">
      <formula>1</formula>
    </cfRule>
  </conditionalFormatting>
  <conditionalFormatting sqref="C158:C159">
    <cfRule type="expression" dxfId="4580" priority="112">
      <formula>D158="WW PODS"</formula>
    </cfRule>
  </conditionalFormatting>
  <conditionalFormatting sqref="C160">
    <cfRule type="expression" dxfId="4579" priority="159">
      <formula>ISNUMBER(SEARCH("UV",D150))</formula>
    </cfRule>
  </conditionalFormatting>
  <conditionalFormatting sqref="C161">
    <cfRule type="expression" dxfId="4578" priority="142">
      <formula>(ISNUMBER(SEARCH("CMW",D150)))=TRUE</formula>
    </cfRule>
  </conditionalFormatting>
  <conditionalFormatting sqref="C162">
    <cfRule type="expression" dxfId="4577" priority="134">
      <formula>(ISNUMBER(SEARCH("CMW",D150)))=TRUE</formula>
    </cfRule>
  </conditionalFormatting>
  <conditionalFormatting sqref="C167">
    <cfRule type="containsText" dxfId="4576" priority="90" operator="containsText" text="CONFIG">
      <formula>NOT(ISERROR(SEARCH("CONFIG",C167)))</formula>
    </cfRule>
  </conditionalFormatting>
  <conditionalFormatting sqref="C168">
    <cfRule type="containsText" dxfId="4575" priority="74" operator="containsText" text="LIGHT SELECTION">
      <formula>NOT(ISERROR(SEARCH("LIGHT SELECTION",C168)))</formula>
    </cfRule>
  </conditionalFormatting>
  <conditionalFormatting sqref="C173:C174">
    <cfRule type="cellIs" dxfId="4572" priority="89" operator="lessThan">
      <formula>1</formula>
    </cfRule>
  </conditionalFormatting>
  <conditionalFormatting sqref="C175:C176">
    <cfRule type="expression" dxfId="4571" priority="57">
      <formula>D175="WW PODS"</formula>
    </cfRule>
  </conditionalFormatting>
  <conditionalFormatting sqref="C177">
    <cfRule type="expression" dxfId="4570" priority="104">
      <formula>ISNUMBER(SEARCH("UV",D167))</formula>
    </cfRule>
  </conditionalFormatting>
  <conditionalFormatting sqref="C178">
    <cfRule type="expression" dxfId="4569" priority="87">
      <formula>(ISNUMBER(SEARCH("CMW",D167)))=TRUE</formula>
    </cfRule>
  </conditionalFormatting>
  <conditionalFormatting sqref="C179">
    <cfRule type="expression" dxfId="4568" priority="79">
      <formula>(ISNUMBER(SEARCH("CMW",D167)))=TRUE</formula>
    </cfRule>
  </conditionalFormatting>
  <conditionalFormatting sqref="C183:C184">
    <cfRule type="cellIs" dxfId="4567" priority="695" operator="lessThan">
      <formula>1</formula>
    </cfRule>
  </conditionalFormatting>
  <conditionalFormatting sqref="C185">
    <cfRule type="cellIs" dxfId="4566" priority="684" operator="lessThan">
      <formula>1</formula>
    </cfRule>
  </conditionalFormatting>
  <conditionalFormatting sqref="C186:C197">
    <cfRule type="cellIs" dxfId="4565" priority="224" operator="lessThan">
      <formula>1</formula>
    </cfRule>
  </conditionalFormatting>
  <conditionalFormatting sqref="C9:D9">
    <cfRule type="cellIs" dxfId="4564" priority="685" operator="lessThan">
      <formula>0</formula>
    </cfRule>
    <cfRule type="cellIs" dxfId="4563" priority="686" operator="greaterThan">
      <formula>0</formula>
    </cfRule>
  </conditionalFormatting>
  <conditionalFormatting sqref="D14">
    <cfRule type="containsText" dxfId="4562" priority="696" operator="containsText" text="CANOPY TYPE">
      <formula>NOT(ISERROR(SEARCH("CANOPY TYPE",D14)))</formula>
    </cfRule>
  </conditionalFormatting>
  <conditionalFormatting sqref="D15">
    <cfRule type="expression" dxfId="4561" priority="437">
      <formula>(C15="LIGHT SELECTION")</formula>
    </cfRule>
  </conditionalFormatting>
  <conditionalFormatting sqref="D16:D18">
    <cfRule type="expression" dxfId="4560" priority="651">
      <formula>($C16="SELECT WORKS")</formula>
    </cfRule>
  </conditionalFormatting>
  <conditionalFormatting sqref="D19">
    <cfRule type="expression" dxfId="4559" priority="223">
      <formula>$C19="SELECT CLADDING"</formula>
    </cfRule>
  </conditionalFormatting>
  <conditionalFormatting sqref="D22:D23">
    <cfRule type="expression" dxfId="4558" priority="420">
      <formula>($D$14="CANOPY TYPE")</formula>
    </cfRule>
  </conditionalFormatting>
  <conditionalFormatting sqref="D24">
    <cfRule type="expression" dxfId="4557" priority="709">
      <formula>ISNUMBER(SEARCH("UV",D14))</formula>
    </cfRule>
  </conditionalFormatting>
  <conditionalFormatting sqref="D25">
    <cfRule type="expression" dxfId="4556" priority="637">
      <formula>($D$14="CANOPY TYPE")</formula>
    </cfRule>
  </conditionalFormatting>
  <conditionalFormatting sqref="D26">
    <cfRule type="expression" dxfId="4555" priority="659">
      <formula>(ISNUMBER(SEARCH("CMW",D14)))=TRUE</formula>
    </cfRule>
  </conditionalFormatting>
  <conditionalFormatting sqref="D31">
    <cfRule type="containsText" dxfId="4554" priority="619" operator="containsText" text="CANOPY TYPE">
      <formula>NOT(ISERROR(SEARCH("CANOPY TYPE",D31)))</formula>
    </cfRule>
  </conditionalFormatting>
  <conditionalFormatting sqref="D32">
    <cfRule type="expression" dxfId="4553" priority="450">
      <formula>(C32="LIGHT SELECTION")</formula>
    </cfRule>
  </conditionalFormatting>
  <conditionalFormatting sqref="D34:D35">
    <cfRule type="expression" dxfId="4552" priority="612">
      <formula>($C34="SELECT WORKS")</formula>
    </cfRule>
  </conditionalFormatting>
  <conditionalFormatting sqref="D36">
    <cfRule type="expression" dxfId="4551" priority="429">
      <formula>$C36="SELECT CLADDING"</formula>
    </cfRule>
  </conditionalFormatting>
  <conditionalFormatting sqref="D39:D40">
    <cfRule type="expression" dxfId="4550" priority="394">
      <formula>($D$14="CANOPY TYPE")</formula>
    </cfRule>
  </conditionalFormatting>
  <conditionalFormatting sqref="D41">
    <cfRule type="expression" dxfId="4549" priority="631">
      <formula>ISNUMBER(SEARCH("UV",D31))</formula>
    </cfRule>
  </conditionalFormatting>
  <conditionalFormatting sqref="D42">
    <cfRule type="expression" dxfId="4548" priority="605">
      <formula>($D$14="CANOPY TYPE")</formula>
    </cfRule>
  </conditionalFormatting>
  <conditionalFormatting sqref="D43">
    <cfRule type="expression" dxfId="4547" priority="614">
      <formula>(ISNUMBER(SEARCH("CMW",D31)))=TRUE</formula>
    </cfRule>
  </conditionalFormatting>
  <conditionalFormatting sqref="D48">
    <cfRule type="containsText" dxfId="4546" priority="432" operator="containsText" text="CANOPY TYPE">
      <formula>NOT(ISERROR(SEARCH("CANOPY TYPE",D48)))</formula>
    </cfRule>
  </conditionalFormatting>
  <conditionalFormatting sqref="D49">
    <cfRule type="expression" dxfId="4545" priority="447">
      <formula>(C15="LIGHT SELECTION")</formula>
    </cfRule>
  </conditionalFormatting>
  <conditionalFormatting sqref="D51:D52">
    <cfRule type="expression" dxfId="4544" priority="581">
      <formula>($C51="SELECT WORKS")</formula>
    </cfRule>
  </conditionalFormatting>
  <conditionalFormatting sqref="D53">
    <cfRule type="expression" dxfId="4543" priority="430">
      <formula>$C53="SELECT CLADDING"</formula>
    </cfRule>
  </conditionalFormatting>
  <conditionalFormatting sqref="D56:D57">
    <cfRule type="expression" dxfId="4542" priority="368">
      <formula>($D$14="CANOPY TYPE")</formula>
    </cfRule>
  </conditionalFormatting>
  <conditionalFormatting sqref="D58">
    <cfRule type="expression" dxfId="4541" priority="599">
      <formula>ISNUMBER(SEARCH("UV",D48))</formula>
    </cfRule>
  </conditionalFormatting>
  <conditionalFormatting sqref="D59">
    <cfRule type="expression" dxfId="4540" priority="575">
      <formula>($D$14="CANOPY TYPE")</formula>
    </cfRule>
  </conditionalFormatting>
  <conditionalFormatting sqref="D60">
    <cfRule type="expression" dxfId="4539" priority="583">
      <formula>(ISNUMBER(SEARCH("CMW",D48)))=TRUE</formula>
    </cfRule>
  </conditionalFormatting>
  <conditionalFormatting sqref="D65">
    <cfRule type="containsText" dxfId="4538" priority="431" operator="containsText" text="CANOPY TYPE">
      <formula>NOT(ISERROR(SEARCH("CANOPY TYPE",D65)))</formula>
    </cfRule>
  </conditionalFormatting>
  <conditionalFormatting sqref="D66">
    <cfRule type="expression" dxfId="4537" priority="440">
      <formula>(C66="LIGHT SELECTION")</formula>
    </cfRule>
  </conditionalFormatting>
  <conditionalFormatting sqref="D68:D69">
    <cfRule type="expression" dxfId="4536" priority="550">
      <formula>($C68="SELECT WORKS")</formula>
    </cfRule>
  </conditionalFormatting>
  <conditionalFormatting sqref="D70">
    <cfRule type="expression" dxfId="4535" priority="554">
      <formula>$C70="SELECT CLADDING"</formula>
    </cfRule>
  </conditionalFormatting>
  <conditionalFormatting sqref="D73:D74">
    <cfRule type="expression" dxfId="4534" priority="342">
      <formula>($D$14="CANOPY TYPE")</formula>
    </cfRule>
  </conditionalFormatting>
  <conditionalFormatting sqref="D75">
    <cfRule type="expression" dxfId="4533" priority="569">
      <formula>ISNUMBER(SEARCH("UV",D65))</formula>
    </cfRule>
  </conditionalFormatting>
  <conditionalFormatting sqref="D76">
    <cfRule type="expression" dxfId="4532" priority="544">
      <formula>($D$14="CANOPY TYPE")</formula>
    </cfRule>
  </conditionalFormatting>
  <conditionalFormatting sqref="D77">
    <cfRule type="expression" dxfId="4531" priority="552">
      <formula>(ISNUMBER(SEARCH("CMW",D65)))=TRUE</formula>
    </cfRule>
  </conditionalFormatting>
  <conditionalFormatting sqref="D82">
    <cfRule type="containsText" dxfId="4530" priority="526" operator="containsText" text="CANOPY TYPE">
      <formula>NOT(ISERROR(SEARCH("CANOPY TYPE",D82)))</formula>
    </cfRule>
  </conditionalFormatting>
  <conditionalFormatting sqref="D83">
    <cfRule type="expression" dxfId="4529" priority="439">
      <formula>(C83="LIGHT SELECTION")</formula>
    </cfRule>
  </conditionalFormatting>
  <conditionalFormatting sqref="D85:D86">
    <cfRule type="expression" dxfId="4528" priority="518">
      <formula>($C85="SELECT WORKS")</formula>
    </cfRule>
  </conditionalFormatting>
  <conditionalFormatting sqref="D87">
    <cfRule type="expression" dxfId="4527" priority="522">
      <formula>$C87="SELECT CLADDING"</formula>
    </cfRule>
  </conditionalFormatting>
  <conditionalFormatting sqref="D90:D91">
    <cfRule type="expression" dxfId="4526" priority="316">
      <formula>($D$14="CANOPY TYPE")</formula>
    </cfRule>
  </conditionalFormatting>
  <conditionalFormatting sqref="D92">
    <cfRule type="expression" dxfId="4525" priority="538">
      <formula>ISNUMBER(SEARCH("UV",D82))</formula>
    </cfRule>
  </conditionalFormatting>
  <conditionalFormatting sqref="D93">
    <cfRule type="expression" dxfId="4524" priority="512">
      <formula>($D$14="CANOPY TYPE")</formula>
    </cfRule>
  </conditionalFormatting>
  <conditionalFormatting sqref="D94">
    <cfRule type="expression" dxfId="4523" priority="520">
      <formula>(ISNUMBER(SEARCH("CMW",D82)))=TRUE</formula>
    </cfRule>
  </conditionalFormatting>
  <conditionalFormatting sqref="D99">
    <cfRule type="containsText" dxfId="4522" priority="494" operator="containsText" text="CANOPY TYPE">
      <formula>NOT(ISERROR(SEARCH("CANOPY TYPE",D99)))</formula>
    </cfRule>
  </conditionalFormatting>
  <conditionalFormatting sqref="D100">
    <cfRule type="expression" dxfId="4521" priority="438">
      <formula>(C100="LIGHT SELECTION")</formula>
    </cfRule>
  </conditionalFormatting>
  <conditionalFormatting sqref="D102:D103">
    <cfRule type="expression" dxfId="4520" priority="487">
      <formula>($C102="SELECT WORKS")</formula>
    </cfRule>
  </conditionalFormatting>
  <conditionalFormatting sqref="D104">
    <cfRule type="expression" dxfId="4519" priority="428">
      <formula>$C104="SELECT CLADDING"</formula>
    </cfRule>
  </conditionalFormatting>
  <conditionalFormatting sqref="D107:D108">
    <cfRule type="expression" dxfId="4518" priority="290">
      <formula>($D$14="CANOPY TYPE")</formula>
    </cfRule>
  </conditionalFormatting>
  <conditionalFormatting sqref="D109">
    <cfRule type="expression" dxfId="4517" priority="506">
      <formula>ISNUMBER(SEARCH("UV",D99))</formula>
    </cfRule>
  </conditionalFormatting>
  <conditionalFormatting sqref="D110">
    <cfRule type="expression" dxfId="4516" priority="481">
      <formula>($D$14="CANOPY TYPE")</formula>
    </cfRule>
  </conditionalFormatting>
  <conditionalFormatting sqref="D111">
    <cfRule type="expression" dxfId="4515" priority="489">
      <formula>(ISNUMBER(SEARCH("CMW",D99)))=TRUE</formula>
    </cfRule>
  </conditionalFormatting>
  <conditionalFormatting sqref="D116">
    <cfRule type="containsText" dxfId="4514" priority="270" operator="containsText" text="CANOPY TYPE">
      <formula>NOT(ISERROR(SEARCH("CANOPY TYPE",D116)))</formula>
    </cfRule>
  </conditionalFormatting>
  <conditionalFormatting sqref="D117">
    <cfRule type="expression" dxfId="4513" priority="252">
      <formula>(C117="LIGHT SELECTION")</formula>
    </cfRule>
  </conditionalFormatting>
  <conditionalFormatting sqref="D119:D120">
    <cfRule type="expression" dxfId="4512" priority="263">
      <formula>($C119="SELECT WORKS")</formula>
    </cfRule>
  </conditionalFormatting>
  <conditionalFormatting sqref="D121">
    <cfRule type="expression" dxfId="4511" priority="251">
      <formula>$C121="SELECT CLADDING"</formula>
    </cfRule>
  </conditionalFormatting>
  <conditionalFormatting sqref="D124:D125">
    <cfRule type="expression" dxfId="4510" priority="225">
      <formula>($D$14="CANOPY TYPE")</formula>
    </cfRule>
  </conditionalFormatting>
  <conditionalFormatting sqref="D126">
    <cfRule type="expression" dxfId="4509" priority="282">
      <formula>ISNUMBER(SEARCH("UV",D116))</formula>
    </cfRule>
  </conditionalFormatting>
  <conditionalFormatting sqref="D127">
    <cfRule type="expression" dxfId="4508" priority="259">
      <formula>($D$14="CANOPY TYPE")</formula>
    </cfRule>
  </conditionalFormatting>
  <conditionalFormatting sqref="D128">
    <cfRule type="expression" dxfId="4507" priority="265">
      <formula>(ISNUMBER(SEARCH("CMW",D116)))=TRUE</formula>
    </cfRule>
  </conditionalFormatting>
  <conditionalFormatting sqref="D133">
    <cfRule type="containsText" dxfId="4506" priority="201" operator="containsText" text="CANOPY TYPE">
      <formula>NOT(ISERROR(SEARCH("CANOPY TYPE",D133)))</formula>
    </cfRule>
  </conditionalFormatting>
  <conditionalFormatting sqref="D134">
    <cfRule type="expression" dxfId="4505" priority="183">
      <formula>(C134="LIGHT SELECTION")</formula>
    </cfRule>
  </conditionalFormatting>
  <conditionalFormatting sqref="D136:D137">
    <cfRule type="expression" dxfId="4504" priority="194">
      <formula>($C136="SELECT WORKS")</formula>
    </cfRule>
  </conditionalFormatting>
  <conditionalFormatting sqref="D138">
    <cfRule type="expression" dxfId="4503" priority="182">
      <formula>$C138="SELECT CLADDING"</formula>
    </cfRule>
  </conditionalFormatting>
  <conditionalFormatting sqref="D141:D142">
    <cfRule type="expression" dxfId="4502" priority="166">
      <formula>($D$14="CANOPY TYPE")</formula>
    </cfRule>
  </conditionalFormatting>
  <conditionalFormatting sqref="D143">
    <cfRule type="expression" dxfId="4501" priority="213">
      <formula>ISNUMBER(SEARCH("UV",D133))</formula>
    </cfRule>
  </conditionalFormatting>
  <conditionalFormatting sqref="D144">
    <cfRule type="expression" dxfId="4500" priority="190">
      <formula>($D$14="CANOPY TYPE")</formula>
    </cfRule>
  </conditionalFormatting>
  <conditionalFormatting sqref="D145">
    <cfRule type="expression" dxfId="4499" priority="196">
      <formula>(ISNUMBER(SEARCH("CMW",D133)))=TRUE</formula>
    </cfRule>
  </conditionalFormatting>
  <conditionalFormatting sqref="D150">
    <cfRule type="containsText" dxfId="4498" priority="146" operator="containsText" text="CANOPY TYPE">
      <formula>NOT(ISERROR(SEARCH("CANOPY TYPE",D150)))</formula>
    </cfRule>
  </conditionalFormatting>
  <conditionalFormatting sqref="D151">
    <cfRule type="expression" dxfId="4497" priority="128">
      <formula>(C151="LIGHT SELECTION")</formula>
    </cfRule>
  </conditionalFormatting>
  <conditionalFormatting sqref="D153:D154">
    <cfRule type="expression" dxfId="4496" priority="139">
      <formula>($C153="SELECT WORKS")</formula>
    </cfRule>
  </conditionalFormatting>
  <conditionalFormatting sqref="D155">
    <cfRule type="expression" dxfId="4495" priority="127">
      <formula>$C155="SELECT CLADDING"</formula>
    </cfRule>
  </conditionalFormatting>
  <conditionalFormatting sqref="D158:D159">
    <cfRule type="expression" dxfId="4494" priority="111">
      <formula>($D$14="CANOPY TYPE")</formula>
    </cfRule>
  </conditionalFormatting>
  <conditionalFormatting sqref="D160">
    <cfRule type="expression" dxfId="4493" priority="158">
      <formula>ISNUMBER(SEARCH("UV",D150))</formula>
    </cfRule>
  </conditionalFormatting>
  <conditionalFormatting sqref="D161">
    <cfRule type="expression" dxfId="4492" priority="135">
      <formula>($D$14="CANOPY TYPE")</formula>
    </cfRule>
  </conditionalFormatting>
  <conditionalFormatting sqref="D162">
    <cfRule type="expression" dxfId="4491" priority="141">
      <formula>(ISNUMBER(SEARCH("CMW",D150)))=TRUE</formula>
    </cfRule>
  </conditionalFormatting>
  <conditionalFormatting sqref="D167">
    <cfRule type="containsText" dxfId="4490" priority="91" operator="containsText" text="CANOPY TYPE">
      <formula>NOT(ISERROR(SEARCH("CANOPY TYPE",D167)))</formula>
    </cfRule>
  </conditionalFormatting>
  <conditionalFormatting sqref="D168">
    <cfRule type="expression" dxfId="4489" priority="73">
      <formula>(C168="LIGHT SELECTION")</formula>
    </cfRule>
  </conditionalFormatting>
  <conditionalFormatting sqref="D170:D171">
    <cfRule type="expression" dxfId="4488" priority="84">
      <formula>($C170="SELECT WORKS")</formula>
    </cfRule>
  </conditionalFormatting>
  <conditionalFormatting sqref="D172">
    <cfRule type="expression" dxfId="4487" priority="72">
      <formula>$C172="SELECT CLADDING"</formula>
    </cfRule>
  </conditionalFormatting>
  <conditionalFormatting sqref="D175:D176">
    <cfRule type="expression" dxfId="4486" priority="56">
      <formula>($D$14="CANOPY TYPE")</formula>
    </cfRule>
  </conditionalFormatting>
  <conditionalFormatting sqref="D177">
    <cfRule type="expression" dxfId="4485" priority="103">
      <formula>ISNUMBER(SEARCH("UV",D167))</formula>
    </cfRule>
  </conditionalFormatting>
  <conditionalFormatting sqref="D178">
    <cfRule type="expression" dxfId="4484" priority="80">
      <formula>($D$14="CANOPY TYPE")</formula>
    </cfRule>
  </conditionalFormatting>
  <conditionalFormatting sqref="D179">
    <cfRule type="expression" dxfId="4483" priority="86">
      <formula>(ISNUMBER(SEARCH("CMW",D167)))=TRUE</formula>
    </cfRule>
  </conditionalFormatting>
  <conditionalFormatting sqref="E12">
    <cfRule type="expression" dxfId="4482" priority="706">
      <formula>AND((ISNUMBER(SEARCH("I-MUAP",$D$14))),E12&lt;2500)</formula>
    </cfRule>
    <cfRule type="expression" dxfId="4481" priority="707">
      <formula>ISNUMBER(SEARCH("I-MUAP",$D$14))</formula>
    </cfRule>
    <cfRule type="cellIs" dxfId="4480" priority="708" operator="greaterThan">
      <formula>2000</formula>
    </cfRule>
  </conditionalFormatting>
  <conditionalFormatting sqref="E15">
    <cfRule type="expression" dxfId="4479" priority="435">
      <formula>(C15="LIGHT SELECTION")</formula>
    </cfRule>
  </conditionalFormatting>
  <conditionalFormatting sqref="E16:E18">
    <cfRule type="expression" dxfId="4478" priority="55">
      <formula>$C16="SELECT WORKS"</formula>
    </cfRule>
  </conditionalFormatting>
  <conditionalFormatting sqref="E22:E23">
    <cfRule type="expression" dxfId="4477" priority="689">
      <formula>D22="WW PODS"</formula>
    </cfRule>
    <cfRule type="expression" dxfId="4476" priority="690">
      <formula>D22="FILTER TYPE"</formula>
    </cfRule>
    <cfRule type="expression" dxfId="4475" priority="691">
      <formula>D22="KSA"</formula>
    </cfRule>
    <cfRule type="expression" dxfId="4474" priority="711">
      <formula>(D14="CANOPY TYPE")</formula>
    </cfRule>
  </conditionalFormatting>
  <conditionalFormatting sqref="E24">
    <cfRule type="containsText" dxfId="4473" priority="698" operator="containsText" text="LONG ">
      <formula>NOT(ISERROR(SEARCH("LONG ",E24)))</formula>
    </cfRule>
  </conditionalFormatting>
  <conditionalFormatting sqref="E29">
    <cfRule type="expression" dxfId="4472" priority="628">
      <formula>AND((ISNUMBER(SEARCH("I-MUAP",$D$14))),E29&lt;2500)</formula>
    </cfRule>
    <cfRule type="expression" dxfId="4471" priority="629">
      <formula>ISNUMBER(SEARCH("I-MUAP",$D$14))</formula>
    </cfRule>
    <cfRule type="cellIs" dxfId="4470" priority="630" operator="greaterThan">
      <formula>2000</formula>
    </cfRule>
  </conditionalFormatting>
  <conditionalFormatting sqref="E34">
    <cfRule type="expression" dxfId="4469" priority="611">
      <formula>$C34="SELECT WORKS"</formula>
    </cfRule>
  </conditionalFormatting>
  <conditionalFormatting sqref="E39:E40">
    <cfRule type="expression" dxfId="4468" priority="407">
      <formula>D39="WW PODS"</formula>
    </cfRule>
    <cfRule type="expression" dxfId="4467" priority="408">
      <formula>D39="FILTER TYPE"</formula>
    </cfRule>
    <cfRule type="expression" dxfId="4466" priority="409">
      <formula>D39="KSA"</formula>
    </cfRule>
    <cfRule type="expression" dxfId="4465" priority="410">
      <formula>(D31="CANOPY TYPE")</formula>
    </cfRule>
  </conditionalFormatting>
  <conditionalFormatting sqref="E41">
    <cfRule type="containsText" dxfId="4464" priority="621" operator="containsText" text="LONG ">
      <formula>NOT(ISERROR(SEARCH("LONG ",E41)))</formula>
    </cfRule>
  </conditionalFormatting>
  <conditionalFormatting sqref="E46">
    <cfRule type="expression" dxfId="4463" priority="596">
      <formula>AND((ISNUMBER(SEARCH("I-MUAP",$D$14))),E46&lt;2500)</formula>
    </cfRule>
    <cfRule type="expression" dxfId="4462" priority="597">
      <formula>ISNUMBER(SEARCH("I-MUAP",$D$14))</formula>
    </cfRule>
    <cfRule type="cellIs" dxfId="4461" priority="598" operator="greaterThan">
      <formula>2000</formula>
    </cfRule>
  </conditionalFormatting>
  <conditionalFormatting sqref="E49">
    <cfRule type="expression" dxfId="4460" priority="449">
      <formula>(C49="LIGHT SELECTION")</formula>
    </cfRule>
  </conditionalFormatting>
  <conditionalFormatting sqref="E51:E52">
    <cfRule type="expression" dxfId="4459" priority="580">
      <formula>$C51="SELECT WORKS"</formula>
    </cfRule>
  </conditionalFormatting>
  <conditionalFormatting sqref="E56:E57">
    <cfRule type="expression" dxfId="4458" priority="381">
      <formula>D56="WW PODS"</formula>
    </cfRule>
    <cfRule type="expression" dxfId="4457" priority="382">
      <formula>D56="FILTER TYPE"</formula>
    </cfRule>
    <cfRule type="expression" dxfId="4456" priority="383">
      <formula>D56="KSA"</formula>
    </cfRule>
    <cfRule type="expression" dxfId="4455" priority="384">
      <formula>(D48="CANOPY TYPE")</formula>
    </cfRule>
  </conditionalFormatting>
  <conditionalFormatting sqref="E58">
    <cfRule type="containsText" dxfId="4454" priority="589" operator="containsText" text="LONG ">
      <formula>NOT(ISERROR(SEARCH("LONG ",E58)))</formula>
    </cfRule>
  </conditionalFormatting>
  <conditionalFormatting sqref="E63">
    <cfRule type="expression" dxfId="4453" priority="566">
      <formula>AND((ISNUMBER(SEARCH("I-MUAP",$D$14))),E63&lt;2500)</formula>
    </cfRule>
    <cfRule type="expression" dxfId="4452" priority="567">
      <formula>ISNUMBER(SEARCH("I-MUAP",$D$14))</formula>
    </cfRule>
    <cfRule type="cellIs" dxfId="4451" priority="568" operator="greaterThan">
      <formula>2000</formula>
    </cfRule>
  </conditionalFormatting>
  <conditionalFormatting sqref="E68:E69">
    <cfRule type="expression" dxfId="4450" priority="549">
      <formula>$C68="SELECT WORKS"</formula>
    </cfRule>
  </conditionalFormatting>
  <conditionalFormatting sqref="E73:E74">
    <cfRule type="expression" dxfId="4449" priority="355">
      <formula>D73="WW PODS"</formula>
    </cfRule>
    <cfRule type="expression" dxfId="4448" priority="356">
      <formula>D73="FILTER TYPE"</formula>
    </cfRule>
    <cfRule type="expression" dxfId="4447" priority="357">
      <formula>D73="KSA"</formula>
    </cfRule>
    <cfRule type="expression" dxfId="4446" priority="358">
      <formula>(D65="CANOPY TYPE")</formula>
    </cfRule>
  </conditionalFormatting>
  <conditionalFormatting sqref="E75">
    <cfRule type="containsText" dxfId="4445" priority="559" operator="containsText" text="LONG ">
      <formula>NOT(ISERROR(SEARCH("LONG ",E75)))</formula>
    </cfRule>
  </conditionalFormatting>
  <conditionalFormatting sqref="E80">
    <cfRule type="expression" dxfId="4444" priority="535">
      <formula>AND((ISNUMBER(SEARCH("I-MUAP",$D$14))),E80&lt;2500)</formula>
    </cfRule>
    <cfRule type="expression" dxfId="4443" priority="536">
      <formula>ISNUMBER(SEARCH("I-MUAP",$D$14))</formula>
    </cfRule>
    <cfRule type="cellIs" dxfId="4442" priority="537" operator="greaterThan">
      <formula>2000</formula>
    </cfRule>
  </conditionalFormatting>
  <conditionalFormatting sqref="E85:E86">
    <cfRule type="expression" dxfId="4441" priority="517">
      <formula>$C85="SELECT WORKS"</formula>
    </cfRule>
  </conditionalFormatting>
  <conditionalFormatting sqref="E90:E91">
    <cfRule type="expression" dxfId="4440" priority="329">
      <formula>D90="WW PODS"</formula>
    </cfRule>
    <cfRule type="expression" dxfId="4439" priority="330">
      <formula>D90="FILTER TYPE"</formula>
    </cfRule>
    <cfRule type="expression" dxfId="4438" priority="331">
      <formula>D90="KSA"</formula>
    </cfRule>
    <cfRule type="expression" dxfId="4437" priority="332">
      <formula>(D82="CANOPY TYPE")</formula>
    </cfRule>
  </conditionalFormatting>
  <conditionalFormatting sqref="E92">
    <cfRule type="containsText" dxfId="4436" priority="528" operator="containsText" text="LONG ">
      <formula>NOT(ISERROR(SEARCH("LONG ",E92)))</formula>
    </cfRule>
  </conditionalFormatting>
  <conditionalFormatting sqref="E97">
    <cfRule type="expression" dxfId="4435" priority="503">
      <formula>AND((ISNUMBER(SEARCH("I-MUAP",$D$14))),E97&lt;2500)</formula>
    </cfRule>
    <cfRule type="expression" dxfId="4434" priority="504">
      <formula>ISNUMBER(SEARCH("I-MUAP",$D$14))</formula>
    </cfRule>
    <cfRule type="cellIs" dxfId="4433" priority="505" operator="greaterThan">
      <formula>2000</formula>
    </cfRule>
  </conditionalFormatting>
  <conditionalFormatting sqref="E102:E103">
    <cfRule type="expression" dxfId="4432" priority="486">
      <formula>$C102="SELECT WORKS"</formula>
    </cfRule>
  </conditionalFormatting>
  <conditionalFormatting sqref="E107:E108">
    <cfRule type="expression" dxfId="4431" priority="303">
      <formula>D107="WW PODS"</formula>
    </cfRule>
    <cfRule type="expression" dxfId="4430" priority="304">
      <formula>D107="FILTER TYPE"</formula>
    </cfRule>
    <cfRule type="expression" dxfId="4429" priority="305">
      <formula>D107="KSA"</formula>
    </cfRule>
    <cfRule type="expression" dxfId="4428" priority="306">
      <formula>(D99="CANOPY TYPE")</formula>
    </cfRule>
  </conditionalFormatting>
  <conditionalFormatting sqref="E109">
    <cfRule type="containsText" dxfId="4427" priority="496" operator="containsText" text="LONG ">
      <formula>NOT(ISERROR(SEARCH("LONG ",E109)))</formula>
    </cfRule>
  </conditionalFormatting>
  <conditionalFormatting sqref="E114">
    <cfRule type="expression" dxfId="4426" priority="279">
      <formula>AND((ISNUMBER(SEARCH("I-MUAP",$D$14))),E114&lt;2500)</formula>
    </cfRule>
    <cfRule type="expression" dxfId="4425" priority="280">
      <formula>ISNUMBER(SEARCH("I-MUAP",$D$14))</formula>
    </cfRule>
    <cfRule type="cellIs" dxfId="4424" priority="281" operator="greaterThan">
      <formula>2000</formula>
    </cfRule>
  </conditionalFormatting>
  <conditionalFormatting sqref="E119:E120">
    <cfRule type="expression" dxfId="4423" priority="262">
      <formula>$C119="SELECT WORKS"</formula>
    </cfRule>
  </conditionalFormatting>
  <conditionalFormatting sqref="E124:E125">
    <cfRule type="expression" dxfId="4422" priority="238">
      <formula>D124="WW PODS"</formula>
    </cfRule>
    <cfRule type="expression" dxfId="4421" priority="239">
      <formula>D124="FILTER TYPE"</formula>
    </cfRule>
    <cfRule type="expression" dxfId="4420" priority="240">
      <formula>D124="KSA"</formula>
    </cfRule>
    <cfRule type="expression" dxfId="4419" priority="241">
      <formula>(D116="CANOPY TYPE")</formula>
    </cfRule>
  </conditionalFormatting>
  <conditionalFormatting sqref="E126">
    <cfRule type="containsText" dxfId="4418" priority="272" operator="containsText" text="LONG ">
      <formula>NOT(ISERROR(SEARCH("LONG ",E126)))</formula>
    </cfRule>
  </conditionalFormatting>
  <conditionalFormatting sqref="E131">
    <cfRule type="expression" dxfId="4417" priority="210">
      <formula>AND((ISNUMBER(SEARCH("I-MUAP",$D$14))),E131&lt;2500)</formula>
    </cfRule>
    <cfRule type="expression" dxfId="4416" priority="211">
      <formula>ISNUMBER(SEARCH("I-MUAP",$D$14))</formula>
    </cfRule>
    <cfRule type="cellIs" dxfId="4415" priority="212" operator="greaterThan">
      <formula>2000</formula>
    </cfRule>
  </conditionalFormatting>
  <conditionalFormatting sqref="E136:E137">
    <cfRule type="expression" dxfId="4414" priority="193">
      <formula>$C136="SELECT WORKS"</formula>
    </cfRule>
  </conditionalFormatting>
  <conditionalFormatting sqref="E141:E142">
    <cfRule type="expression" dxfId="4413" priority="169">
      <formula>D141="WW PODS"</formula>
    </cfRule>
    <cfRule type="expression" dxfId="4412" priority="170">
      <formula>D141="FILTER TYPE"</formula>
    </cfRule>
    <cfRule type="expression" dxfId="4411" priority="171">
      <formula>D141="KSA"</formula>
    </cfRule>
    <cfRule type="expression" dxfId="4410" priority="172">
      <formula>(D133="CANOPY TYPE")</formula>
    </cfRule>
  </conditionalFormatting>
  <conditionalFormatting sqref="E143">
    <cfRule type="containsText" dxfId="4409" priority="203" operator="containsText" text="LONG ">
      <formula>NOT(ISERROR(SEARCH("LONG ",E143)))</formula>
    </cfRule>
  </conditionalFormatting>
  <conditionalFormatting sqref="E148">
    <cfRule type="expression" dxfId="4408" priority="155">
      <formula>AND((ISNUMBER(SEARCH("I-MUAP",$D$14))),E148&lt;2500)</formula>
    </cfRule>
    <cfRule type="expression" dxfId="4407" priority="156">
      <formula>ISNUMBER(SEARCH("I-MUAP",$D$14))</formula>
    </cfRule>
    <cfRule type="cellIs" dxfId="4406" priority="157" operator="greaterThan">
      <formula>2000</formula>
    </cfRule>
  </conditionalFormatting>
  <conditionalFormatting sqref="E153:E154">
    <cfRule type="expression" dxfId="4405" priority="138">
      <formula>$C153="SELECT WORKS"</formula>
    </cfRule>
  </conditionalFormatting>
  <conditionalFormatting sqref="E158:E159">
    <cfRule type="expression" dxfId="4404" priority="114">
      <formula>D158="WW PODS"</formula>
    </cfRule>
    <cfRule type="expression" dxfId="4403" priority="115">
      <formula>D158="FILTER TYPE"</formula>
    </cfRule>
    <cfRule type="expression" dxfId="4402" priority="116">
      <formula>D158="KSA"</formula>
    </cfRule>
    <cfRule type="expression" dxfId="4401" priority="117">
      <formula>(D150="CANOPY TYPE")</formula>
    </cfRule>
  </conditionalFormatting>
  <conditionalFormatting sqref="E160">
    <cfRule type="containsText" dxfId="4400" priority="148" operator="containsText" text="LONG ">
      <formula>NOT(ISERROR(SEARCH("LONG ",E160)))</formula>
    </cfRule>
  </conditionalFormatting>
  <conditionalFormatting sqref="E165">
    <cfRule type="expression" dxfId="4399" priority="100">
      <formula>AND((ISNUMBER(SEARCH("I-MUAP",$D$14))),E165&lt;2500)</formula>
    </cfRule>
    <cfRule type="expression" dxfId="4398" priority="101">
      <formula>ISNUMBER(SEARCH("I-MUAP",$D$14))</formula>
    </cfRule>
    <cfRule type="cellIs" dxfId="4397" priority="102" operator="greaterThan">
      <formula>2000</formula>
    </cfRule>
  </conditionalFormatting>
  <conditionalFormatting sqref="E170:E171">
    <cfRule type="expression" dxfId="4396" priority="83">
      <formula>$C170="SELECT WORKS"</formula>
    </cfRule>
  </conditionalFormatting>
  <conditionalFormatting sqref="E175:E176">
    <cfRule type="expression" dxfId="4395" priority="59">
      <formula>D175="WW PODS"</formula>
    </cfRule>
    <cfRule type="expression" dxfId="4394" priority="60">
      <formula>D175="FILTER TYPE"</formula>
    </cfRule>
    <cfRule type="expression" dxfId="4393" priority="61">
      <formula>D175="KSA"</formula>
    </cfRule>
    <cfRule type="expression" dxfId="4392" priority="62">
      <formula>(D167="CANOPY TYPE")</formula>
    </cfRule>
  </conditionalFormatting>
  <conditionalFormatting sqref="E177">
    <cfRule type="containsText" dxfId="4391" priority="93" operator="containsText" text="LONG ">
      <formula>NOT(ISERROR(SEARCH("LONG ",E177)))</formula>
    </cfRule>
  </conditionalFormatting>
  <conditionalFormatting sqref="E12:F12">
    <cfRule type="cellIs" dxfId="4390" priority="702" operator="lessThan">
      <formula>1000</formula>
    </cfRule>
  </conditionalFormatting>
  <conditionalFormatting sqref="E14:F14">
    <cfRule type="cellIs" dxfId="4389" priority="699" operator="lessThan">
      <formula>1000</formula>
    </cfRule>
  </conditionalFormatting>
  <conditionalFormatting sqref="E25:F27">
    <cfRule type="expression" dxfId="4388" priority="638">
      <formula>($D$14="CANOPY TYPE")</formula>
    </cfRule>
  </conditionalFormatting>
  <conditionalFormatting sqref="E29:F29">
    <cfRule type="cellIs" dxfId="4387" priority="625" operator="lessThan">
      <formula>1000</formula>
    </cfRule>
  </conditionalFormatting>
  <conditionalFormatting sqref="E31:F31">
    <cfRule type="cellIs" dxfId="4386" priority="622" operator="lessThan">
      <formula>1000</formula>
    </cfRule>
  </conditionalFormatting>
  <conditionalFormatting sqref="E32:F32">
    <cfRule type="expression" dxfId="4385" priority="473">
      <formula>(C32="LIGHT SELECTION")</formula>
    </cfRule>
  </conditionalFormatting>
  <conditionalFormatting sqref="E42:F44">
    <cfRule type="expression" dxfId="4384" priority="606">
      <formula>($D$14="CANOPY TYPE")</formula>
    </cfRule>
  </conditionalFormatting>
  <conditionalFormatting sqref="E46:F46">
    <cfRule type="cellIs" dxfId="4383" priority="593" operator="lessThan">
      <formula>1000</formula>
    </cfRule>
  </conditionalFormatting>
  <conditionalFormatting sqref="E48:F48">
    <cfRule type="cellIs" dxfId="4382" priority="590" operator="lessThan">
      <formula>1000</formula>
    </cfRule>
  </conditionalFormatting>
  <conditionalFormatting sqref="E59:F61">
    <cfRule type="expression" dxfId="4381" priority="576">
      <formula>($D$14="CANOPY TYPE")</formula>
    </cfRule>
  </conditionalFormatting>
  <conditionalFormatting sqref="E63:F63">
    <cfRule type="cellIs" dxfId="4380" priority="563" operator="lessThan">
      <formula>1000</formula>
    </cfRule>
  </conditionalFormatting>
  <conditionalFormatting sqref="E65:F65">
    <cfRule type="cellIs" dxfId="4379" priority="560" operator="lessThan">
      <formula>1000</formula>
    </cfRule>
  </conditionalFormatting>
  <conditionalFormatting sqref="E66:F66">
    <cfRule type="expression" dxfId="4378" priority="466">
      <formula>(C66="LIGHT SELECTION")</formula>
    </cfRule>
  </conditionalFormatting>
  <conditionalFormatting sqref="E76:F78">
    <cfRule type="expression" dxfId="4377" priority="545">
      <formula>($D$14="CANOPY TYPE")</formula>
    </cfRule>
  </conditionalFormatting>
  <conditionalFormatting sqref="E80:F80">
    <cfRule type="cellIs" dxfId="4376" priority="532" operator="lessThan">
      <formula>1000</formula>
    </cfRule>
  </conditionalFormatting>
  <conditionalFormatting sqref="E82:F82">
    <cfRule type="cellIs" dxfId="4375" priority="529" operator="lessThan">
      <formula>1000</formula>
    </cfRule>
  </conditionalFormatting>
  <conditionalFormatting sqref="E83:F83">
    <cfRule type="expression" dxfId="4374" priority="462">
      <formula>(C83="LIGHT SELECTION")</formula>
    </cfRule>
  </conditionalFormatting>
  <conditionalFormatting sqref="E93:F95">
    <cfRule type="expression" dxfId="4373" priority="513">
      <formula>($D$14="CANOPY TYPE")</formula>
    </cfRule>
  </conditionalFormatting>
  <conditionalFormatting sqref="E97:F97">
    <cfRule type="cellIs" dxfId="4372" priority="500" operator="lessThan">
      <formula>1000</formula>
    </cfRule>
  </conditionalFormatting>
  <conditionalFormatting sqref="E99:F99">
    <cfRule type="cellIs" dxfId="4371" priority="497" operator="lessThan">
      <formula>1000</formula>
    </cfRule>
  </conditionalFormatting>
  <conditionalFormatting sqref="E100:F100">
    <cfRule type="expression" dxfId="4370" priority="458">
      <formula>(C100="LIGHT SELECTION")</formula>
    </cfRule>
  </conditionalFormatting>
  <conditionalFormatting sqref="E110:F112 E127:F129 E144:F146 E161:F163 E178:F180">
    <cfRule type="expression" dxfId="4369" priority="482">
      <formula>($D$14="CANOPY TYPE")</formula>
    </cfRule>
  </conditionalFormatting>
  <conditionalFormatting sqref="E114:F114">
    <cfRule type="cellIs" dxfId="4368" priority="276" operator="lessThan">
      <formula>1000</formula>
    </cfRule>
  </conditionalFormatting>
  <conditionalFormatting sqref="E116:F116">
    <cfRule type="cellIs" dxfId="4367" priority="273" operator="lessThan">
      <formula>1000</formula>
    </cfRule>
  </conditionalFormatting>
  <conditionalFormatting sqref="E117:F117">
    <cfRule type="expression" dxfId="4366" priority="256">
      <formula>(C117="LIGHT SELECTION")</formula>
    </cfRule>
  </conditionalFormatting>
  <conditionalFormatting sqref="E131:F131">
    <cfRule type="cellIs" dxfId="4365" priority="207" operator="lessThan">
      <formula>1000</formula>
    </cfRule>
  </conditionalFormatting>
  <conditionalFormatting sqref="E133:F133">
    <cfRule type="cellIs" dxfId="4364" priority="204" operator="lessThan">
      <formula>1000</formula>
    </cfRule>
  </conditionalFormatting>
  <conditionalFormatting sqref="E134:F134">
    <cfRule type="expression" dxfId="4363" priority="187">
      <formula>(C134="LIGHT SELECTION")</formula>
    </cfRule>
  </conditionalFormatting>
  <conditionalFormatting sqref="E148:F148">
    <cfRule type="cellIs" dxfId="4362" priority="152" operator="lessThan">
      <formula>1000</formula>
    </cfRule>
  </conditionalFormatting>
  <conditionalFormatting sqref="E150:F150">
    <cfRule type="cellIs" dxfId="4361" priority="149" operator="lessThan">
      <formula>1000</formula>
    </cfRule>
  </conditionalFormatting>
  <conditionalFormatting sqref="E151:F151">
    <cfRule type="expression" dxfId="4360" priority="132">
      <formula>(C151="LIGHT SELECTION")</formula>
    </cfRule>
  </conditionalFormatting>
  <conditionalFormatting sqref="E165:F165">
    <cfRule type="cellIs" dxfId="4359" priority="97" operator="lessThan">
      <formula>1000</formula>
    </cfRule>
  </conditionalFormatting>
  <conditionalFormatting sqref="E167:F167">
    <cfRule type="cellIs" dxfId="4358" priority="94" operator="lessThan">
      <formula>1000</formula>
    </cfRule>
  </conditionalFormatting>
  <conditionalFormatting sqref="E168:F168">
    <cfRule type="expression" dxfId="4357" priority="77">
      <formula>(C168="LIGHT SELECTION")</formula>
    </cfRule>
  </conditionalFormatting>
  <conditionalFormatting sqref="F12">
    <cfRule type="cellIs" dxfId="4356" priority="703" operator="greaterThan">
      <formula>3001</formula>
    </cfRule>
  </conditionalFormatting>
  <conditionalFormatting sqref="F15">
    <cfRule type="expression" dxfId="4355" priority="475">
      <formula>(C15="LED STRIP")</formula>
    </cfRule>
    <cfRule type="expression" dxfId="4354" priority="692">
      <formula>(C15="LIGHT SELECTION")</formula>
    </cfRule>
    <cfRule type="expression" dxfId="4353" priority="694">
      <formula>(C15="FLO")</formula>
    </cfRule>
    <cfRule type="expression" dxfId="4352" priority="725">
      <formula>(D49="LIGHT SELECTION")</formula>
    </cfRule>
  </conditionalFormatting>
  <conditionalFormatting sqref="F22:F23">
    <cfRule type="expression" dxfId="4351" priority="716">
      <formula>D22="NF"</formula>
    </cfRule>
    <cfRule type="expression" dxfId="4350" priority="717">
      <formula>D22="WW PODS"</formula>
    </cfRule>
    <cfRule type="expression" dxfId="4349" priority="718">
      <formula>D22="GRILLE"</formula>
    </cfRule>
    <cfRule type="expression" dxfId="4348" priority="719">
      <formula>D22="CENTREX"</formula>
    </cfRule>
    <cfRule type="expression" dxfId="4347" priority="720" stopIfTrue="1">
      <formula>D14="canopy type"</formula>
    </cfRule>
    <cfRule type="expression" dxfId="4346" priority="721">
      <formula>(((I14*3600)/(C22*I11))^2+20)&gt;300</formula>
    </cfRule>
    <cfRule type="expression" dxfId="4345" priority="722" stopIfTrue="1">
      <formula>(ISNUMBER(SEARCH("UV",D14)))</formula>
    </cfRule>
    <cfRule type="expression" dxfId="4344" priority="723">
      <formula>(((I14*3600)/(C22*I11))^2+20)&gt;180</formula>
    </cfRule>
    <cfRule type="expression" dxfId="4343" priority="724">
      <formula>D22="KSA"</formula>
    </cfRule>
  </conditionalFormatting>
  <conditionalFormatting sqref="F24">
    <cfRule type="cellIs" dxfId="4342" priority="697" operator="lessThan">
      <formula>2100</formula>
    </cfRule>
  </conditionalFormatting>
  <conditionalFormatting sqref="F29">
    <cfRule type="cellIs" dxfId="4341" priority="626" operator="greaterThan">
      <formula>3001</formula>
    </cfRule>
  </conditionalFormatting>
  <conditionalFormatting sqref="F32">
    <cfRule type="expression" dxfId="4340" priority="471">
      <formula>(C32="LED STRIP")</formula>
    </cfRule>
    <cfRule type="expression" dxfId="4339" priority="472">
      <formula>(C32="LIGHT SELECTION")</formula>
    </cfRule>
    <cfRule type="expression" dxfId="4338" priority="474">
      <formula>(C32="FLO")</formula>
    </cfRule>
  </conditionalFormatting>
  <conditionalFormatting sqref="F39:F40">
    <cfRule type="expression" dxfId="4337" priority="411">
      <formula>D39="NF"</formula>
    </cfRule>
    <cfRule type="expression" dxfId="4336" priority="412">
      <formula>D39="WW PODS"</formula>
    </cfRule>
    <cfRule type="expression" dxfId="4335" priority="413">
      <formula>D39="GRILLE"</formula>
    </cfRule>
    <cfRule type="expression" dxfId="4334" priority="414">
      <formula>D39="CENTREX"</formula>
    </cfRule>
    <cfRule type="expression" dxfId="4333" priority="415" stopIfTrue="1">
      <formula>D31="canopy type"</formula>
    </cfRule>
    <cfRule type="expression" dxfId="4332" priority="416">
      <formula>(((I31*3600)/(C39*I28))^2+20)&gt;300</formula>
    </cfRule>
    <cfRule type="expression" dxfId="4331" priority="417" stopIfTrue="1">
      <formula>(ISNUMBER(SEARCH("UV",D31)))</formula>
    </cfRule>
    <cfRule type="expression" dxfId="4330" priority="418">
      <formula>(((I31*3600)/(C39*I28))^2+20)&gt;180</formula>
    </cfRule>
    <cfRule type="expression" dxfId="4329" priority="419">
      <formula>D39="KSA"</formula>
    </cfRule>
  </conditionalFormatting>
  <conditionalFormatting sqref="F41">
    <cfRule type="cellIs" dxfId="4328" priority="620" operator="lessThan">
      <formula>2100</formula>
    </cfRule>
  </conditionalFormatting>
  <conditionalFormatting sqref="F46">
    <cfRule type="cellIs" dxfId="4327" priority="594" operator="greaterThan">
      <formula>3001</formula>
    </cfRule>
  </conditionalFormatting>
  <conditionalFormatting sqref="F49">
    <cfRule type="expression" dxfId="4326" priority="468">
      <formula>(C49="LED STRIP")</formula>
    </cfRule>
    <cfRule type="expression" dxfId="4325" priority="469">
      <formula>(C49="LIGHT SELECTION")</formula>
    </cfRule>
    <cfRule type="expression" dxfId="4324" priority="470">
      <formula>(C49="FLO")</formula>
    </cfRule>
    <cfRule type="expression" dxfId="4323" priority="726">
      <formula>(#REF!="LIGHT SELECTION")</formula>
    </cfRule>
  </conditionalFormatting>
  <conditionalFormatting sqref="F56:F57">
    <cfRule type="expression" dxfId="4322" priority="385">
      <formula>D56="NF"</formula>
    </cfRule>
    <cfRule type="expression" dxfId="4321" priority="386">
      <formula>D56="WW PODS"</formula>
    </cfRule>
    <cfRule type="expression" dxfId="4320" priority="387">
      <formula>D56="GRILLE"</formula>
    </cfRule>
    <cfRule type="expression" dxfId="4319" priority="388">
      <formula>D56="CENTREX"</formula>
    </cfRule>
    <cfRule type="expression" dxfId="4318" priority="389" stopIfTrue="1">
      <formula>D48="canopy type"</formula>
    </cfRule>
    <cfRule type="expression" dxfId="4317" priority="390">
      <formula>(((I48*3600)/(C56*I45))^2+20)&gt;300</formula>
    </cfRule>
    <cfRule type="expression" dxfId="4316" priority="391" stopIfTrue="1">
      <formula>(ISNUMBER(SEARCH("UV",D48)))</formula>
    </cfRule>
    <cfRule type="expression" dxfId="4315" priority="392">
      <formula>(((I48*3600)/(C56*I45))^2+20)&gt;180</formula>
    </cfRule>
    <cfRule type="expression" dxfId="4314" priority="393">
      <formula>D56="KSA"</formula>
    </cfRule>
  </conditionalFormatting>
  <conditionalFormatting sqref="F58">
    <cfRule type="cellIs" dxfId="4313" priority="588" operator="lessThan">
      <formula>2100</formula>
    </cfRule>
  </conditionalFormatting>
  <conditionalFormatting sqref="F63">
    <cfRule type="cellIs" dxfId="4312" priority="564" operator="greaterThan">
      <formula>3001</formula>
    </cfRule>
  </conditionalFormatting>
  <conditionalFormatting sqref="F66">
    <cfRule type="expression" dxfId="4311" priority="464">
      <formula>(C66="LED STRIP")</formula>
    </cfRule>
    <cfRule type="expression" dxfId="4310" priority="465">
      <formula>(C66="LIGHT SELECTION")</formula>
    </cfRule>
    <cfRule type="expression" dxfId="4309" priority="467">
      <formula>(C66="FLO")</formula>
    </cfRule>
  </conditionalFormatting>
  <conditionalFormatting sqref="F73:F74">
    <cfRule type="expression" dxfId="4308" priority="359">
      <formula>D73="NF"</formula>
    </cfRule>
    <cfRule type="expression" dxfId="4307" priority="360">
      <formula>D73="WW PODS"</formula>
    </cfRule>
    <cfRule type="expression" dxfId="4306" priority="361">
      <formula>D73="GRILLE"</formula>
    </cfRule>
    <cfRule type="expression" dxfId="4305" priority="362">
      <formula>D73="CENTREX"</formula>
    </cfRule>
    <cfRule type="expression" dxfId="4304" priority="363" stopIfTrue="1">
      <formula>D65="canopy type"</formula>
    </cfRule>
    <cfRule type="expression" dxfId="4303" priority="364">
      <formula>(((I65*3600)/(C73*I62))^2+20)&gt;300</formula>
    </cfRule>
    <cfRule type="expression" dxfId="4302" priority="365" stopIfTrue="1">
      <formula>(ISNUMBER(SEARCH("UV",D65)))</formula>
    </cfRule>
    <cfRule type="expression" dxfId="4301" priority="366">
      <formula>(((I65*3600)/(C73*I62))^2+20)&gt;180</formula>
    </cfRule>
    <cfRule type="expression" dxfId="4300" priority="367">
      <formula>D73="KSA"</formula>
    </cfRule>
  </conditionalFormatting>
  <conditionalFormatting sqref="F75">
    <cfRule type="cellIs" dxfId="4299" priority="558" operator="lessThan">
      <formula>2100</formula>
    </cfRule>
  </conditionalFormatting>
  <conditionalFormatting sqref="F80">
    <cfRule type="cellIs" dxfId="4298" priority="533" operator="greaterThan">
      <formula>3001</formula>
    </cfRule>
  </conditionalFormatting>
  <conditionalFormatting sqref="F83">
    <cfRule type="expression" dxfId="4297" priority="460">
      <formula>(C83="LED STRIP")</formula>
    </cfRule>
    <cfRule type="expression" dxfId="4296" priority="461">
      <formula>(C83="LIGHT SELECTION")</formula>
    </cfRule>
    <cfRule type="expression" dxfId="4295" priority="463">
      <formula>(C83="FLO")</formula>
    </cfRule>
  </conditionalFormatting>
  <conditionalFormatting sqref="F90:F91">
    <cfRule type="expression" dxfId="4294" priority="333">
      <formula>D90="NF"</formula>
    </cfRule>
    <cfRule type="expression" dxfId="4293" priority="334">
      <formula>D90="WW PODS"</formula>
    </cfRule>
    <cfRule type="expression" dxfId="4292" priority="335">
      <formula>D90="GRILLE"</formula>
    </cfRule>
    <cfRule type="expression" dxfId="4291" priority="336">
      <formula>D90="CENTREX"</formula>
    </cfRule>
    <cfRule type="expression" dxfId="4290" priority="337" stopIfTrue="1">
      <formula>D82="canopy type"</formula>
    </cfRule>
    <cfRule type="expression" dxfId="4289" priority="338">
      <formula>(((I82*3600)/(C90*I79))^2+20)&gt;300</formula>
    </cfRule>
    <cfRule type="expression" dxfId="4288" priority="339" stopIfTrue="1">
      <formula>(ISNUMBER(SEARCH("UV",D82)))</formula>
    </cfRule>
    <cfRule type="expression" dxfId="4287" priority="340">
      <formula>(((I82*3600)/(C90*I79))^2+20)&gt;180</formula>
    </cfRule>
    <cfRule type="expression" dxfId="4286" priority="341">
      <formula>D90="KSA"</formula>
    </cfRule>
  </conditionalFormatting>
  <conditionalFormatting sqref="F92">
    <cfRule type="cellIs" dxfId="4285" priority="527" operator="lessThan">
      <formula>2100</formula>
    </cfRule>
  </conditionalFormatting>
  <conditionalFormatting sqref="F97">
    <cfRule type="cellIs" dxfId="4284" priority="501" operator="greaterThan">
      <formula>3001</formula>
    </cfRule>
  </conditionalFormatting>
  <conditionalFormatting sqref="F100">
    <cfRule type="expression" dxfId="4283" priority="456">
      <formula>(C100="LED STRIP")</formula>
    </cfRule>
    <cfRule type="expression" dxfId="4282" priority="457">
      <formula>(C100="LIGHT SELECTION")</formula>
    </cfRule>
    <cfRule type="expression" dxfId="4281" priority="459">
      <formula>(C100="FLO")</formula>
    </cfRule>
  </conditionalFormatting>
  <conditionalFormatting sqref="F107:F108">
    <cfRule type="expression" dxfId="4280" priority="307">
      <formula>D107="NF"</formula>
    </cfRule>
    <cfRule type="expression" dxfId="4279" priority="308">
      <formula>D107="WW PODS"</formula>
    </cfRule>
    <cfRule type="expression" dxfId="4278" priority="309">
      <formula>D107="GRILLE"</formula>
    </cfRule>
    <cfRule type="expression" dxfId="4277" priority="310">
      <formula>D107="CENTREX"</formula>
    </cfRule>
    <cfRule type="expression" dxfId="4276" priority="311" stopIfTrue="1">
      <formula>D99="canopy type"</formula>
    </cfRule>
    <cfRule type="expression" dxfId="4275" priority="312">
      <formula>(((I99*3600)/(C107*I96))^2+20)&gt;300</formula>
    </cfRule>
    <cfRule type="expression" dxfId="4274" priority="313" stopIfTrue="1">
      <formula>(ISNUMBER(SEARCH("UV",D99)))</formula>
    </cfRule>
    <cfRule type="expression" dxfId="4273" priority="314">
      <formula>(((I99*3600)/(C107*I96))^2+20)&gt;180</formula>
    </cfRule>
    <cfRule type="expression" dxfId="4272" priority="315">
      <formula>D107="KSA"</formula>
    </cfRule>
  </conditionalFormatting>
  <conditionalFormatting sqref="F109">
    <cfRule type="cellIs" dxfId="4271" priority="495" operator="lessThan">
      <formula>2100</formula>
    </cfRule>
  </conditionalFormatting>
  <conditionalFormatting sqref="F114">
    <cfRule type="cellIs" dxfId="4270" priority="277" operator="greaterThan">
      <formula>3001</formula>
    </cfRule>
  </conditionalFormatting>
  <conditionalFormatting sqref="F117">
    <cfRule type="expression" dxfId="4269" priority="254">
      <formula>(C117="LED STRIP")</formula>
    </cfRule>
    <cfRule type="expression" dxfId="4268" priority="255">
      <formula>(C117="LIGHT SELECTION")</formula>
    </cfRule>
    <cfRule type="expression" dxfId="4267" priority="257">
      <formula>(C117="FLO")</formula>
    </cfRule>
  </conditionalFormatting>
  <conditionalFormatting sqref="F124:F125">
    <cfRule type="expression" dxfId="4266" priority="242">
      <formula>D124="NF"</formula>
    </cfRule>
    <cfRule type="expression" dxfId="4265" priority="243">
      <formula>D124="WW PODS"</formula>
    </cfRule>
    <cfRule type="expression" dxfId="4264" priority="244">
      <formula>D124="GRILLE"</formula>
    </cfRule>
    <cfRule type="expression" dxfId="4263" priority="245">
      <formula>D124="CENTREX"</formula>
    </cfRule>
    <cfRule type="expression" dxfId="4262" priority="246" stopIfTrue="1">
      <formula>D116="canopy type"</formula>
    </cfRule>
    <cfRule type="expression" dxfId="4261" priority="247">
      <formula>(((I116*3600)/(C124*I113))^2+20)&gt;300</formula>
    </cfRule>
    <cfRule type="expression" dxfId="4260" priority="248" stopIfTrue="1">
      <formula>(ISNUMBER(SEARCH("UV",D116)))</formula>
    </cfRule>
    <cfRule type="expression" dxfId="4259" priority="249">
      <formula>(((I116*3600)/(C124*I113))^2+20)&gt;180</formula>
    </cfRule>
    <cfRule type="expression" dxfId="4258" priority="250">
      <formula>D124="KSA"</formula>
    </cfRule>
  </conditionalFormatting>
  <conditionalFormatting sqref="F126">
    <cfRule type="cellIs" dxfId="4257" priority="271" operator="lessThan">
      <formula>2100</formula>
    </cfRule>
  </conditionalFormatting>
  <conditionalFormatting sqref="F131">
    <cfRule type="cellIs" dxfId="4256" priority="208" operator="greaterThan">
      <formula>3001</formula>
    </cfRule>
  </conditionalFormatting>
  <conditionalFormatting sqref="F134">
    <cfRule type="expression" dxfId="4255" priority="185">
      <formula>(C134="LED STRIP")</formula>
    </cfRule>
    <cfRule type="expression" dxfId="4254" priority="186">
      <formula>(C134="LIGHT SELECTION")</formula>
    </cfRule>
    <cfRule type="expression" dxfId="4253" priority="188">
      <formula>(C134="FLO")</formula>
    </cfRule>
  </conditionalFormatting>
  <conditionalFormatting sqref="F141:F142">
    <cfRule type="expression" dxfId="4252" priority="173">
      <formula>D141="NF"</formula>
    </cfRule>
    <cfRule type="expression" dxfId="4251" priority="174">
      <formula>D141="WW PODS"</formula>
    </cfRule>
    <cfRule type="expression" dxfId="4250" priority="175">
      <formula>D141="GRILLE"</formula>
    </cfRule>
    <cfRule type="expression" dxfId="4249" priority="176">
      <formula>D141="CENTREX"</formula>
    </cfRule>
    <cfRule type="expression" dxfId="4248" priority="177" stopIfTrue="1">
      <formula>D133="canopy type"</formula>
    </cfRule>
    <cfRule type="expression" dxfId="4247" priority="178">
      <formula>(((I133*3600)/(C141*I130))^2+20)&gt;300</formula>
    </cfRule>
    <cfRule type="expression" dxfId="4246" priority="179" stopIfTrue="1">
      <formula>(ISNUMBER(SEARCH("UV",D133)))</formula>
    </cfRule>
    <cfRule type="expression" dxfId="4245" priority="180">
      <formula>(((I133*3600)/(C141*I130))^2+20)&gt;180</formula>
    </cfRule>
    <cfRule type="expression" dxfId="4244" priority="181">
      <formula>D141="KSA"</formula>
    </cfRule>
  </conditionalFormatting>
  <conditionalFormatting sqref="F143">
    <cfRule type="cellIs" dxfId="4243" priority="202" operator="lessThan">
      <formula>2100</formula>
    </cfRule>
  </conditionalFormatting>
  <conditionalFormatting sqref="F148">
    <cfRule type="cellIs" dxfId="4242" priority="153" operator="greaterThan">
      <formula>3001</formula>
    </cfRule>
  </conditionalFormatting>
  <conditionalFormatting sqref="F151">
    <cfRule type="expression" dxfId="4241" priority="130">
      <formula>(C151="LED STRIP")</formula>
    </cfRule>
    <cfRule type="expression" dxfId="4240" priority="131">
      <formula>(C151="LIGHT SELECTION")</formula>
    </cfRule>
    <cfRule type="expression" dxfId="4239" priority="133">
      <formula>(C151="FLO")</formula>
    </cfRule>
  </conditionalFormatting>
  <conditionalFormatting sqref="F158:F159">
    <cfRule type="expression" dxfId="4238" priority="118">
      <formula>D158="NF"</formula>
    </cfRule>
    <cfRule type="expression" dxfId="4237" priority="119">
      <formula>D158="WW PODS"</formula>
    </cfRule>
    <cfRule type="expression" dxfId="4236" priority="120">
      <formula>D158="GRILLE"</formula>
    </cfRule>
    <cfRule type="expression" dxfId="4235" priority="121">
      <formula>D158="CENTREX"</formula>
    </cfRule>
    <cfRule type="expression" dxfId="4234" priority="122" stopIfTrue="1">
      <formula>D150="canopy type"</formula>
    </cfRule>
    <cfRule type="expression" dxfId="4233" priority="123">
      <formula>(((I150*3600)/(C158*I147))^2+20)&gt;300</formula>
    </cfRule>
    <cfRule type="expression" dxfId="4232" priority="124" stopIfTrue="1">
      <formula>(ISNUMBER(SEARCH("UV",D150)))</formula>
    </cfRule>
    <cfRule type="expression" dxfId="4231" priority="125">
      <formula>(((I150*3600)/(C158*I147))^2+20)&gt;180</formula>
    </cfRule>
    <cfRule type="expression" dxfId="4230" priority="126">
      <formula>D158="KSA"</formula>
    </cfRule>
  </conditionalFormatting>
  <conditionalFormatting sqref="F160">
    <cfRule type="cellIs" dxfId="4229" priority="147" operator="lessThan">
      <formula>2100</formula>
    </cfRule>
  </conditionalFormatting>
  <conditionalFormatting sqref="F165">
    <cfRule type="cellIs" dxfId="4228" priority="98" operator="greaterThan">
      <formula>3001</formula>
    </cfRule>
  </conditionalFormatting>
  <conditionalFormatting sqref="F168">
    <cfRule type="expression" dxfId="4227" priority="75">
      <formula>(C168="LED STRIP")</formula>
    </cfRule>
    <cfRule type="expression" dxfId="4226" priority="76">
      <formula>(C168="LIGHT SELECTION")</formula>
    </cfRule>
    <cfRule type="expression" dxfId="4225" priority="78">
      <formula>(C168="FLO")</formula>
    </cfRule>
  </conditionalFormatting>
  <conditionalFormatting sqref="F175:F176">
    <cfRule type="expression" dxfId="4224" priority="63">
      <formula>D175="NF"</formula>
    </cfRule>
    <cfRule type="expression" dxfId="4223" priority="64">
      <formula>D175="WW PODS"</formula>
    </cfRule>
    <cfRule type="expression" dxfId="4222" priority="65">
      <formula>D175="GRILLE"</formula>
    </cfRule>
    <cfRule type="expression" dxfId="4221" priority="66">
      <formula>D175="CENTREX"</formula>
    </cfRule>
    <cfRule type="expression" dxfId="4220" priority="67" stopIfTrue="1">
      <formula>D167="canopy type"</formula>
    </cfRule>
    <cfRule type="expression" dxfId="4219" priority="68">
      <formula>(((I167*3600)/(C175*I164))^2+20)&gt;300</formula>
    </cfRule>
    <cfRule type="expression" dxfId="4218" priority="69" stopIfTrue="1">
      <formula>(ISNUMBER(SEARCH("UV",D167)))</formula>
    </cfRule>
    <cfRule type="expression" dxfId="4217" priority="70">
      <formula>(((I167*3600)/(C175*I164))^2+20)&gt;180</formula>
    </cfRule>
    <cfRule type="expression" dxfId="4216" priority="71">
      <formula>D175="KSA"</formula>
    </cfRule>
  </conditionalFormatting>
  <conditionalFormatting sqref="F177">
    <cfRule type="cellIs" dxfId="4215" priority="92" operator="lessThan">
      <formula>2100</formula>
    </cfRule>
  </conditionalFormatting>
  <conditionalFormatting sqref="G11">
    <cfRule type="expression" dxfId="4214" priority="705">
      <formula>((F14-50)/H14)&lt;950</formula>
    </cfRule>
  </conditionalFormatting>
  <conditionalFormatting sqref="G12">
    <cfRule type="expression" dxfId="4213" priority="704">
      <formula>((F14-50)/H14)&lt;950</formula>
    </cfRule>
  </conditionalFormatting>
  <conditionalFormatting sqref="G14">
    <cfRule type="cellIs" dxfId="4212" priority="700" operator="lessThan">
      <formula>400</formula>
    </cfRule>
  </conditionalFormatting>
  <conditionalFormatting sqref="G28">
    <cfRule type="expression" dxfId="4211" priority="649">
      <formula>((F31-50)/H31)&lt;950</formula>
    </cfRule>
  </conditionalFormatting>
  <conditionalFormatting sqref="G29">
    <cfRule type="expression" dxfId="4210" priority="627">
      <formula>((F31-50)/H31)&lt;950</formula>
    </cfRule>
  </conditionalFormatting>
  <conditionalFormatting sqref="G31">
    <cfRule type="cellIs" dxfId="4209" priority="623" operator="lessThan">
      <formula>400</formula>
    </cfRule>
  </conditionalFormatting>
  <conditionalFormatting sqref="G45">
    <cfRule type="expression" dxfId="4208" priority="665">
      <formula>((F48-50)/H48)&lt;950</formula>
    </cfRule>
  </conditionalFormatting>
  <conditionalFormatting sqref="G46">
    <cfRule type="expression" dxfId="4207" priority="595">
      <formula>((F48-50)/H48)&lt;950</formula>
    </cfRule>
  </conditionalFormatting>
  <conditionalFormatting sqref="G48">
    <cfRule type="cellIs" dxfId="4206" priority="591" operator="lessThan">
      <formula>400</formula>
    </cfRule>
  </conditionalFormatting>
  <conditionalFormatting sqref="G62">
    <cfRule type="expression" dxfId="4205" priority="666">
      <formula>((F65-50)/H65)&lt;950</formula>
    </cfRule>
  </conditionalFormatting>
  <conditionalFormatting sqref="G63">
    <cfRule type="expression" dxfId="4204" priority="565">
      <formula>((F65-50)/H65)&lt;950</formula>
    </cfRule>
  </conditionalFormatting>
  <conditionalFormatting sqref="G65">
    <cfRule type="cellIs" dxfId="4203" priority="561" operator="lessThan">
      <formula>400</formula>
    </cfRule>
  </conditionalFormatting>
  <conditionalFormatting sqref="G79">
    <cfRule type="expression" dxfId="4202" priority="667">
      <formula>((F82-50)/H82)&lt;950</formula>
    </cfRule>
  </conditionalFormatting>
  <conditionalFormatting sqref="G80">
    <cfRule type="expression" dxfId="4201" priority="534">
      <formula>((F82-50)/H82)&lt;950</formula>
    </cfRule>
  </conditionalFormatting>
  <conditionalFormatting sqref="G82">
    <cfRule type="cellIs" dxfId="4200" priority="530" operator="lessThan">
      <formula>400</formula>
    </cfRule>
  </conditionalFormatting>
  <conditionalFormatting sqref="G96">
    <cfRule type="expression" dxfId="4199" priority="677">
      <formula>((F99-50)/H99)&lt;950</formula>
    </cfRule>
  </conditionalFormatting>
  <conditionalFormatting sqref="G97">
    <cfRule type="expression" dxfId="4198" priority="502">
      <formula>((F99-50)/H99)&lt;950</formula>
    </cfRule>
  </conditionalFormatting>
  <conditionalFormatting sqref="G99">
    <cfRule type="cellIs" dxfId="4197" priority="498" operator="lessThan">
      <formula>400</formula>
    </cfRule>
  </conditionalFormatting>
  <conditionalFormatting sqref="G113">
    <cfRule type="expression" dxfId="4196" priority="289">
      <formula>((F116-50)/H116)&lt;950</formula>
    </cfRule>
  </conditionalFormatting>
  <conditionalFormatting sqref="G114">
    <cfRule type="expression" dxfId="4195" priority="278">
      <formula>((F116-50)/H116)&lt;950</formula>
    </cfRule>
  </conditionalFormatting>
  <conditionalFormatting sqref="G116">
    <cfRule type="cellIs" dxfId="4194" priority="274" operator="lessThan">
      <formula>400</formula>
    </cfRule>
  </conditionalFormatting>
  <conditionalFormatting sqref="G130">
    <cfRule type="expression" dxfId="4193" priority="220">
      <formula>((F133-50)/H133)&lt;950</formula>
    </cfRule>
  </conditionalFormatting>
  <conditionalFormatting sqref="G131">
    <cfRule type="expression" dxfId="4192" priority="209">
      <formula>((F133-50)/H133)&lt;950</formula>
    </cfRule>
  </conditionalFormatting>
  <conditionalFormatting sqref="G133">
    <cfRule type="cellIs" dxfId="4191" priority="205" operator="lessThan">
      <formula>400</formula>
    </cfRule>
  </conditionalFormatting>
  <conditionalFormatting sqref="G147">
    <cfRule type="expression" dxfId="4190" priority="165">
      <formula>((F150-50)/H150)&lt;950</formula>
    </cfRule>
  </conditionalFormatting>
  <conditionalFormatting sqref="G148">
    <cfRule type="expression" dxfId="4189" priority="154">
      <formula>((F150-50)/H150)&lt;950</formula>
    </cfRule>
  </conditionalFormatting>
  <conditionalFormatting sqref="G150">
    <cfRule type="cellIs" dxfId="4188" priority="150" operator="lessThan">
      <formula>400</formula>
    </cfRule>
  </conditionalFormatting>
  <conditionalFormatting sqref="G164">
    <cfRule type="expression" dxfId="4187" priority="110">
      <formula>((F167-50)/H167)&lt;950</formula>
    </cfRule>
  </conditionalFormatting>
  <conditionalFormatting sqref="G165">
    <cfRule type="expression" dxfId="4186" priority="99">
      <formula>((F167-50)/H167)&lt;950</formula>
    </cfRule>
  </conditionalFormatting>
  <conditionalFormatting sqref="G167">
    <cfRule type="cellIs" dxfId="4185" priority="95" operator="lessThan">
      <formula>400</formula>
    </cfRule>
  </conditionalFormatting>
  <conditionalFormatting sqref="I14">
    <cfRule type="cellIs" dxfId="4184" priority="701" operator="lessThan">
      <formula>0.1</formula>
    </cfRule>
  </conditionalFormatting>
  <conditionalFormatting sqref="I31">
    <cfRule type="cellIs" dxfId="4183" priority="624" operator="lessThan">
      <formula>0.1</formula>
    </cfRule>
  </conditionalFormatting>
  <conditionalFormatting sqref="I48">
    <cfRule type="cellIs" dxfId="4182" priority="592" operator="lessThan">
      <formula>0.1</formula>
    </cfRule>
  </conditionalFormatting>
  <conditionalFormatting sqref="I65">
    <cfRule type="cellIs" dxfId="4181" priority="562" operator="lessThan">
      <formula>0.1</formula>
    </cfRule>
  </conditionalFormatting>
  <conditionalFormatting sqref="I82">
    <cfRule type="cellIs" dxfId="4180" priority="531" operator="lessThan">
      <formula>0.1</formula>
    </cfRule>
  </conditionalFormatting>
  <conditionalFormatting sqref="I99">
    <cfRule type="cellIs" dxfId="4179" priority="499" operator="lessThan">
      <formula>0.1</formula>
    </cfRule>
  </conditionalFormatting>
  <conditionalFormatting sqref="I116">
    <cfRule type="cellIs" dxfId="4178" priority="275" operator="lessThan">
      <formula>0.1</formula>
    </cfRule>
  </conditionalFormatting>
  <conditionalFormatting sqref="I133">
    <cfRule type="cellIs" dxfId="4177" priority="206" operator="lessThan">
      <formula>0.1</formula>
    </cfRule>
  </conditionalFormatting>
  <conditionalFormatting sqref="I150">
    <cfRule type="cellIs" dxfId="4176" priority="151" operator="lessThan">
      <formula>0.1</formula>
    </cfRule>
  </conditionalFormatting>
  <conditionalFormatting sqref="I167">
    <cfRule type="cellIs" dxfId="4175" priority="96" operator="lessThan">
      <formula>0.1</formula>
    </cfRule>
  </conditionalFormatting>
  <conditionalFormatting sqref="J14:J27">
    <cfRule type="cellIs" dxfId="4174" priority="422" operator="greaterThan">
      <formula>0</formula>
    </cfRule>
  </conditionalFormatting>
  <conditionalFormatting sqref="J31:J32 J34:J44">
    <cfRule type="cellIs" dxfId="4173" priority="395" operator="greaterThan">
      <formula>0</formula>
    </cfRule>
  </conditionalFormatting>
  <conditionalFormatting sqref="J48:J49 J51:J61">
    <cfRule type="cellIs" dxfId="4172" priority="369" operator="greaterThan">
      <formula>0</formula>
    </cfRule>
  </conditionalFormatting>
  <conditionalFormatting sqref="J65:J66 J68:J78">
    <cfRule type="cellIs" dxfId="4171" priority="343" operator="greaterThan">
      <formula>0</formula>
    </cfRule>
  </conditionalFormatting>
  <conditionalFormatting sqref="J82:J83 J85:J95">
    <cfRule type="cellIs" dxfId="4170" priority="317" operator="greaterThan">
      <formula>0</formula>
    </cfRule>
  </conditionalFormatting>
  <conditionalFormatting sqref="J99:J100 J102:J112">
    <cfRule type="cellIs" dxfId="4169" priority="291" operator="greaterThan">
      <formula>0</formula>
    </cfRule>
  </conditionalFormatting>
  <conditionalFormatting sqref="J116:J117 J133:J134 J150:J151 J167:J168 J119:J129 J136:J146 J153:J163 J170:J180">
    <cfRule type="cellIs" dxfId="4168" priority="226" operator="greaterThan">
      <formula>0</formula>
    </cfRule>
  </conditionalFormatting>
  <conditionalFormatting sqref="J183:J197">
    <cfRule type="expression" dxfId="4167" priority="221">
      <formula>C183&gt;0</formula>
    </cfRule>
  </conditionalFormatting>
  <conditionalFormatting sqref="J199">
    <cfRule type="expression" dxfId="4166" priority="682">
      <formula>#REF!="EURO"</formula>
    </cfRule>
  </conditionalFormatting>
  <conditionalFormatting sqref="K14:K27">
    <cfRule type="cellIs" dxfId="4165" priority="436" operator="greaterThan">
      <formula>0</formula>
    </cfRule>
  </conditionalFormatting>
  <conditionalFormatting sqref="K31:K32 K34:K44">
    <cfRule type="cellIs" dxfId="4164" priority="398" operator="greaterThan">
      <formula>0</formula>
    </cfRule>
  </conditionalFormatting>
  <conditionalFormatting sqref="K48:K49 K51:K61">
    <cfRule type="cellIs" dxfId="4163" priority="372" operator="greaterThan">
      <formula>0</formula>
    </cfRule>
  </conditionalFormatting>
  <conditionalFormatting sqref="K65:K66 K68:K78">
    <cfRule type="cellIs" dxfId="4162" priority="346" operator="greaterThan">
      <formula>0</formula>
    </cfRule>
  </conditionalFormatting>
  <conditionalFormatting sqref="K82:K83 K85:K95">
    <cfRule type="cellIs" dxfId="4161" priority="320" operator="greaterThan">
      <formula>0</formula>
    </cfRule>
  </conditionalFormatting>
  <conditionalFormatting sqref="K99:K100 K102:K112">
    <cfRule type="cellIs" dxfId="4160" priority="294" operator="greaterThan">
      <formula>0</formula>
    </cfRule>
  </conditionalFormatting>
  <conditionalFormatting sqref="K116:K117 K133:K134 K150:K151 K167:K168 K119:K129 K136:K146 K153:K163 K170:K180">
    <cfRule type="cellIs" dxfId="4159" priority="229" operator="greaterThan">
      <formula>0</formula>
    </cfRule>
  </conditionalFormatting>
  <conditionalFormatting sqref="K183:K197">
    <cfRule type="cellIs" dxfId="4158" priority="222" operator="greaterThan">
      <formula>0</formula>
    </cfRule>
  </conditionalFormatting>
  <conditionalFormatting sqref="K199">
    <cfRule type="expression" dxfId="4157" priority="678">
      <formula>$B$9="PLN"</formula>
    </cfRule>
    <cfRule type="expression" dxfId="4156" priority="679">
      <formula>$B$9="CZK"</formula>
    </cfRule>
    <cfRule type="expression" dxfId="4155" priority="680">
      <formula>$B$9="USD"</formula>
    </cfRule>
    <cfRule type="expression" dxfId="4154" priority="681">
      <formula>$B$9="EURO"</formula>
    </cfRule>
  </conditionalFormatting>
  <conditionalFormatting sqref="L14:L27">
    <cfRule type="expression" dxfId="4153" priority="433">
      <formula>$C$9&lt;0</formula>
    </cfRule>
    <cfRule type="expression" dxfId="4152" priority="434">
      <formula>$C$9&gt;0</formula>
    </cfRule>
  </conditionalFormatting>
  <conditionalFormatting sqref="L31:L44">
    <cfRule type="expression" dxfId="4151" priority="396">
      <formula>$C$9&lt;0</formula>
    </cfRule>
    <cfRule type="expression" dxfId="4150" priority="397">
      <formula>$C$9&gt;0</formula>
    </cfRule>
  </conditionalFormatting>
  <conditionalFormatting sqref="L48:L61">
    <cfRule type="expression" dxfId="4149" priority="370">
      <formula>$C$9&lt;0</formula>
    </cfRule>
    <cfRule type="expression" dxfId="4148" priority="371">
      <formula>$C$9&gt;0</formula>
    </cfRule>
  </conditionalFormatting>
  <conditionalFormatting sqref="L65:L78">
    <cfRule type="expression" dxfId="4147" priority="344">
      <formula>$C$9&lt;0</formula>
    </cfRule>
    <cfRule type="expression" dxfId="4146" priority="345">
      <formula>$C$9&gt;0</formula>
    </cfRule>
  </conditionalFormatting>
  <conditionalFormatting sqref="L82:L95">
    <cfRule type="expression" dxfId="4145" priority="318">
      <formula>$C$9&lt;0</formula>
    </cfRule>
    <cfRule type="expression" dxfId="4144" priority="319">
      <formula>$C$9&gt;0</formula>
    </cfRule>
  </conditionalFormatting>
  <conditionalFormatting sqref="L99:L112">
    <cfRule type="expression" dxfId="4143" priority="292">
      <formula>$C$9&lt;0</formula>
    </cfRule>
    <cfRule type="expression" dxfId="4142" priority="293">
      <formula>$C$9&gt;0</formula>
    </cfRule>
  </conditionalFormatting>
  <conditionalFormatting sqref="L116:L129 L133:L146 L150:L163 L167:L180">
    <cfRule type="expression" dxfId="4141" priority="227">
      <formula>$C$9&lt;0</formula>
    </cfRule>
    <cfRule type="expression" dxfId="4140" priority="228">
      <formula>$C$9&gt;0</formula>
    </cfRule>
  </conditionalFormatting>
  <conditionalFormatting sqref="L183:L197">
    <cfRule type="expression" dxfId="4139" priority="668">
      <formula>$C$9&lt;0</formula>
    </cfRule>
    <cfRule type="expression" dxfId="4138" priority="669">
      <formula>$C$9&gt;0</formula>
    </cfRule>
  </conditionalFormatting>
  <conditionalFormatting sqref="N9 N12">
    <cfRule type="expression" dxfId="4137" priority="712">
      <formula>$B$9="PLN"</formula>
    </cfRule>
    <cfRule type="expression" dxfId="4136" priority="713">
      <formula>$B$9="CZK"</formula>
    </cfRule>
    <cfRule type="expression" dxfId="4135" priority="714">
      <formula>$B$9="USD"</formula>
    </cfRule>
    <cfRule type="expression" dxfId="4134" priority="715">
      <formula>$B$9="EURO"</formula>
    </cfRule>
  </conditionalFormatting>
  <conditionalFormatting sqref="N14:N27">
    <cfRule type="cellIs" dxfId="4133" priority="652" operator="greaterThan">
      <formula>0</formula>
    </cfRule>
    <cfRule type="expression" dxfId="4132" priority="653">
      <formula>$B$9="EURO"</formula>
    </cfRule>
    <cfRule type="expression" dxfId="4131" priority="654">
      <formula>$B$9="USD"</formula>
    </cfRule>
    <cfRule type="expression" dxfId="4130" priority="655">
      <formula>$B$9="PLN"</formula>
    </cfRule>
    <cfRule type="expression" dxfId="4129" priority="656">
      <formula>$B$9="CZK"</formula>
    </cfRule>
  </conditionalFormatting>
  <conditionalFormatting sqref="N29">
    <cfRule type="expression" dxfId="4128" priority="633">
      <formula>$B$9="PLN"</formula>
    </cfRule>
    <cfRule type="expression" dxfId="4127" priority="634">
      <formula>$B$9="CZK"</formula>
    </cfRule>
    <cfRule type="expression" dxfId="4126" priority="635">
      <formula>$B$9="USD"</formula>
    </cfRule>
    <cfRule type="expression" dxfId="4125" priority="636">
      <formula>$B$9="EURO"</formula>
    </cfRule>
  </conditionalFormatting>
  <conditionalFormatting sqref="N31:N44">
    <cfRule type="cellIs" dxfId="4124" priority="401" operator="greaterThan">
      <formula>0</formula>
    </cfRule>
    <cfRule type="expression" dxfId="4123" priority="402">
      <formula>$B$9="EURO"</formula>
    </cfRule>
    <cfRule type="expression" dxfId="4122" priority="403">
      <formula>$B$9="USD"</formula>
    </cfRule>
    <cfRule type="expression" dxfId="4121" priority="404">
      <formula>$B$9="PLN"</formula>
    </cfRule>
    <cfRule type="expression" dxfId="4120" priority="405">
      <formula>$B$9="CZK"</formula>
    </cfRule>
  </conditionalFormatting>
  <conditionalFormatting sqref="N46">
    <cfRule type="expression" dxfId="4119" priority="601">
      <formula>$B$9="PLN"</formula>
    </cfRule>
    <cfRule type="expression" dxfId="4118" priority="602">
      <formula>$B$9="CZK"</formula>
    </cfRule>
    <cfRule type="expression" dxfId="4117" priority="603">
      <formula>$B$9="USD"</formula>
    </cfRule>
    <cfRule type="expression" dxfId="4116" priority="604">
      <formula>$B$9="EURO"</formula>
    </cfRule>
  </conditionalFormatting>
  <conditionalFormatting sqref="N48:N61">
    <cfRule type="cellIs" dxfId="4115" priority="375" operator="greaterThan">
      <formula>0</formula>
    </cfRule>
    <cfRule type="expression" dxfId="4114" priority="376">
      <formula>$B$9="EURO"</formula>
    </cfRule>
    <cfRule type="expression" dxfId="4113" priority="377">
      <formula>$B$9="USD"</formula>
    </cfRule>
    <cfRule type="expression" dxfId="4112" priority="378">
      <formula>$B$9="PLN"</formula>
    </cfRule>
    <cfRule type="expression" dxfId="4111" priority="379">
      <formula>$B$9="CZK"</formula>
    </cfRule>
  </conditionalFormatting>
  <conditionalFormatting sqref="N63">
    <cfRule type="expression" dxfId="4110" priority="571">
      <formula>$B$9="PLN"</formula>
    </cfRule>
    <cfRule type="expression" dxfId="4109" priority="572">
      <formula>$B$9="CZK"</formula>
    </cfRule>
    <cfRule type="expression" dxfId="4108" priority="573">
      <formula>$B$9="USD"</formula>
    </cfRule>
    <cfRule type="expression" dxfId="4107" priority="574">
      <formula>$B$9="EURO"</formula>
    </cfRule>
  </conditionalFormatting>
  <conditionalFormatting sqref="N65:N78">
    <cfRule type="cellIs" dxfId="4106" priority="349" operator="greaterThan">
      <formula>0</formula>
    </cfRule>
    <cfRule type="expression" dxfId="4105" priority="350">
      <formula>$B$9="EURO"</formula>
    </cfRule>
    <cfRule type="expression" dxfId="4104" priority="351">
      <formula>$B$9="USD"</formula>
    </cfRule>
    <cfRule type="expression" dxfId="4103" priority="352">
      <formula>$B$9="PLN"</formula>
    </cfRule>
    <cfRule type="expression" dxfId="4102" priority="353">
      <formula>$B$9="CZK"</formula>
    </cfRule>
  </conditionalFormatting>
  <conditionalFormatting sqref="N80">
    <cfRule type="expression" dxfId="4101" priority="540">
      <formula>$B$9="PLN"</formula>
    </cfRule>
    <cfRule type="expression" dxfId="4100" priority="541">
      <formula>$B$9="CZK"</formula>
    </cfRule>
    <cfRule type="expression" dxfId="4099" priority="542">
      <formula>$B$9="USD"</formula>
    </cfRule>
    <cfRule type="expression" dxfId="4098" priority="543">
      <formula>$B$9="EURO"</formula>
    </cfRule>
  </conditionalFormatting>
  <conditionalFormatting sqref="N82:N95">
    <cfRule type="cellIs" dxfId="4097" priority="323" operator="greaterThan">
      <formula>0</formula>
    </cfRule>
    <cfRule type="expression" dxfId="4096" priority="324">
      <formula>$B$9="EURO"</formula>
    </cfRule>
    <cfRule type="expression" dxfId="4095" priority="325">
      <formula>$B$9="USD"</formula>
    </cfRule>
    <cfRule type="expression" dxfId="4094" priority="326">
      <formula>$B$9="PLN"</formula>
    </cfRule>
    <cfRule type="expression" dxfId="4093" priority="327">
      <formula>$B$9="CZK"</formula>
    </cfRule>
  </conditionalFormatting>
  <conditionalFormatting sqref="N97">
    <cfRule type="expression" dxfId="4092" priority="508">
      <formula>$B$9="PLN"</formula>
    </cfRule>
    <cfRule type="expression" dxfId="4091" priority="509">
      <formula>$B$9="CZK"</formula>
    </cfRule>
    <cfRule type="expression" dxfId="4090" priority="510">
      <formula>$B$9="USD"</formula>
    </cfRule>
    <cfRule type="expression" dxfId="4089" priority="511">
      <formula>$B$9="EURO"</formula>
    </cfRule>
  </conditionalFormatting>
  <conditionalFormatting sqref="N99:N112">
    <cfRule type="cellIs" dxfId="4088" priority="297" operator="greaterThan">
      <formula>0</formula>
    </cfRule>
    <cfRule type="expression" dxfId="4087" priority="298">
      <formula>$B$9="EURO"</formula>
    </cfRule>
    <cfRule type="expression" dxfId="4086" priority="299">
      <formula>$B$9="USD"</formula>
    </cfRule>
    <cfRule type="expression" dxfId="4085" priority="300">
      <formula>$B$9="PLN"</formula>
    </cfRule>
    <cfRule type="expression" dxfId="4084" priority="301">
      <formula>$B$9="CZK"</formula>
    </cfRule>
  </conditionalFormatting>
  <conditionalFormatting sqref="N114">
    <cfRule type="expression" dxfId="4083" priority="284">
      <formula>$B$9="PLN"</formula>
    </cfRule>
    <cfRule type="expression" dxfId="4082" priority="285">
      <formula>$B$9="CZK"</formula>
    </cfRule>
    <cfRule type="expression" dxfId="4081" priority="286">
      <formula>$B$9="USD"</formula>
    </cfRule>
    <cfRule type="expression" dxfId="4080" priority="287">
      <formula>$B$9="EURO"</formula>
    </cfRule>
  </conditionalFormatting>
  <conditionalFormatting sqref="N116:N129 N133:N146 N150:N163 N167:N180">
    <cfRule type="cellIs" dxfId="4079" priority="232" operator="greaterThan">
      <formula>0</formula>
    </cfRule>
    <cfRule type="expression" dxfId="4078" priority="233">
      <formula>$B$9="EURO"</formula>
    </cfRule>
    <cfRule type="expression" dxfId="4077" priority="234">
      <formula>$B$9="USD"</formula>
    </cfRule>
    <cfRule type="expression" dxfId="4076" priority="235">
      <formula>$B$9="PLN"</formula>
    </cfRule>
    <cfRule type="expression" dxfId="4075" priority="236">
      <formula>$B$9="CZK"</formula>
    </cfRule>
  </conditionalFormatting>
  <conditionalFormatting sqref="N131">
    <cfRule type="expression" dxfId="4074" priority="215">
      <formula>$B$9="PLN"</formula>
    </cfRule>
    <cfRule type="expression" dxfId="4073" priority="216">
      <formula>$B$9="CZK"</formula>
    </cfRule>
    <cfRule type="expression" dxfId="4072" priority="217">
      <formula>$B$9="USD"</formula>
    </cfRule>
    <cfRule type="expression" dxfId="4071" priority="218">
      <formula>$B$9="EURO"</formula>
    </cfRule>
  </conditionalFormatting>
  <conditionalFormatting sqref="N148">
    <cfRule type="expression" dxfId="4070" priority="160">
      <formula>$B$9="PLN"</formula>
    </cfRule>
    <cfRule type="expression" dxfId="4069" priority="161">
      <formula>$B$9="CZK"</formula>
    </cfRule>
    <cfRule type="expression" dxfId="4068" priority="162">
      <formula>$B$9="USD"</formula>
    </cfRule>
    <cfRule type="expression" dxfId="4067" priority="163">
      <formula>$B$9="EURO"</formula>
    </cfRule>
  </conditionalFormatting>
  <conditionalFormatting sqref="N165">
    <cfRule type="expression" dxfId="4066" priority="105">
      <formula>$B$9="PLN"</formula>
    </cfRule>
    <cfRule type="expression" dxfId="4065" priority="106">
      <formula>$B$9="CZK"</formula>
    </cfRule>
    <cfRule type="expression" dxfId="4064" priority="107">
      <formula>$B$9="USD"</formula>
    </cfRule>
    <cfRule type="expression" dxfId="4063" priority="108">
      <formula>$B$9="EURO"</formula>
    </cfRule>
  </conditionalFormatting>
  <conditionalFormatting sqref="N183:N197">
    <cfRule type="cellIs" dxfId="4062" priority="660" operator="greaterThan">
      <formula>0</formula>
    </cfRule>
    <cfRule type="expression" dxfId="4061" priority="661">
      <formula>$B$9="EURO"</formula>
    </cfRule>
    <cfRule type="expression" dxfId="4060" priority="662">
      <formula>$B$9="USD"</formula>
    </cfRule>
    <cfRule type="expression" dxfId="4059" priority="663">
      <formula>$B$9="PLN"</formula>
    </cfRule>
    <cfRule type="expression" dxfId="4058" priority="664">
      <formula>$B$9="CZK"</formula>
    </cfRule>
  </conditionalFormatting>
  <conditionalFormatting sqref="N182:O182">
    <cfRule type="expression" dxfId="4057" priority="670">
      <formula>$B$9="PLN"</formula>
    </cfRule>
    <cfRule type="expression" dxfId="4056" priority="671">
      <formula>$B$9="CZK"</formula>
    </cfRule>
    <cfRule type="expression" dxfId="4055" priority="672">
      <formula>$B$9="USD"</formula>
    </cfRule>
    <cfRule type="expression" dxfId="4054" priority="673">
      <formula>$B$9="EURO"</formula>
    </cfRule>
  </conditionalFormatting>
  <conditionalFormatting sqref="O14:O27">
    <cfRule type="cellIs" dxfId="4053" priority="657" operator="greaterThan">
      <formula>0</formula>
    </cfRule>
  </conditionalFormatting>
  <conditionalFormatting sqref="O31:O44">
    <cfRule type="cellIs" dxfId="4052" priority="406" operator="greaterThan">
      <formula>0</formula>
    </cfRule>
  </conditionalFormatting>
  <conditionalFormatting sqref="O48:O61">
    <cfRule type="cellIs" dxfId="4051" priority="380" operator="greaterThan">
      <formula>0</formula>
    </cfRule>
  </conditionalFormatting>
  <conditionalFormatting sqref="O65:O78">
    <cfRule type="cellIs" dxfId="4050" priority="354" operator="greaterThan">
      <formula>0</formula>
    </cfRule>
  </conditionalFormatting>
  <conditionalFormatting sqref="O82:O95">
    <cfRule type="cellIs" dxfId="4049" priority="328" operator="greaterThan">
      <formula>0</formula>
    </cfRule>
  </conditionalFormatting>
  <conditionalFormatting sqref="O99:O112">
    <cfRule type="cellIs" dxfId="4048" priority="302" operator="greaterThan">
      <formula>0</formula>
    </cfRule>
  </conditionalFormatting>
  <conditionalFormatting sqref="O116:O129 O133:O146 O150:O163 O167:O180">
    <cfRule type="cellIs" dxfId="4047" priority="237" operator="greaterThan">
      <formula>0</formula>
    </cfRule>
  </conditionalFormatting>
  <conditionalFormatting sqref="O183:O197">
    <cfRule type="cellIs" dxfId="4046" priority="683" operator="greaterThan">
      <formula>0</formula>
    </cfRule>
  </conditionalFormatting>
  <conditionalFormatting sqref="Q16">
    <cfRule type="cellIs" dxfId="4045" priority="423" operator="greaterThan">
      <formula>0</formula>
    </cfRule>
    <cfRule type="expression" dxfId="4044" priority="424">
      <formula>$B$9="EURO"</formula>
    </cfRule>
    <cfRule type="expression" dxfId="4043" priority="425">
      <formula>$B$9="USD"</formula>
    </cfRule>
    <cfRule type="expression" dxfId="4042" priority="426">
      <formula>$B$9="PLN"</formula>
    </cfRule>
    <cfRule type="expression" dxfId="4041" priority="427">
      <formula>$B$9="CZK"</formula>
    </cfRule>
  </conditionalFormatting>
  <conditionalFormatting sqref="B33">
    <cfRule type="expression" dxfId="4040" priority="52">
      <formula>$J33&gt;0</formula>
    </cfRule>
  </conditionalFormatting>
  <conditionalFormatting sqref="D33">
    <cfRule type="expression" dxfId="4038" priority="53">
      <formula>($C33="SELECT WORKS")</formula>
    </cfRule>
  </conditionalFormatting>
  <conditionalFormatting sqref="E33">
    <cfRule type="expression" dxfId="4037" priority="49">
      <formula>$C33="SELECT WORKS"</formula>
    </cfRule>
  </conditionalFormatting>
  <conditionalFormatting sqref="J33">
    <cfRule type="cellIs" dxfId="4036" priority="50" operator="greaterThan">
      <formula>0</formula>
    </cfRule>
  </conditionalFormatting>
  <conditionalFormatting sqref="K33">
    <cfRule type="cellIs" dxfId="4035" priority="51" operator="greaterThan">
      <formula>0</formula>
    </cfRule>
  </conditionalFormatting>
  <conditionalFormatting sqref="B50">
    <cfRule type="expression" dxfId="4034" priority="46">
      <formula>$J50&gt;0</formula>
    </cfRule>
  </conditionalFormatting>
  <conditionalFormatting sqref="D50">
    <cfRule type="expression" dxfId="4032" priority="47">
      <formula>($C50="SELECT WORKS")</formula>
    </cfRule>
  </conditionalFormatting>
  <conditionalFormatting sqref="E50">
    <cfRule type="expression" dxfId="4031" priority="43">
      <formula>$C50="SELECT WORKS"</formula>
    </cfRule>
  </conditionalFormatting>
  <conditionalFormatting sqref="J50">
    <cfRule type="cellIs" dxfId="4030" priority="44" operator="greaterThan">
      <formula>0</formula>
    </cfRule>
  </conditionalFormatting>
  <conditionalFormatting sqref="K50">
    <cfRule type="cellIs" dxfId="4029" priority="45" operator="greaterThan">
      <formula>0</formula>
    </cfRule>
  </conditionalFormatting>
  <conditionalFormatting sqref="B67">
    <cfRule type="expression" dxfId="4028" priority="40">
      <formula>$J67&gt;0</formula>
    </cfRule>
  </conditionalFormatting>
  <conditionalFormatting sqref="D67">
    <cfRule type="expression" dxfId="4026" priority="41">
      <formula>($C67="SELECT WORKS")</formula>
    </cfRule>
  </conditionalFormatting>
  <conditionalFormatting sqref="E67">
    <cfRule type="expression" dxfId="4025" priority="37">
      <formula>$C67="SELECT WORKS"</formula>
    </cfRule>
  </conditionalFormatting>
  <conditionalFormatting sqref="J67">
    <cfRule type="cellIs" dxfId="4024" priority="38" operator="greaterThan">
      <formula>0</formula>
    </cfRule>
  </conditionalFormatting>
  <conditionalFormatting sqref="K67">
    <cfRule type="cellIs" dxfId="4023" priority="39" operator="greaterThan">
      <formula>0</formula>
    </cfRule>
  </conditionalFormatting>
  <conditionalFormatting sqref="B84">
    <cfRule type="expression" dxfId="4022" priority="34">
      <formula>$J84&gt;0</formula>
    </cfRule>
  </conditionalFormatting>
  <conditionalFormatting sqref="D84">
    <cfRule type="expression" dxfId="4020" priority="35">
      <formula>($C84="SELECT WORKS")</formula>
    </cfRule>
  </conditionalFormatting>
  <conditionalFormatting sqref="E84">
    <cfRule type="expression" dxfId="4019" priority="31">
      <formula>$C84="SELECT WORKS"</formula>
    </cfRule>
  </conditionalFormatting>
  <conditionalFormatting sqref="J84">
    <cfRule type="cellIs" dxfId="4018" priority="32" operator="greaterThan">
      <formula>0</formula>
    </cfRule>
  </conditionalFormatting>
  <conditionalFormatting sqref="K84">
    <cfRule type="cellIs" dxfId="4017" priority="33" operator="greaterThan">
      <formula>0</formula>
    </cfRule>
  </conditionalFormatting>
  <conditionalFormatting sqref="B101">
    <cfRule type="expression" dxfId="4016" priority="28">
      <formula>$J101&gt;0</formula>
    </cfRule>
  </conditionalFormatting>
  <conditionalFormatting sqref="D101">
    <cfRule type="expression" dxfId="4014" priority="29">
      <formula>($C101="SELECT WORKS")</formula>
    </cfRule>
  </conditionalFormatting>
  <conditionalFormatting sqref="E101">
    <cfRule type="expression" dxfId="4013" priority="25">
      <formula>$C101="SELECT WORKS"</formula>
    </cfRule>
  </conditionalFormatting>
  <conditionalFormatting sqref="J101">
    <cfRule type="cellIs" dxfId="4012" priority="26" operator="greaterThan">
      <formula>0</formula>
    </cfRule>
  </conditionalFormatting>
  <conditionalFormatting sqref="K101">
    <cfRule type="cellIs" dxfId="4011" priority="27" operator="greaterThan">
      <formula>0</formula>
    </cfRule>
  </conditionalFormatting>
  <conditionalFormatting sqref="B118">
    <cfRule type="expression" dxfId="4010" priority="22">
      <formula>$J118&gt;0</formula>
    </cfRule>
  </conditionalFormatting>
  <conditionalFormatting sqref="D118">
    <cfRule type="expression" dxfId="4008" priority="23">
      <formula>($C118="SELECT WORKS")</formula>
    </cfRule>
  </conditionalFormatting>
  <conditionalFormatting sqref="E118">
    <cfRule type="expression" dxfId="4007" priority="19">
      <formula>$C118="SELECT WORKS"</formula>
    </cfRule>
  </conditionalFormatting>
  <conditionalFormatting sqref="J118">
    <cfRule type="cellIs" dxfId="4006" priority="20" operator="greaterThan">
      <formula>0</formula>
    </cfRule>
  </conditionalFormatting>
  <conditionalFormatting sqref="K118">
    <cfRule type="cellIs" dxfId="4005" priority="21" operator="greaterThan">
      <formula>0</formula>
    </cfRule>
  </conditionalFormatting>
  <conditionalFormatting sqref="B135">
    <cfRule type="expression" dxfId="4004" priority="16">
      <formula>$J135&gt;0</formula>
    </cfRule>
  </conditionalFormatting>
  <conditionalFormatting sqref="D135">
    <cfRule type="expression" dxfId="4002" priority="17">
      <formula>($C135="SELECT WORKS")</formula>
    </cfRule>
  </conditionalFormatting>
  <conditionalFormatting sqref="E135">
    <cfRule type="expression" dxfId="4001" priority="13">
      <formula>$C135="SELECT WORKS"</formula>
    </cfRule>
  </conditionalFormatting>
  <conditionalFormatting sqref="J135">
    <cfRule type="cellIs" dxfId="4000" priority="14" operator="greaterThan">
      <formula>0</formula>
    </cfRule>
  </conditionalFormatting>
  <conditionalFormatting sqref="K135">
    <cfRule type="cellIs" dxfId="3999" priority="15" operator="greaterThan">
      <formula>0</formula>
    </cfRule>
  </conditionalFormatting>
  <conditionalFormatting sqref="B152">
    <cfRule type="expression" dxfId="3998" priority="10">
      <formula>$J152&gt;0</formula>
    </cfRule>
  </conditionalFormatting>
  <conditionalFormatting sqref="D152">
    <cfRule type="expression" dxfId="3996" priority="11">
      <formula>($C152="SELECT WORKS")</formula>
    </cfRule>
  </conditionalFormatting>
  <conditionalFormatting sqref="E152">
    <cfRule type="expression" dxfId="3995" priority="7">
      <formula>$C152="SELECT WORKS"</formula>
    </cfRule>
  </conditionalFormatting>
  <conditionalFormatting sqref="J152">
    <cfRule type="cellIs" dxfId="3994" priority="8" operator="greaterThan">
      <formula>0</formula>
    </cfRule>
  </conditionalFormatting>
  <conditionalFormatting sqref="K152">
    <cfRule type="cellIs" dxfId="3993" priority="9" operator="greaterThan">
      <formula>0</formula>
    </cfRule>
  </conditionalFormatting>
  <conditionalFormatting sqref="B169">
    <cfRule type="expression" dxfId="3992" priority="4">
      <formula>$J169&gt;0</formula>
    </cfRule>
  </conditionalFormatting>
  <conditionalFormatting sqref="D169">
    <cfRule type="expression" dxfId="3990" priority="5">
      <formula>($C169="SELECT WORKS")</formula>
    </cfRule>
  </conditionalFormatting>
  <conditionalFormatting sqref="E169">
    <cfRule type="expression" dxfId="3989" priority="1">
      <formula>$C169="SELECT WORKS"</formula>
    </cfRule>
  </conditionalFormatting>
  <conditionalFormatting sqref="J169">
    <cfRule type="cellIs" dxfId="3988" priority="2" operator="greaterThan">
      <formula>0</formula>
    </cfRule>
  </conditionalFormatting>
  <conditionalFormatting sqref="K169">
    <cfRule type="cellIs" dxfId="3987" priority="3" operator="greaterThan">
      <formula>0</formula>
    </cfRule>
  </conditionalFormatting>
  <dataValidations count="7">
    <dataValidation type="list" allowBlank="1" showInputMessage="1" showErrorMessage="1" sqref="C27 C78 C95 C44 C61 C112 C129 C146 C163 C180" xr:uid="{6D169634-44A2-8A4E-8E46-CC33BA13E8B1}">
      <formula1>"0,0.5,1,1.5,2,2.5,3,3.5,4,4.5,5"</formula1>
    </dataValidation>
    <dataValidation type="list" allowBlank="1" showInputMessage="1" showErrorMessage="1" errorTitle="Minimum number of sections " error="Must be greater than zero" sqref="H14 H65 H48 H31 H82 H99 H116 H133 H150 H167" xr:uid="{B39EC048-89E6-EA46-AE0C-A0D979BBC80D}">
      <formula1>"1,2,3,4,5,6,7,8,9,10"</formula1>
    </dataValidation>
    <dataValidation type="list" allowBlank="1" showInputMessage="1" showErrorMessage="1" sqref="C71:C72 C37:C38 C88:C89 C20:C21 C122:C123 C105:C106 C54:C55 C156:C157 C173:C174 C139:C140" xr:uid="{5E88837F-43DE-904B-A560-2A4EDDE844DA}">
      <formula1>"0,1,2,3,4,5,6,7,8,9,10,11,12,13,14,15,16,17,18,19,20"</formula1>
    </dataValidation>
    <dataValidation operator="greaterThan" allowBlank="1" showInputMessage="1" showErrorMessage="1" sqref="E14 E65 E48 E31 E82 E99 E116 E133 E150 E167" xr:uid="{B9AA008A-3F7F-8D47-ACB8-8D87813C86AB}"/>
    <dataValidation type="list" allowBlank="1" showInputMessage="1" showErrorMessage="1" sqref="C99 C31 C82 C65 C48 C14 C116 C133 C150 C167" xr:uid="{AEEF7CDD-0D4F-5E4B-B3CA-6BB49637EDF1}">
      <formula1>"WALL, ISLAND"</formula1>
    </dataValidation>
    <dataValidation type="list" allowBlank="1" showInputMessage="1" showErrorMessage="1" sqref="G181" xr:uid="{E797F4E2-D296-CA4C-9938-3CE3D91C469B}">
      <formula1>#REF!</formula1>
    </dataValidation>
    <dataValidation type="list" allowBlank="1" showInputMessage="1" showErrorMessage="1" sqref="D26 D94 D77 D60 D43 D111 D128 D145 D162 D179" xr:uid="{16BE8D51-A6EA-3149-9064-0BC0827392AB}">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58" operator="containsText" id="{7FAB5E13-41D6-E949-B9E3-647E65D5644B}">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76" operator="containsText" id="{E37DC74F-5EA3-804D-A88A-857A17965E9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13" operator="containsText" id="{AD024D91-26DF-0545-9562-03D29C605E75}">
            <xm:f>NOT(ISERROR(SEARCH("SELECT WORKS",C34)))</xm:f>
            <xm:f>"SELECT WORKS"</xm:f>
            <x14:dxf>
              <font>
                <b/>
                <i val="0"/>
                <color rgb="FFC00000"/>
              </font>
              <fill>
                <patternFill>
                  <bgColor theme="0"/>
                </patternFill>
              </fill>
            </x14:dxf>
          </x14:cfRule>
          <xm:sqref>C34:C35</xm:sqref>
        </x14:conditionalFormatting>
        <x14:conditionalFormatting xmlns:xm="http://schemas.microsoft.com/office/excel/2006/main">
          <x14:cfRule type="containsText" priority="616" operator="containsText" id="{3ABD7519-DE82-EF4D-A4F8-647DB2CAF33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82" operator="containsText" id="{CB63D236-85E0-ED4C-80B9-5A0E6ED2639C}">
            <xm:f>NOT(ISERROR(SEARCH("SELECT WORKS",C51)))</xm:f>
            <xm:f>"SELECT WORKS"</xm:f>
            <x14:dxf>
              <font>
                <b/>
                <i val="0"/>
                <color rgb="FFC00000"/>
              </font>
              <fill>
                <patternFill>
                  <bgColor theme="0"/>
                </patternFill>
              </fill>
            </x14:dxf>
          </x14:cfRule>
          <xm:sqref>C51:C52</xm:sqref>
        </x14:conditionalFormatting>
        <x14:conditionalFormatting xmlns:xm="http://schemas.microsoft.com/office/excel/2006/main">
          <x14:cfRule type="containsText" priority="585" operator="containsText" id="{76121A07-04DB-A54C-85AA-510258967466}">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51" operator="containsText" id="{4610BA18-4B65-DB42-956E-E4543625E789}">
            <xm:f>NOT(ISERROR(SEARCH("SELECT WORKS",C68)))</xm:f>
            <xm:f>"SELECT WORKS"</xm:f>
            <x14:dxf>
              <font>
                <b/>
                <i val="0"/>
                <color rgb="FFC00000"/>
              </font>
              <fill>
                <patternFill>
                  <bgColor theme="0"/>
                </patternFill>
              </fill>
            </x14:dxf>
          </x14:cfRule>
          <xm:sqref>C68:C69</xm:sqref>
        </x14:conditionalFormatting>
        <x14:conditionalFormatting xmlns:xm="http://schemas.microsoft.com/office/excel/2006/main">
          <x14:cfRule type="containsText" priority="555" operator="containsText" id="{5B28645A-24A4-6143-9406-E6B7A0A92218}">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19" operator="containsText" id="{E5C2FC0D-3B48-8C45-B74B-F2FA9812F8F6}">
            <xm:f>NOT(ISERROR(SEARCH("SELECT WORKS",C85)))</xm:f>
            <xm:f>"SELECT WORKS"</xm:f>
            <x14:dxf>
              <font>
                <b/>
                <i val="0"/>
                <color rgb="FFC00000"/>
              </font>
              <fill>
                <patternFill>
                  <bgColor theme="0"/>
                </patternFill>
              </fill>
            </x14:dxf>
          </x14:cfRule>
          <xm:sqref>C85:C86</xm:sqref>
        </x14:conditionalFormatting>
        <x14:conditionalFormatting xmlns:xm="http://schemas.microsoft.com/office/excel/2006/main">
          <x14:cfRule type="containsText" priority="523" operator="containsText" id="{942E91D0-14DB-BA45-AB39-EF9B8EA0139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88" operator="containsText" id="{4FE85F8D-13EE-464D-BAD5-EA2FCE969298}">
            <xm:f>NOT(ISERROR(SEARCH("SELECT WORKS",C102)))</xm:f>
            <xm:f>"SELECT WORKS"</xm:f>
            <x14:dxf>
              <font>
                <b/>
                <i val="0"/>
                <color rgb="FFC00000"/>
              </font>
              <fill>
                <patternFill>
                  <bgColor theme="0"/>
                </patternFill>
              </fill>
            </x14:dxf>
          </x14:cfRule>
          <xm:sqref>C102:C103</xm:sqref>
        </x14:conditionalFormatting>
        <x14:conditionalFormatting xmlns:xm="http://schemas.microsoft.com/office/excel/2006/main">
          <x14:cfRule type="containsText" priority="491" operator="containsText" id="{91390CEF-3C48-244E-A95F-C910B5BDFD8E}">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264" operator="containsText" id="{62A923E5-641E-A24A-B590-6B7409F98EC0}">
            <xm:f>NOT(ISERROR(SEARCH("SELECT WORKS",C119)))</xm:f>
            <xm:f>"SELECT WORKS"</xm:f>
            <x14:dxf>
              <font>
                <b/>
                <i val="0"/>
                <color rgb="FFC00000"/>
              </font>
              <fill>
                <patternFill>
                  <bgColor theme="0"/>
                </patternFill>
              </fill>
            </x14:dxf>
          </x14:cfRule>
          <xm:sqref>C119:C120</xm:sqref>
        </x14:conditionalFormatting>
        <x14:conditionalFormatting xmlns:xm="http://schemas.microsoft.com/office/excel/2006/main">
          <x14:cfRule type="containsText" priority="267" operator="containsText" id="{9FED7B24-6291-1E49-A6D6-F58F15A997F6}">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95" operator="containsText" id="{E4C02E62-2BF0-C04B-A4D7-84CCC14D666D}">
            <xm:f>NOT(ISERROR(SEARCH("SELECT WORKS",C136)))</xm:f>
            <xm:f>"SELECT WORKS"</xm:f>
            <x14:dxf>
              <font>
                <b/>
                <i val="0"/>
                <color rgb="FFC00000"/>
              </font>
              <fill>
                <patternFill>
                  <bgColor theme="0"/>
                </patternFill>
              </fill>
            </x14:dxf>
          </x14:cfRule>
          <xm:sqref>C136:C137</xm:sqref>
        </x14:conditionalFormatting>
        <x14:conditionalFormatting xmlns:xm="http://schemas.microsoft.com/office/excel/2006/main">
          <x14:cfRule type="containsText" priority="198" operator="containsText" id="{5FA99C43-9EAD-C244-A37B-1DC8E218D5FD}">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40" operator="containsText" id="{CBDEBAD0-D72A-0E4E-9EA1-A30399B4D39E}">
            <xm:f>NOT(ISERROR(SEARCH("SELECT WORKS",C153)))</xm:f>
            <xm:f>"SELECT WORKS"</xm:f>
            <x14:dxf>
              <font>
                <b/>
                <i val="0"/>
                <color rgb="FFC00000"/>
              </font>
              <fill>
                <patternFill>
                  <bgColor theme="0"/>
                </patternFill>
              </fill>
            </x14:dxf>
          </x14:cfRule>
          <xm:sqref>C153:C154</xm:sqref>
        </x14:conditionalFormatting>
        <x14:conditionalFormatting xmlns:xm="http://schemas.microsoft.com/office/excel/2006/main">
          <x14:cfRule type="containsText" priority="143" operator="containsText" id="{A46BE398-E933-CE41-810F-71BB5855DC5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85" operator="containsText" id="{B7F992BE-4E67-A84D-A944-549CEF121746}">
            <xm:f>NOT(ISERROR(SEARCH("SELECT WORKS",C170)))</xm:f>
            <xm:f>"SELECT WORKS"</xm:f>
            <x14:dxf>
              <font>
                <b/>
                <i val="0"/>
                <color rgb="FFC00000"/>
              </font>
              <fill>
                <patternFill>
                  <bgColor theme="0"/>
                </patternFill>
              </fill>
            </x14:dxf>
          </x14:cfRule>
          <xm:sqref>C170:C171</xm:sqref>
        </x14:conditionalFormatting>
        <x14:conditionalFormatting xmlns:xm="http://schemas.microsoft.com/office/excel/2006/main">
          <x14:cfRule type="containsText" priority="88" operator="containsText" id="{D7EAFB6F-3F7E-9D41-BFDA-942527EB40ED}">
            <xm:f>NOT(ISERROR(SEARCH("SELECT CLADDING",C172)))</xm:f>
            <xm:f>"SELECT CLADDING"</xm:f>
            <x14:dxf>
              <font>
                <b/>
                <i val="0"/>
                <color rgb="FFC00000"/>
              </font>
              <fill>
                <patternFill>
                  <bgColor theme="0"/>
                </patternFill>
              </fill>
            </x14:dxf>
          </x14:cfRule>
          <xm:sqref>C172</xm:sqref>
        </x14:conditionalFormatting>
        <x14:conditionalFormatting xmlns:xm="http://schemas.microsoft.com/office/excel/2006/main">
          <x14:cfRule type="containsText" priority="54" operator="containsText" id="{3588DC4A-C8C7-9D45-8DCB-64DFC1A881BE}">
            <xm:f>NOT(ISERROR(SEARCH("SELECT WORKS",C33)))</xm:f>
            <xm:f>"SELECT WORKS"</xm:f>
            <x14:dxf>
              <font>
                <b/>
                <i val="0"/>
                <color rgb="FFC00000"/>
              </font>
              <fill>
                <patternFill>
                  <bgColor theme="0"/>
                </patternFill>
              </fill>
            </x14:dxf>
          </x14:cfRule>
          <xm:sqref>C33</xm:sqref>
        </x14:conditionalFormatting>
        <x14:conditionalFormatting xmlns:xm="http://schemas.microsoft.com/office/excel/2006/main">
          <x14:cfRule type="containsText" priority="48" operator="containsText" id="{6E55262E-EE12-D34D-8AE5-A4290BF988E5}">
            <xm:f>NOT(ISERROR(SEARCH("SELECT WORKS",C50)))</xm:f>
            <xm:f>"SELECT WORKS"</xm:f>
            <x14:dxf>
              <font>
                <b/>
                <i val="0"/>
                <color rgb="FFC00000"/>
              </font>
              <fill>
                <patternFill>
                  <bgColor theme="0"/>
                </patternFill>
              </fill>
            </x14:dxf>
          </x14:cfRule>
          <xm:sqref>C50</xm:sqref>
        </x14:conditionalFormatting>
        <x14:conditionalFormatting xmlns:xm="http://schemas.microsoft.com/office/excel/2006/main">
          <x14:cfRule type="containsText" priority="42" operator="containsText" id="{B2B74E9D-FD56-624A-8BFB-D20C4344AFEE}">
            <xm:f>NOT(ISERROR(SEARCH("SELECT WORKS",C67)))</xm:f>
            <xm:f>"SELECT WORKS"</xm:f>
            <x14:dxf>
              <font>
                <b/>
                <i val="0"/>
                <color rgb="FFC00000"/>
              </font>
              <fill>
                <patternFill>
                  <bgColor theme="0"/>
                </patternFill>
              </fill>
            </x14:dxf>
          </x14:cfRule>
          <xm:sqref>C67</xm:sqref>
        </x14:conditionalFormatting>
        <x14:conditionalFormatting xmlns:xm="http://schemas.microsoft.com/office/excel/2006/main">
          <x14:cfRule type="containsText" priority="36" operator="containsText" id="{D725D218-5B06-534A-B669-008D78A11C01}">
            <xm:f>NOT(ISERROR(SEARCH("SELECT WORKS",C84)))</xm:f>
            <xm:f>"SELECT WORKS"</xm:f>
            <x14:dxf>
              <font>
                <b/>
                <i val="0"/>
                <color rgb="FFC00000"/>
              </font>
              <fill>
                <patternFill>
                  <bgColor theme="0"/>
                </patternFill>
              </fill>
            </x14:dxf>
          </x14:cfRule>
          <xm:sqref>C84</xm:sqref>
        </x14:conditionalFormatting>
        <x14:conditionalFormatting xmlns:xm="http://schemas.microsoft.com/office/excel/2006/main">
          <x14:cfRule type="containsText" priority="30" operator="containsText" id="{6279B891-707D-4A41-BC4C-9A76743AA38B}">
            <xm:f>NOT(ISERROR(SEARCH("SELECT WORKS",C101)))</xm:f>
            <xm:f>"SELECT WORKS"</xm:f>
            <x14:dxf>
              <font>
                <b/>
                <i val="0"/>
                <color rgb="FFC00000"/>
              </font>
              <fill>
                <patternFill>
                  <bgColor theme="0"/>
                </patternFill>
              </fill>
            </x14:dxf>
          </x14:cfRule>
          <xm:sqref>C101</xm:sqref>
        </x14:conditionalFormatting>
        <x14:conditionalFormatting xmlns:xm="http://schemas.microsoft.com/office/excel/2006/main">
          <x14:cfRule type="containsText" priority="24" operator="containsText" id="{EFAABC9B-5D9F-7145-B1F8-9EC23ABE37F1}">
            <xm:f>NOT(ISERROR(SEARCH("SELECT WORKS",C118)))</xm:f>
            <xm:f>"SELECT WORKS"</xm:f>
            <x14:dxf>
              <font>
                <b/>
                <i val="0"/>
                <color rgb="FFC00000"/>
              </font>
              <fill>
                <patternFill>
                  <bgColor theme="0"/>
                </patternFill>
              </fill>
            </x14:dxf>
          </x14:cfRule>
          <xm:sqref>C118</xm:sqref>
        </x14:conditionalFormatting>
        <x14:conditionalFormatting xmlns:xm="http://schemas.microsoft.com/office/excel/2006/main">
          <x14:cfRule type="containsText" priority="18" operator="containsText" id="{995483C2-E606-F745-8FA3-7B9AD549EDFF}">
            <xm:f>NOT(ISERROR(SEARCH("SELECT WORKS",C135)))</xm:f>
            <xm:f>"SELECT WORKS"</xm:f>
            <x14:dxf>
              <font>
                <b/>
                <i val="0"/>
                <color rgb="FFC00000"/>
              </font>
              <fill>
                <patternFill>
                  <bgColor theme="0"/>
                </patternFill>
              </fill>
            </x14:dxf>
          </x14:cfRule>
          <xm:sqref>C135</xm:sqref>
        </x14:conditionalFormatting>
        <x14:conditionalFormatting xmlns:xm="http://schemas.microsoft.com/office/excel/2006/main">
          <x14:cfRule type="containsText" priority="12" operator="containsText" id="{708371D9-C2EE-A743-AED3-2CD1B2840DEF}">
            <xm:f>NOT(ISERROR(SEARCH("SELECT WORKS",C152)))</xm:f>
            <xm:f>"SELECT WORKS"</xm:f>
            <x14:dxf>
              <font>
                <b/>
                <i val="0"/>
                <color rgb="FFC00000"/>
              </font>
              <fill>
                <patternFill>
                  <bgColor theme="0"/>
                </patternFill>
              </fill>
            </x14:dxf>
          </x14:cfRule>
          <xm:sqref>C152</xm:sqref>
        </x14:conditionalFormatting>
        <x14:conditionalFormatting xmlns:xm="http://schemas.microsoft.com/office/excel/2006/main">
          <x14:cfRule type="containsText" priority="6" operator="containsText" id="{50A66A90-B1A1-3948-977A-D08E3F4E1D60}">
            <xm:f>NOT(ISERROR(SEARCH("SELECT WORKS",C169)))</xm:f>
            <xm:f>"SELECT WORKS"</xm:f>
            <x14:dxf>
              <font>
                <b/>
                <i val="0"/>
                <color rgb="FFC00000"/>
              </font>
              <fill>
                <patternFill>
                  <bgColor theme="0"/>
                </patternFill>
              </fill>
            </x14:dxf>
          </x14:cfRule>
          <xm:sqref>C169</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44EAAA63-8EFE-9A42-9FE6-B025962E87FA}">
          <x14:formula1>
            <xm:f>'Base Costs'!$M$4:$M$23</xm:f>
          </x14:formula1>
          <xm:sqref>C15</xm:sqref>
        </x14:dataValidation>
        <x14:dataValidation type="list" allowBlank="1" showInputMessage="1" showErrorMessage="1" xr:uid="{56CBDCDF-8BE9-8648-B789-002F93898DB8}">
          <x14:formula1>
            <xm:f>'Base Costs'!$M$4:$M$21</xm:f>
          </x14:formula1>
          <xm:sqref>C32 C168 C151 C134 C100 C49 C66 C83 C117</xm:sqref>
        </x14:dataValidation>
        <x14:dataValidation type="list" allowBlank="1" showInputMessage="1" showErrorMessage="1" xr:uid="{B27C3232-6DC7-4740-B322-5B4D108986A4}">
          <x14:formula1>
            <xm:f>'Base Costs'!$A$39:$A$53</xm:f>
          </x14:formula1>
          <xm:sqref>D14 D167 D150 D133 D31 D99 D48 D82 D65 D116</xm:sqref>
        </x14:dataValidation>
        <x14:dataValidation type="list" allowBlank="1" showInputMessage="1" showErrorMessage="1" xr:uid="{C459DE3C-26AE-A847-8AD7-E10B6AF37588}">
          <x14:formula1>
            <xm:f>CCBASE!$A$53:$A$73</xm:f>
          </x14:formula1>
          <xm:sqref>C67:C69 C84:C86 C33:C35 C50:C52 C16:C18 C101:C103 C118:C120 C135:C137 C152:C154 C169:C171</xm:sqref>
        </x14:dataValidation>
        <x14:dataValidation type="list" allowBlank="1" showInputMessage="1" showErrorMessage="1" xr:uid="{50318721-104A-7349-97CF-C69BF40A1D4A}">
          <x14:formula1>
            <xm:f>CCBASE!$A$81:$A$85</xm:f>
          </x14:formula1>
          <xm:sqref>C25 C42 C93 C76 C59 C110 C127 C144 C161 C178</xm:sqref>
        </x14:dataValidation>
        <x14:dataValidation type="list" allowBlank="1" showInputMessage="1" showErrorMessage="1" xr:uid="{77089A62-41DA-E945-B5B2-34DC839137EC}">
          <x14:formula1>
            <xm:f>'Base Costs'!$A$32:$A$37</xm:f>
          </x14:formula1>
          <xm:sqref>B9</xm:sqref>
        </x14:dataValidation>
        <x14:dataValidation type="list" allowBlank="1" showInputMessage="1" showErrorMessage="1" xr:uid="{5721E239-6A0D-6247-8179-0D928F572F07}">
          <x14:formula1>
            <xm:f>'Base Costs'!$E$4:$E$213</xm:f>
          </x14:formula1>
          <xm:sqref>D183 D186</xm:sqref>
        </x14:dataValidation>
        <x14:dataValidation type="list" allowBlank="1" showInputMessage="1" showErrorMessage="1" xr:uid="{3FA7575B-20E2-C243-9CF4-415AF6B0E906}">
          <x14:formula1>
            <xm:f>'Base Costs'!$A$4:$A$16</xm:f>
          </x14:formula1>
          <xm:sqref>D184:D185</xm:sqref>
        </x14:dataValidation>
        <x14:dataValidation type="list" allowBlank="1" showInputMessage="1" showErrorMessage="1" xr:uid="{77219F51-A53E-6F48-B9BD-B299B992FEAA}">
          <x14:formula1>
            <xm:f>'Base Costs'!$A$19:$A$22</xm:f>
          </x14:formula1>
          <xm:sqref>C19 C172 C155 C138 C36 C87 C70 C53 C104 C121</xm:sqref>
        </x14:dataValidation>
        <x14:dataValidation type="list" allowBlank="1" showInputMessage="1" showErrorMessage="1" xr:uid="{E46BCFE9-147C-AD4C-80D4-984F0D66D366}">
          <x14:formula1>
            <xm:f>'Base Costs'!$Q$35:$Q$45</xm:f>
          </x14:formula1>
          <xm:sqref>C43 C179 C162 C145 C60 C77 C94 C111 C26 C128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D84B1-FAD0-8045-9606-05B79667F205}">
  <sheetPr>
    <tabColor theme="8" tint="0.79998168889431442"/>
    <pageSetUpPr fitToPage="1"/>
  </sheetPr>
  <dimension ref="A1:AB310"/>
  <sheetViews>
    <sheetView showGridLines="0" zoomScale="80" zoomScaleNormal="80" zoomScaleSheetLayoutView="50" workbookViewId="0">
      <selection activeCell="R29" sqref="R29"/>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e">
        <f>IF(#REF!="","",#REF!)</f>
        <v>#REF!</v>
      </c>
      <c r="D3" s="1113"/>
      <c r="F3" s="690" t="s">
        <v>78</v>
      </c>
      <c r="G3" s="1084" t="e">
        <f>IF(#REF!="","",#REF!)</f>
        <v>#REF!</v>
      </c>
      <c r="H3" s="1114"/>
      <c r="I3" s="1114" t="e">
        <f>IF(#REF!="","",#REF!)</f>
        <v>#REF!</v>
      </c>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e">
        <f>IF(#REF!="","",#REF!)</f>
        <v>#REF!</v>
      </c>
      <c r="D5" s="1083"/>
      <c r="F5" s="690" t="s">
        <v>77</v>
      </c>
      <c r="G5" s="1084" t="e">
        <f>IF(#REF!="","",#REF!)</f>
        <v>#REF!</v>
      </c>
      <c r="H5" s="1114"/>
      <c r="I5" s="1114" t="e">
        <f>IF(#REF!="","",#REF!)</f>
        <v>#REF!</v>
      </c>
      <c r="J5" s="1114"/>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e">
        <f>IF(#REF!="","",#REF!)</f>
        <v>#REF!</v>
      </c>
      <c r="D7" s="1113"/>
      <c r="F7" s="690" t="s">
        <v>76</v>
      </c>
      <c r="G7" s="1086" t="e">
        <f>IF(#REF!="","",#REF!)</f>
        <v>#REF!</v>
      </c>
      <c r="H7" s="1115"/>
      <c r="I7" s="1115" t="e">
        <f>IF(#REF!="","",#REF!)</f>
        <v>#REF!</v>
      </c>
      <c r="J7" s="1115"/>
      <c r="N7" s="699" t="s">
        <v>79</v>
      </c>
      <c r="O7" s="917" t="e">
        <f>IF(#REF!="","",#REF!)</f>
        <v>#REF!</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2"/>
      <c r="F9" s="1112"/>
      <c r="G9" s="1125"/>
      <c r="H9" s="1126"/>
      <c r="I9" s="1126"/>
      <c r="J9" s="1126"/>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7"/>
      <c r="F35" s="1108"/>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0" t="s">
        <v>1092</v>
      </c>
      <c r="F36" s="1108"/>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0" t="s">
        <v>1092</v>
      </c>
      <c r="F53" s="1108"/>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0" t="s">
        <v>1092</v>
      </c>
      <c r="F138" s="1108"/>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1027.2</v>
      </c>
      <c r="L182" s="704">
        <f>IF(K182=0,"-",O182/M182)</f>
        <v>0.39213566507684156</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7" t="s">
        <v>732</v>
      </c>
      <c r="F183" s="1108"/>
      <c r="G183" s="1109"/>
      <c r="H183" s="1109"/>
      <c r="I183" s="110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2" t="s">
        <v>892</v>
      </c>
      <c r="F185" s="1143"/>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4" t="s">
        <v>1412</v>
      </c>
      <c r="F186" s="1145"/>
      <c r="G186" s="1109"/>
      <c r="H186" s="1109"/>
      <c r="I186" s="110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0" t="s">
        <v>1414</v>
      </c>
      <c r="E189" s="1141"/>
      <c r="F189" s="1141"/>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0" t="s">
        <v>1416</v>
      </c>
      <c r="E190" s="1141"/>
      <c r="F190" s="1141"/>
      <c r="G190" s="1136" t="s">
        <v>1464</v>
      </c>
      <c r="H190" s="1136"/>
      <c r="I190" s="113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17"/>
      <c r="F193" s="111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E186:F186"/>
    <mergeCell ref="G186:I186"/>
    <mergeCell ref="D189:F189"/>
    <mergeCell ref="D190:F190"/>
    <mergeCell ref="G190:I190"/>
    <mergeCell ref="D193:F193"/>
    <mergeCell ref="H176:I176"/>
    <mergeCell ref="B182:G182"/>
    <mergeCell ref="E183:F183"/>
    <mergeCell ref="G183:I183"/>
    <mergeCell ref="E184:F184"/>
    <mergeCell ref="E185:F185"/>
    <mergeCell ref="H157:I157"/>
    <mergeCell ref="H158:I158"/>
    <mergeCell ref="H159:I159"/>
    <mergeCell ref="E172:F172"/>
    <mergeCell ref="H174:I174"/>
    <mergeCell ref="H175:I175"/>
    <mergeCell ref="H125:I125"/>
    <mergeCell ref="E138:F138"/>
    <mergeCell ref="H140:I140"/>
    <mergeCell ref="H141:I141"/>
    <mergeCell ref="H142:I142"/>
    <mergeCell ref="E155:F155"/>
    <mergeCell ref="H106:I106"/>
    <mergeCell ref="H107:I107"/>
    <mergeCell ref="H108:I108"/>
    <mergeCell ref="E121:F121"/>
    <mergeCell ref="H123:I123"/>
    <mergeCell ref="H124:I124"/>
    <mergeCell ref="H74:I74"/>
    <mergeCell ref="E87:F87"/>
    <mergeCell ref="H89:I89"/>
    <mergeCell ref="H90:I90"/>
    <mergeCell ref="H91:I91"/>
    <mergeCell ref="E104:F104"/>
    <mergeCell ref="H55:I55"/>
    <mergeCell ref="H56:I56"/>
    <mergeCell ref="H57:I57"/>
    <mergeCell ref="E70:F70"/>
    <mergeCell ref="H72:I72"/>
    <mergeCell ref="H73:I73"/>
    <mergeCell ref="E35:F35"/>
    <mergeCell ref="E36:F36"/>
    <mergeCell ref="H38:I38"/>
    <mergeCell ref="H39:I39"/>
    <mergeCell ref="H40:I40"/>
    <mergeCell ref="E53:F53"/>
    <mergeCell ref="E9:F9"/>
    <mergeCell ref="G9:J9"/>
    <mergeCell ref="E19:F19"/>
    <mergeCell ref="H21:I21"/>
    <mergeCell ref="H22:I22"/>
    <mergeCell ref="H23:I23"/>
    <mergeCell ref="B1:C1"/>
    <mergeCell ref="C3:D3"/>
    <mergeCell ref="G3:J3"/>
    <mergeCell ref="C5:D5"/>
    <mergeCell ref="G5:J5"/>
    <mergeCell ref="C7:D7"/>
    <mergeCell ref="G7:J7"/>
  </mergeCells>
  <conditionalFormatting sqref="B9">
    <cfRule type="containsText" dxfId="3986" priority="665" operator="containsText" text="SELECT">
      <formula>NOT(ISERROR(SEARCH("SELECT",B9)))</formula>
    </cfRule>
    <cfRule type="expression" dxfId="3985" priority="666">
      <formula>B9="CURRENCY"</formula>
    </cfRule>
  </conditionalFormatting>
  <conditionalFormatting sqref="B11">
    <cfRule type="expression" dxfId="3984" priority="627">
      <formula>$B11&lt;&gt;""</formula>
    </cfRule>
  </conditionalFormatting>
  <conditionalFormatting sqref="B14:B23">
    <cfRule type="expression" dxfId="3983" priority="619">
      <formula>$J14&gt;0</formula>
    </cfRule>
  </conditionalFormatting>
  <conditionalFormatting sqref="B24">
    <cfRule type="expression" dxfId="3982" priority="616">
      <formula>ISNUMBER(SEARCH("UV",$D14))</formula>
    </cfRule>
    <cfRule type="expression" dxfId="3981" priority="617">
      <formula>($D14="CANOPY TYPE")</formula>
    </cfRule>
  </conditionalFormatting>
  <conditionalFormatting sqref="B25:B27">
    <cfRule type="expression" dxfId="3980" priority="437">
      <formula>$J25&gt;0</formula>
    </cfRule>
  </conditionalFormatting>
  <conditionalFormatting sqref="B28">
    <cfRule type="expression" dxfId="3979" priority="625">
      <formula>$B28&lt;&gt;""</formula>
    </cfRule>
  </conditionalFormatting>
  <conditionalFormatting sqref="B31:B40">
    <cfRule type="expression" dxfId="3978" priority="263">
      <formula>$J31&gt;0</formula>
    </cfRule>
  </conditionalFormatting>
  <conditionalFormatting sqref="B41">
    <cfRule type="expression" dxfId="3977" priority="585">
      <formula>ISNUMBER(SEARCH("UV",$D31))</formula>
    </cfRule>
    <cfRule type="expression" dxfId="3976" priority="586">
      <formula>($D31="CANOPY TYPE")</formula>
    </cfRule>
  </conditionalFormatting>
  <conditionalFormatting sqref="B42:B44">
    <cfRule type="expression" dxfId="3975" priority="587">
      <formula>$J42&gt;0</formula>
    </cfRule>
  </conditionalFormatting>
  <conditionalFormatting sqref="B45">
    <cfRule type="expression" dxfId="3974" priority="624">
      <formula>$B45&lt;&gt;""</formula>
    </cfRule>
  </conditionalFormatting>
  <conditionalFormatting sqref="B48:B57">
    <cfRule type="expression" dxfId="3973" priority="252">
      <formula>$J48&gt;0</formula>
    </cfRule>
  </conditionalFormatting>
  <conditionalFormatting sqref="B58">
    <cfRule type="expression" dxfId="3972" priority="556">
      <formula>ISNUMBER(SEARCH("UV",$D48))</formula>
    </cfRule>
    <cfRule type="expression" dxfId="3971" priority="557">
      <formula>($D48="CANOPY TYPE")</formula>
    </cfRule>
  </conditionalFormatting>
  <conditionalFormatting sqref="B59:B61">
    <cfRule type="expression" dxfId="3970" priority="436">
      <formula>$J59&gt;0</formula>
    </cfRule>
  </conditionalFormatting>
  <conditionalFormatting sqref="B62">
    <cfRule type="expression" dxfId="3969" priority="623">
      <formula>$B62&lt;&gt;""</formula>
    </cfRule>
  </conditionalFormatting>
  <conditionalFormatting sqref="B65:B74">
    <cfRule type="expression" dxfId="3968" priority="241">
      <formula>$J65&gt;0</formula>
    </cfRule>
  </conditionalFormatting>
  <conditionalFormatting sqref="B75">
    <cfRule type="expression" dxfId="3967" priority="526">
      <formula>ISNUMBER(SEARCH("UV",$D65))</formula>
    </cfRule>
    <cfRule type="expression" dxfId="3966" priority="527">
      <formula>($D65="CANOPY TYPE")</formula>
    </cfRule>
  </conditionalFormatting>
  <conditionalFormatting sqref="B76:B78">
    <cfRule type="expression" dxfId="3965" priority="435">
      <formula>$J76&gt;0</formula>
    </cfRule>
  </conditionalFormatting>
  <conditionalFormatting sqref="B79">
    <cfRule type="expression" dxfId="3964" priority="622">
      <formula>$B79&lt;&gt;""</formula>
    </cfRule>
  </conditionalFormatting>
  <conditionalFormatting sqref="B82:B91">
    <cfRule type="expression" dxfId="3963" priority="230">
      <formula>$J82&gt;0</formula>
    </cfRule>
  </conditionalFormatting>
  <conditionalFormatting sqref="B92">
    <cfRule type="expression" dxfId="3962" priority="495">
      <formula>ISNUMBER(SEARCH("UV",$D82))</formula>
    </cfRule>
    <cfRule type="expression" dxfId="3961" priority="496">
      <formula>($D82="CANOPY TYPE")</formula>
    </cfRule>
  </conditionalFormatting>
  <conditionalFormatting sqref="B93:B95">
    <cfRule type="expression" dxfId="3960" priority="434">
      <formula>$J93&gt;0</formula>
    </cfRule>
  </conditionalFormatting>
  <conditionalFormatting sqref="B96">
    <cfRule type="expression" dxfId="3959" priority="621">
      <formula>$B96&lt;&gt;""</formula>
    </cfRule>
  </conditionalFormatting>
  <conditionalFormatting sqref="B99:B108">
    <cfRule type="expression" dxfId="3958" priority="219">
      <formula>$J99&gt;0</formula>
    </cfRule>
  </conditionalFormatting>
  <conditionalFormatting sqref="B109">
    <cfRule type="expression" dxfId="3957" priority="465">
      <formula>ISNUMBER(SEARCH("UV",$D99))</formula>
    </cfRule>
    <cfRule type="expression" dxfId="3956" priority="466">
      <formula>($D99="CANOPY TYPE")</formula>
    </cfRule>
  </conditionalFormatting>
  <conditionalFormatting sqref="B110:B112 B127:B129 B161:B163 B178:B180">
    <cfRule type="expression" dxfId="3955" priority="433">
      <formula>$J110&gt;0</formula>
    </cfRule>
  </conditionalFormatting>
  <conditionalFormatting sqref="B113">
    <cfRule type="expression" dxfId="3954" priority="325">
      <formula>$B113&lt;&gt;""</formula>
    </cfRule>
  </conditionalFormatting>
  <conditionalFormatting sqref="B116:B125">
    <cfRule type="expression" dxfId="3953" priority="208">
      <formula>$J116&gt;0</formula>
    </cfRule>
  </conditionalFormatting>
  <conditionalFormatting sqref="B126">
    <cfRule type="expression" dxfId="3952" priority="298">
      <formula>ISNUMBER(SEARCH("UV",$D116))</formula>
    </cfRule>
    <cfRule type="expression" dxfId="3951" priority="299">
      <formula>($D116="CANOPY TYPE")</formula>
    </cfRule>
  </conditionalFormatting>
  <conditionalFormatting sqref="B130">
    <cfRule type="expression" dxfId="3950" priority="189">
      <formula>$B130&lt;&gt;""</formula>
    </cfRule>
  </conditionalFormatting>
  <conditionalFormatting sqref="B133:B142">
    <cfRule type="expression" dxfId="3949" priority="21">
      <formula>$J133&gt;0</formula>
    </cfRule>
  </conditionalFormatting>
  <conditionalFormatting sqref="B143">
    <cfRule type="expression" dxfId="3948" priority="159">
      <formula>ISNUMBER(SEARCH("UV",$D133))</formula>
    </cfRule>
    <cfRule type="expression" dxfId="3947" priority="160">
      <formula>($D133="CANOPY TYPE")</formula>
    </cfRule>
  </conditionalFormatting>
  <conditionalFormatting sqref="B144:B146">
    <cfRule type="expression" dxfId="3946" priority="118">
      <formula>$J144&gt;0</formula>
    </cfRule>
  </conditionalFormatting>
  <conditionalFormatting sqref="B147">
    <cfRule type="expression" dxfId="3945" priority="188">
      <formula>$B147&lt;&gt;""</formula>
    </cfRule>
  </conditionalFormatting>
  <conditionalFormatting sqref="B150:B159">
    <cfRule type="expression" dxfId="3944" priority="10">
      <formula>$J150&gt;0</formula>
    </cfRule>
  </conditionalFormatting>
  <conditionalFormatting sqref="B160">
    <cfRule type="expression" dxfId="3943" priority="130">
      <formula>ISNUMBER(SEARCH("UV",$D150))</formula>
    </cfRule>
    <cfRule type="expression" dxfId="3942" priority="131">
      <formula>($D150="CANOPY TYPE")</formula>
    </cfRule>
  </conditionalFormatting>
  <conditionalFormatting sqref="B164">
    <cfRule type="expression" dxfId="3941" priority="81">
      <formula>$B164&lt;&gt;""</formula>
    </cfRule>
  </conditionalFormatting>
  <conditionalFormatting sqref="B167:B176">
    <cfRule type="expression" dxfId="3940" priority="5">
      <formula>$J167&gt;0</formula>
    </cfRule>
  </conditionalFormatting>
  <conditionalFormatting sqref="B177">
    <cfRule type="expression" dxfId="3939" priority="54">
      <formula>ISNUMBER(SEARCH("UV",$D167))</formula>
    </cfRule>
    <cfRule type="expression" dxfId="3938" priority="55">
      <formula>($D167="CANOPY TYPE")</formula>
    </cfRule>
  </conditionalFormatting>
  <conditionalFormatting sqref="B183:B197">
    <cfRule type="expression" dxfId="3937" priority="618">
      <formula>$C183&gt;0</formula>
    </cfRule>
  </conditionalFormatting>
  <conditionalFormatting sqref="C14">
    <cfRule type="containsText" dxfId="3936" priority="423" operator="containsText" text="CONFIG">
      <formula>NOT(ISERROR(SEARCH("CONFIG",C14)))</formula>
    </cfRule>
  </conditionalFormatting>
  <conditionalFormatting sqref="C15">
    <cfRule type="containsText" dxfId="3935" priority="428" operator="containsText" text="LIGHT SELECTION">
      <formula>NOT(ISERROR(SEARCH("LIGHT SELECTION",C15)))</formula>
    </cfRule>
  </conditionalFormatting>
  <conditionalFormatting sqref="C16:C17">
    <cfRule type="containsText" dxfId="3934" priority="674" operator="containsText" text="ANSUL SELECTION">
      <formula>NOT(ISERROR(SEARCH("ANSUL SELECTION",C16)))</formula>
    </cfRule>
  </conditionalFormatting>
  <conditionalFormatting sqref="C20:C21">
    <cfRule type="cellIs" dxfId="3931" priority="671" operator="lessThan">
      <formula>1</formula>
    </cfRule>
  </conditionalFormatting>
  <conditionalFormatting sqref="C22:C23">
    <cfRule type="expression" dxfId="3930" priority="403">
      <formula>D22="WW PODS"</formula>
    </cfRule>
  </conditionalFormatting>
  <conditionalFormatting sqref="C24">
    <cfRule type="expression" dxfId="3929" priority="689">
      <formula>ISNUMBER(SEARCH("UV",D14))</formula>
    </cfRule>
  </conditionalFormatting>
  <conditionalFormatting sqref="C25">
    <cfRule type="expression" dxfId="3928" priority="651">
      <formula>(ISNUMBER(SEARCH("CMW",D14)))=TRUE</formula>
    </cfRule>
  </conditionalFormatting>
  <conditionalFormatting sqref="C26">
    <cfRule type="expression" dxfId="3927" priority="650">
      <formula>(ISNUMBER(SEARCH("CMW",D14)))=TRUE</formula>
    </cfRule>
  </conditionalFormatting>
  <conditionalFormatting sqref="C27">
    <cfRule type="expression" dxfId="3926" priority="620">
      <formula>(ISNUMBER(SEARCH("CMW",$D14)))=TRUE</formula>
    </cfRule>
  </conditionalFormatting>
  <conditionalFormatting sqref="C31">
    <cfRule type="containsText" dxfId="3925" priority="595" operator="containsText" text="CONFIG">
      <formula>NOT(ISERROR(SEARCH("CONFIG",C31)))</formula>
    </cfRule>
  </conditionalFormatting>
  <conditionalFormatting sqref="C32">
    <cfRule type="containsText" dxfId="3924" priority="430" operator="containsText" text="LIGHT SELECTION">
      <formula>NOT(ISERROR(SEARCH("LIGHT SELECTION",C32)))</formula>
    </cfRule>
  </conditionalFormatting>
  <conditionalFormatting sqref="C33:C34">
    <cfRule type="containsText" dxfId="3923" priority="271" operator="containsText" text="ANSUL SELECTION">
      <formula>NOT(ISERROR(SEARCH("ANSUL SELECTION",C33)))</formula>
    </cfRule>
  </conditionalFormatting>
  <conditionalFormatting sqref="C37:C38">
    <cfRule type="cellIs" dxfId="3920" priority="594" operator="lessThan">
      <formula>1</formula>
    </cfRule>
  </conditionalFormatting>
  <conditionalFormatting sqref="C39:C40">
    <cfRule type="expression" dxfId="3919" priority="388">
      <formula>D39="WW PODS"</formula>
    </cfRule>
  </conditionalFormatting>
  <conditionalFormatting sqref="C41">
    <cfRule type="expression" dxfId="3918" priority="609">
      <formula>ISNUMBER(SEARCH("UV",D31))</formula>
    </cfRule>
  </conditionalFormatting>
  <conditionalFormatting sqref="C42">
    <cfRule type="expression" dxfId="3917" priority="592">
      <formula>(ISNUMBER(SEARCH("CMW",D31)))=TRUE</formula>
    </cfRule>
  </conditionalFormatting>
  <conditionalFormatting sqref="C43">
    <cfRule type="expression" dxfId="3916" priority="462">
      <formula>(ISNUMBER(SEARCH("CMW",D31)))=TRUE</formula>
    </cfRule>
  </conditionalFormatting>
  <conditionalFormatting sqref="C44">
    <cfRule type="expression" dxfId="3915" priority="588">
      <formula>(ISNUMBER(SEARCH("CMW",$D31)))=TRUE</formula>
    </cfRule>
  </conditionalFormatting>
  <conditionalFormatting sqref="C48">
    <cfRule type="containsText" dxfId="3914" priority="565" operator="containsText" text="CONFIG">
      <formula>NOT(ISERROR(SEARCH("CONFIG",C48)))</formula>
    </cfRule>
  </conditionalFormatting>
  <conditionalFormatting sqref="C49">
    <cfRule type="containsText" dxfId="3913" priority="427" operator="containsText" text="LIGHT SELECTION">
      <formula>NOT(ISERROR(SEARCH("LIGHT SELECTION",C49)))</formula>
    </cfRule>
  </conditionalFormatting>
  <conditionalFormatting sqref="C50:C51">
    <cfRule type="containsText" dxfId="3912" priority="260" operator="containsText" text="ANSUL SELECTION">
      <formula>NOT(ISERROR(SEARCH("ANSUL SELECTION",C50)))</formula>
    </cfRule>
  </conditionalFormatting>
  <conditionalFormatting sqref="C54:C55">
    <cfRule type="cellIs" dxfId="3909" priority="564" operator="lessThan">
      <formula>1</formula>
    </cfRule>
  </conditionalFormatting>
  <conditionalFormatting sqref="C56:C57">
    <cfRule type="expression" dxfId="3908" priority="373">
      <formula>D56="WW PODS"</formula>
    </cfRule>
  </conditionalFormatting>
  <conditionalFormatting sqref="C58">
    <cfRule type="expression" dxfId="3907" priority="578">
      <formula>ISNUMBER(SEARCH("UV",D48))</formula>
    </cfRule>
  </conditionalFormatting>
  <conditionalFormatting sqref="C59">
    <cfRule type="expression" dxfId="3906" priority="562">
      <formula>(ISNUMBER(SEARCH("CMW",D48)))=TRUE</formula>
    </cfRule>
  </conditionalFormatting>
  <conditionalFormatting sqref="C60">
    <cfRule type="expression" dxfId="3905" priority="461">
      <formula>(ISNUMBER(SEARCH("CMW",D48)))=TRUE</formula>
    </cfRule>
  </conditionalFormatting>
  <conditionalFormatting sqref="C61">
    <cfRule type="expression" dxfId="3904" priority="558">
      <formula>(ISNUMBER(SEARCH("CMW",$D48)))=TRUE</formula>
    </cfRule>
  </conditionalFormatting>
  <conditionalFormatting sqref="C65">
    <cfRule type="containsText" dxfId="3903" priority="536" operator="containsText" text="CONFIG">
      <formula>NOT(ISERROR(SEARCH("CONFIG",C65)))</formula>
    </cfRule>
  </conditionalFormatting>
  <conditionalFormatting sqref="C66">
    <cfRule type="containsText" dxfId="3902" priority="426" operator="containsText" text="LIGHT SELECTION">
      <formula>NOT(ISERROR(SEARCH("LIGHT SELECTION",C66)))</formula>
    </cfRule>
  </conditionalFormatting>
  <conditionalFormatting sqref="C67:C68">
    <cfRule type="containsText" dxfId="3901" priority="249" operator="containsText" text="ANSUL SELECTION">
      <formula>NOT(ISERROR(SEARCH("ANSUL SELECTION",C67)))</formula>
    </cfRule>
  </conditionalFormatting>
  <conditionalFormatting sqref="C71:C72">
    <cfRule type="cellIs" dxfId="3898" priority="535" operator="lessThan">
      <formula>1</formula>
    </cfRule>
  </conditionalFormatting>
  <conditionalFormatting sqref="C73:C74">
    <cfRule type="expression" dxfId="3897" priority="358">
      <formula>D73="WW PODS"</formula>
    </cfRule>
  </conditionalFormatting>
  <conditionalFormatting sqref="C75">
    <cfRule type="expression" dxfId="3896" priority="549">
      <formula>ISNUMBER(SEARCH("UV",D65))</formula>
    </cfRule>
  </conditionalFormatting>
  <conditionalFormatting sqref="C76">
    <cfRule type="expression" dxfId="3895" priority="532">
      <formula>(ISNUMBER(SEARCH("CMW",D65)))=TRUE</formula>
    </cfRule>
  </conditionalFormatting>
  <conditionalFormatting sqref="C77">
    <cfRule type="expression" dxfId="3894" priority="460">
      <formula>(ISNUMBER(SEARCH("CMW",D65)))=TRUE</formula>
    </cfRule>
  </conditionalFormatting>
  <conditionalFormatting sqref="C78">
    <cfRule type="expression" dxfId="3893" priority="528">
      <formula>(ISNUMBER(SEARCH("CMW",$D65)))=TRUE</formula>
    </cfRule>
  </conditionalFormatting>
  <conditionalFormatting sqref="C82">
    <cfRule type="containsText" dxfId="3892" priority="505" operator="containsText" text="CONFIG">
      <formula>NOT(ISERROR(SEARCH("CONFIG",C82)))</formula>
    </cfRule>
  </conditionalFormatting>
  <conditionalFormatting sqref="C83">
    <cfRule type="containsText" dxfId="3891" priority="425" operator="containsText" text="LIGHT SELECTION">
      <formula>NOT(ISERROR(SEARCH("LIGHT SELECTION",C83)))</formula>
    </cfRule>
  </conditionalFormatting>
  <conditionalFormatting sqref="C84:C85">
    <cfRule type="containsText" dxfId="3890" priority="238" operator="containsText" text="ANSUL SELECTION">
      <formula>NOT(ISERROR(SEARCH("ANSUL SELECTION",C84)))</formula>
    </cfRule>
  </conditionalFormatting>
  <conditionalFormatting sqref="C88:C89">
    <cfRule type="cellIs" dxfId="3887" priority="504" operator="lessThan">
      <formula>1</formula>
    </cfRule>
  </conditionalFormatting>
  <conditionalFormatting sqref="C90:C91">
    <cfRule type="expression" dxfId="3886" priority="343">
      <formula>D90="WW PODS"</formula>
    </cfRule>
  </conditionalFormatting>
  <conditionalFormatting sqref="C92">
    <cfRule type="expression" dxfId="3885" priority="519">
      <formula>ISNUMBER(SEARCH("UV",D82))</formula>
    </cfRule>
  </conditionalFormatting>
  <conditionalFormatting sqref="C93">
    <cfRule type="expression" dxfId="3884" priority="501">
      <formula>(ISNUMBER(SEARCH("CMW",D82)))=TRUE</formula>
    </cfRule>
  </conditionalFormatting>
  <conditionalFormatting sqref="C94">
    <cfRule type="expression" dxfId="3883" priority="459">
      <formula>(ISNUMBER(SEARCH("CMW",D82)))=TRUE</formula>
    </cfRule>
  </conditionalFormatting>
  <conditionalFormatting sqref="C95">
    <cfRule type="expression" dxfId="3882" priority="497">
      <formula>(ISNUMBER(SEARCH("CMW",$D82)))=TRUE</formula>
    </cfRule>
  </conditionalFormatting>
  <conditionalFormatting sqref="C99">
    <cfRule type="containsText" dxfId="3881" priority="474" operator="containsText" text="CONFIG">
      <formula>NOT(ISERROR(SEARCH("CONFIG",C99)))</formula>
    </cfRule>
  </conditionalFormatting>
  <conditionalFormatting sqref="C100">
    <cfRule type="containsText" dxfId="3880" priority="424" operator="containsText" text="LIGHT SELECTION">
      <formula>NOT(ISERROR(SEARCH("LIGHT SELECTION",C100)))</formula>
    </cfRule>
  </conditionalFormatting>
  <conditionalFormatting sqref="C101:C102">
    <cfRule type="containsText" dxfId="3879" priority="227" operator="containsText" text="ANSUL SELECTION">
      <formula>NOT(ISERROR(SEARCH("ANSUL SELECTION",C101)))</formula>
    </cfRule>
  </conditionalFormatting>
  <conditionalFormatting sqref="C105:C106">
    <cfRule type="cellIs" dxfId="3876" priority="473" operator="lessThan">
      <formula>1</formula>
    </cfRule>
  </conditionalFormatting>
  <conditionalFormatting sqref="C107:C108">
    <cfRule type="expression" dxfId="3875" priority="328">
      <formula>D107="WW PODS"</formula>
    </cfRule>
  </conditionalFormatting>
  <conditionalFormatting sqref="C109">
    <cfRule type="expression" dxfId="3874" priority="488">
      <formula>ISNUMBER(SEARCH("UV",D99))</formula>
    </cfRule>
  </conditionalFormatting>
  <conditionalFormatting sqref="C110">
    <cfRule type="expression" dxfId="3873" priority="471">
      <formula>(ISNUMBER(SEARCH("CMW",D99)))=TRUE</formula>
    </cfRule>
  </conditionalFormatting>
  <conditionalFormatting sqref="C111">
    <cfRule type="expression" dxfId="3872" priority="458">
      <formula>(ISNUMBER(SEARCH("CMW",D99)))=TRUE</formula>
    </cfRule>
  </conditionalFormatting>
  <conditionalFormatting sqref="C112 C129 C163 C180">
    <cfRule type="expression" dxfId="3871" priority="467">
      <formula>(ISNUMBER(SEARCH("CMW",$D99)))=TRUE</formula>
    </cfRule>
  </conditionalFormatting>
  <conditionalFormatting sqref="C116">
    <cfRule type="containsText" dxfId="3870" priority="306" operator="containsText" text="CONFIG">
      <formula>NOT(ISERROR(SEARCH("CONFIG",C116)))</formula>
    </cfRule>
  </conditionalFormatting>
  <conditionalFormatting sqref="C117">
    <cfRule type="containsText" dxfId="3869" priority="291" operator="containsText" text="LIGHT SELECTION">
      <formula>NOT(ISERROR(SEARCH("LIGHT SELECTION",C117)))</formula>
    </cfRule>
  </conditionalFormatting>
  <conditionalFormatting sqref="C118:C119">
    <cfRule type="containsText" dxfId="3868" priority="216" operator="containsText" text="ANSUL SELECTION">
      <formula>NOT(ISERROR(SEARCH("ANSUL SELECTION",C118)))</formula>
    </cfRule>
  </conditionalFormatting>
  <conditionalFormatting sqref="C122:C123">
    <cfRule type="cellIs" dxfId="3865" priority="305" operator="lessThan">
      <formula>1</formula>
    </cfRule>
  </conditionalFormatting>
  <conditionalFormatting sqref="C124:C125">
    <cfRule type="expression" dxfId="3864" priority="275">
      <formula>D124="WW PODS"</formula>
    </cfRule>
  </conditionalFormatting>
  <conditionalFormatting sqref="C126">
    <cfRule type="expression" dxfId="3863" priority="320">
      <formula>ISNUMBER(SEARCH("UV",D116))</formula>
    </cfRule>
  </conditionalFormatting>
  <conditionalFormatting sqref="C127">
    <cfRule type="expression" dxfId="3862" priority="303">
      <formula>(ISNUMBER(SEARCH("CMW",D116)))=TRUE</formula>
    </cfRule>
  </conditionalFormatting>
  <conditionalFormatting sqref="C128">
    <cfRule type="expression" dxfId="3861" priority="296">
      <formula>(ISNUMBER(SEARCH("CMW",D116)))=TRUE</formula>
    </cfRule>
  </conditionalFormatting>
  <conditionalFormatting sqref="C133">
    <cfRule type="containsText" dxfId="3860" priority="169" operator="containsText" text="CONFIG">
      <formula>NOT(ISERROR(SEARCH("CONFIG",C133)))</formula>
    </cfRule>
  </conditionalFormatting>
  <conditionalFormatting sqref="C134">
    <cfRule type="containsText" dxfId="3859" priority="117" operator="containsText" text="LIGHT SELECTION">
      <formula>NOT(ISERROR(SEARCH("LIGHT SELECTION",C134)))</formula>
    </cfRule>
  </conditionalFormatting>
  <conditionalFormatting sqref="C135:C136">
    <cfRule type="containsText" dxfId="3858" priority="29" operator="containsText" text="ANSUL SELECTION">
      <formula>NOT(ISERROR(SEARCH("ANSUL SELECTION",C135)))</formula>
    </cfRule>
  </conditionalFormatting>
  <conditionalFormatting sqref="C139:C140">
    <cfRule type="cellIs" dxfId="3855" priority="168" operator="lessThan">
      <formula>1</formula>
    </cfRule>
  </conditionalFormatting>
  <conditionalFormatting sqref="C141:C142">
    <cfRule type="expression" dxfId="3854" priority="99">
      <formula>D141="WW PODS"</formula>
    </cfRule>
  </conditionalFormatting>
  <conditionalFormatting sqref="C143">
    <cfRule type="expression" dxfId="3853" priority="183">
      <formula>ISNUMBER(SEARCH("UV",D133))</formula>
    </cfRule>
  </conditionalFormatting>
  <conditionalFormatting sqref="C144">
    <cfRule type="expression" dxfId="3852" priority="165">
      <formula>(ISNUMBER(SEARCH("CMW",D133)))=TRUE</formula>
    </cfRule>
  </conditionalFormatting>
  <conditionalFormatting sqref="C145">
    <cfRule type="expression" dxfId="3851" priority="128">
      <formula>(ISNUMBER(SEARCH("CMW",D133)))=TRUE</formula>
    </cfRule>
  </conditionalFormatting>
  <conditionalFormatting sqref="C146">
    <cfRule type="expression" dxfId="3850" priority="161">
      <formula>(ISNUMBER(SEARCH("CMW",$D133)))=TRUE</formula>
    </cfRule>
  </conditionalFormatting>
  <conditionalFormatting sqref="C150">
    <cfRule type="containsText" dxfId="3849" priority="138" operator="containsText" text="CONFIG">
      <formula>NOT(ISERROR(SEARCH("CONFIG",C150)))</formula>
    </cfRule>
  </conditionalFormatting>
  <conditionalFormatting sqref="C151">
    <cfRule type="containsText" dxfId="3848" priority="116" operator="containsText" text="LIGHT SELECTION">
      <formula>NOT(ISERROR(SEARCH("LIGHT SELECTION",C151)))</formula>
    </cfRule>
  </conditionalFormatting>
  <conditionalFormatting sqref="C152:C153">
    <cfRule type="containsText" dxfId="3847" priority="18" operator="containsText" text="ANSUL SELECTION">
      <formula>NOT(ISERROR(SEARCH("ANSUL SELECTION",C152)))</formula>
    </cfRule>
  </conditionalFormatting>
  <conditionalFormatting sqref="C156:C157">
    <cfRule type="cellIs" dxfId="3844" priority="137" operator="lessThan">
      <formula>1</formula>
    </cfRule>
  </conditionalFormatting>
  <conditionalFormatting sqref="C158:C159">
    <cfRule type="expression" dxfId="3843" priority="84">
      <formula>D158="WW PODS"</formula>
    </cfRule>
  </conditionalFormatting>
  <conditionalFormatting sqref="C160">
    <cfRule type="expression" dxfId="3842" priority="152">
      <formula>ISNUMBER(SEARCH("UV",D150))</formula>
    </cfRule>
  </conditionalFormatting>
  <conditionalFormatting sqref="C161">
    <cfRule type="expression" dxfId="3841" priority="135">
      <formula>(ISNUMBER(SEARCH("CMW",D150)))=TRUE</formula>
    </cfRule>
  </conditionalFormatting>
  <conditionalFormatting sqref="C162">
    <cfRule type="expression" dxfId="3840" priority="127">
      <formula>(ISNUMBER(SEARCH("CMW",D150)))=TRUE</formula>
    </cfRule>
  </conditionalFormatting>
  <conditionalFormatting sqref="C167">
    <cfRule type="containsText" dxfId="3839" priority="62" operator="containsText" text="CONFIG">
      <formula>NOT(ISERROR(SEARCH("CONFIG",C167)))</formula>
    </cfRule>
  </conditionalFormatting>
  <conditionalFormatting sqref="C168">
    <cfRule type="containsText" dxfId="3838" priority="47" operator="containsText" text="LIGHT SELECTION">
      <formula>NOT(ISERROR(SEARCH("LIGHT SELECTION",C168)))</formula>
    </cfRule>
  </conditionalFormatting>
  <conditionalFormatting sqref="C169:C170">
    <cfRule type="containsText" dxfId="3837" priority="7" operator="containsText" text="ANSUL SELECTION">
      <formula>NOT(ISERROR(SEARCH("ANSUL SELECTION",C169)))</formula>
    </cfRule>
  </conditionalFormatting>
  <conditionalFormatting sqref="C173:C174">
    <cfRule type="cellIs" dxfId="3834" priority="61" operator="lessThan">
      <formula>1</formula>
    </cfRule>
  </conditionalFormatting>
  <conditionalFormatting sqref="C175:C176">
    <cfRule type="expression" dxfId="3833" priority="31">
      <formula>D175="WW PODS"</formula>
    </cfRule>
  </conditionalFormatting>
  <conditionalFormatting sqref="C177">
    <cfRule type="expression" dxfId="3832" priority="76">
      <formula>ISNUMBER(SEARCH("UV",D167))</formula>
    </cfRule>
  </conditionalFormatting>
  <conditionalFormatting sqref="C178">
    <cfRule type="expression" dxfId="3831" priority="59">
      <formula>(ISNUMBER(SEARCH("CMW",D167)))=TRUE</formula>
    </cfRule>
  </conditionalFormatting>
  <conditionalFormatting sqref="C179">
    <cfRule type="expression" dxfId="3830" priority="52">
      <formula>(ISNUMBER(SEARCH("CMW",D167)))=TRUE</formula>
    </cfRule>
  </conditionalFormatting>
  <conditionalFormatting sqref="C183:C184">
    <cfRule type="cellIs" dxfId="3829" priority="673" operator="lessThan">
      <formula>1</formula>
    </cfRule>
  </conditionalFormatting>
  <conditionalFormatting sqref="C185:C186">
    <cfRule type="cellIs" dxfId="3828" priority="662" operator="lessThan">
      <formula>1</formula>
    </cfRule>
  </conditionalFormatting>
  <conditionalFormatting sqref="C187:C197">
    <cfRule type="cellIs" dxfId="3827" priority="273" operator="lessThan">
      <formula>1</formula>
    </cfRule>
  </conditionalFormatting>
  <conditionalFormatting sqref="C9:D9">
    <cfRule type="cellIs" dxfId="3826" priority="663" operator="lessThan">
      <formula>0</formula>
    </cfRule>
    <cfRule type="cellIs" dxfId="3825" priority="664" operator="greaterThan">
      <formula>0</formula>
    </cfRule>
  </conditionalFormatting>
  <conditionalFormatting sqref="D14">
    <cfRule type="containsText" dxfId="3824" priority="675" operator="containsText" text="CANOPY TYPE">
      <formula>NOT(ISERROR(SEARCH("CANOPY TYPE",D14)))</formula>
    </cfRule>
  </conditionalFormatting>
  <conditionalFormatting sqref="D15">
    <cfRule type="expression" dxfId="3823" priority="419">
      <formula>(C15="LIGHT SELECTION")</formula>
    </cfRule>
  </conditionalFormatting>
  <conditionalFormatting sqref="D18">
    <cfRule type="expression" dxfId="3822" priority="629">
      <formula>($C18="SELECT WORKS")</formula>
    </cfRule>
  </conditionalFormatting>
  <conditionalFormatting sqref="D19">
    <cfRule type="expression" dxfId="3821" priority="272">
      <formula>$C19="SELECT CLADDING"</formula>
    </cfRule>
  </conditionalFormatting>
  <conditionalFormatting sqref="D22:D23">
    <cfRule type="expression" dxfId="3820" priority="402">
      <formula>($D$14="CANOPY TYPE")</formula>
    </cfRule>
  </conditionalFormatting>
  <conditionalFormatting sqref="D24">
    <cfRule type="expression" dxfId="3819" priority="688">
      <formula>ISNUMBER(SEARCH("UV",D14))</formula>
    </cfRule>
  </conditionalFormatting>
  <conditionalFormatting sqref="D25">
    <cfRule type="expression" dxfId="3818" priority="614">
      <formula>($D$14="CANOPY TYPE")</formula>
    </cfRule>
  </conditionalFormatting>
  <conditionalFormatting sqref="D26">
    <cfRule type="expression" dxfId="3817" priority="637">
      <formula>(ISNUMBER(SEARCH("CMW",D14)))=TRUE</formula>
    </cfRule>
  </conditionalFormatting>
  <conditionalFormatting sqref="D31">
    <cfRule type="containsText" dxfId="3816" priority="596" operator="containsText" text="CANOPY TYPE">
      <formula>NOT(ISERROR(SEARCH("CANOPY TYPE",D31)))</formula>
    </cfRule>
  </conditionalFormatting>
  <conditionalFormatting sqref="D32">
    <cfRule type="expression" dxfId="3815" priority="432">
      <formula>(C32="LIGHT SELECTION")</formula>
    </cfRule>
  </conditionalFormatting>
  <conditionalFormatting sqref="D35">
    <cfRule type="expression" dxfId="3814" priority="589">
      <formula>($C35="SELECT WORKS")</formula>
    </cfRule>
  </conditionalFormatting>
  <conditionalFormatting sqref="D36">
    <cfRule type="expression" dxfId="3813" priority="411">
      <formula>$C36="SELECT CLADDING"</formula>
    </cfRule>
  </conditionalFormatting>
  <conditionalFormatting sqref="D39:D40">
    <cfRule type="expression" dxfId="3812" priority="387">
      <formula>($D$14="CANOPY TYPE")</formula>
    </cfRule>
  </conditionalFormatting>
  <conditionalFormatting sqref="D41">
    <cfRule type="expression" dxfId="3811" priority="608">
      <formula>ISNUMBER(SEARCH("UV",D31))</formula>
    </cfRule>
  </conditionalFormatting>
  <conditionalFormatting sqref="D42">
    <cfRule type="expression" dxfId="3810" priority="583">
      <formula>($D$14="CANOPY TYPE")</formula>
    </cfRule>
  </conditionalFormatting>
  <conditionalFormatting sqref="D43">
    <cfRule type="expression" dxfId="3809" priority="591">
      <formula>(ISNUMBER(SEARCH("CMW",D31)))=TRUE</formula>
    </cfRule>
  </conditionalFormatting>
  <conditionalFormatting sqref="D48">
    <cfRule type="containsText" dxfId="3808" priority="414" operator="containsText" text="CANOPY TYPE">
      <formula>NOT(ISERROR(SEARCH("CANOPY TYPE",D48)))</formula>
    </cfRule>
  </conditionalFormatting>
  <conditionalFormatting sqref="D49">
    <cfRule type="expression" dxfId="3807" priority="429">
      <formula>(C15="LIGHT SELECTION")</formula>
    </cfRule>
  </conditionalFormatting>
  <conditionalFormatting sqref="D52">
    <cfRule type="expression" dxfId="3806" priority="559">
      <formula>($C52="SELECT WORKS")</formula>
    </cfRule>
  </conditionalFormatting>
  <conditionalFormatting sqref="D53">
    <cfRule type="expression" dxfId="3805" priority="412">
      <formula>$C53="SELECT CLADDING"</formula>
    </cfRule>
  </conditionalFormatting>
  <conditionalFormatting sqref="D56:D57">
    <cfRule type="expression" dxfId="3804" priority="372">
      <formula>($D$14="CANOPY TYPE")</formula>
    </cfRule>
  </conditionalFormatting>
  <conditionalFormatting sqref="D58">
    <cfRule type="expression" dxfId="3803" priority="577">
      <formula>ISNUMBER(SEARCH("UV",D48))</formula>
    </cfRule>
  </conditionalFormatting>
  <conditionalFormatting sqref="D59">
    <cfRule type="expression" dxfId="3802" priority="554">
      <formula>($D$14="CANOPY TYPE")</formula>
    </cfRule>
  </conditionalFormatting>
  <conditionalFormatting sqref="D60">
    <cfRule type="expression" dxfId="3801" priority="561">
      <formula>(ISNUMBER(SEARCH("CMW",D48)))=TRUE</formula>
    </cfRule>
  </conditionalFormatting>
  <conditionalFormatting sqref="D65">
    <cfRule type="containsText" dxfId="3800" priority="413" operator="containsText" text="CANOPY TYPE">
      <formula>NOT(ISERROR(SEARCH("CANOPY TYPE",D65)))</formula>
    </cfRule>
  </conditionalFormatting>
  <conditionalFormatting sqref="D66">
    <cfRule type="expression" dxfId="3799" priority="422">
      <formula>(C66="LIGHT SELECTION")</formula>
    </cfRule>
  </conditionalFormatting>
  <conditionalFormatting sqref="D69">
    <cfRule type="expression" dxfId="3798" priority="529">
      <formula>($C69="SELECT WORKS")</formula>
    </cfRule>
  </conditionalFormatting>
  <conditionalFormatting sqref="D70">
    <cfRule type="expression" dxfId="3797" priority="533">
      <formula>$C70="SELECT CLADDING"</formula>
    </cfRule>
  </conditionalFormatting>
  <conditionalFormatting sqref="D73:D74">
    <cfRule type="expression" dxfId="3796" priority="357">
      <formula>($D$14="CANOPY TYPE")</formula>
    </cfRule>
  </conditionalFormatting>
  <conditionalFormatting sqref="D75">
    <cfRule type="expression" dxfId="3795" priority="548">
      <formula>ISNUMBER(SEARCH("UV",D65))</formula>
    </cfRule>
  </conditionalFormatting>
  <conditionalFormatting sqref="D76">
    <cfRule type="expression" dxfId="3794" priority="524">
      <formula>($D$14="CANOPY TYPE")</formula>
    </cfRule>
  </conditionalFormatting>
  <conditionalFormatting sqref="D77">
    <cfRule type="expression" dxfId="3793" priority="531">
      <formula>(ISNUMBER(SEARCH("CMW",D65)))=TRUE</formula>
    </cfRule>
  </conditionalFormatting>
  <conditionalFormatting sqref="D82">
    <cfRule type="containsText" dxfId="3792" priority="506" operator="containsText" text="CANOPY TYPE">
      <formula>NOT(ISERROR(SEARCH("CANOPY TYPE",D82)))</formula>
    </cfRule>
  </conditionalFormatting>
  <conditionalFormatting sqref="D83">
    <cfRule type="expression" dxfId="3791" priority="421">
      <formula>(C83="LIGHT SELECTION")</formula>
    </cfRule>
  </conditionalFormatting>
  <conditionalFormatting sqref="D86">
    <cfRule type="expression" dxfId="3790" priority="498">
      <formula>($C86="SELECT WORKS")</formula>
    </cfRule>
  </conditionalFormatting>
  <conditionalFormatting sqref="D87">
    <cfRule type="expression" dxfId="3789" priority="502">
      <formula>$C87="SELECT CLADDING"</formula>
    </cfRule>
  </conditionalFormatting>
  <conditionalFormatting sqref="D90:D91">
    <cfRule type="expression" dxfId="3788" priority="342">
      <formula>($D$14="CANOPY TYPE")</formula>
    </cfRule>
  </conditionalFormatting>
  <conditionalFormatting sqref="D92">
    <cfRule type="expression" dxfId="3787" priority="518">
      <formula>ISNUMBER(SEARCH("UV",D82))</formula>
    </cfRule>
  </conditionalFormatting>
  <conditionalFormatting sqref="D93">
    <cfRule type="expression" dxfId="3786" priority="493">
      <formula>($D$14="CANOPY TYPE")</formula>
    </cfRule>
  </conditionalFormatting>
  <conditionalFormatting sqref="D94">
    <cfRule type="expression" dxfId="3785" priority="500">
      <formula>(ISNUMBER(SEARCH("CMW",D82)))=TRUE</formula>
    </cfRule>
  </conditionalFormatting>
  <conditionalFormatting sqref="D99">
    <cfRule type="containsText" dxfId="3784" priority="475" operator="containsText" text="CANOPY TYPE">
      <formula>NOT(ISERROR(SEARCH("CANOPY TYPE",D99)))</formula>
    </cfRule>
  </conditionalFormatting>
  <conditionalFormatting sqref="D100">
    <cfRule type="expression" dxfId="3783" priority="420">
      <formula>(C100="LIGHT SELECTION")</formula>
    </cfRule>
  </conditionalFormatting>
  <conditionalFormatting sqref="D103">
    <cfRule type="expression" dxfId="3782" priority="468">
      <formula>($C103="SELECT WORKS")</formula>
    </cfRule>
  </conditionalFormatting>
  <conditionalFormatting sqref="D104">
    <cfRule type="expression" dxfId="3781" priority="410">
      <formula>$C104="SELECT CLADDING"</formula>
    </cfRule>
  </conditionalFormatting>
  <conditionalFormatting sqref="D107:D108">
    <cfRule type="expression" dxfId="3780" priority="327">
      <formula>($D$14="CANOPY TYPE")</formula>
    </cfRule>
  </conditionalFormatting>
  <conditionalFormatting sqref="D109">
    <cfRule type="expression" dxfId="3779" priority="487">
      <formula>ISNUMBER(SEARCH("UV",D99))</formula>
    </cfRule>
  </conditionalFormatting>
  <conditionalFormatting sqref="D110">
    <cfRule type="expression" dxfId="3778" priority="463">
      <formula>($D$14="CANOPY TYPE")</formula>
    </cfRule>
  </conditionalFormatting>
  <conditionalFormatting sqref="D111">
    <cfRule type="expression" dxfId="3777" priority="470">
      <formula>(ISNUMBER(SEARCH("CMW",D99)))=TRUE</formula>
    </cfRule>
  </conditionalFormatting>
  <conditionalFormatting sqref="D116">
    <cfRule type="containsText" dxfId="3776" priority="307" operator="containsText" text="CANOPY TYPE">
      <formula>NOT(ISERROR(SEARCH("CANOPY TYPE",D116)))</formula>
    </cfRule>
  </conditionalFormatting>
  <conditionalFormatting sqref="D117">
    <cfRule type="expression" dxfId="3775" priority="290">
      <formula>(C117="LIGHT SELECTION")</formula>
    </cfRule>
  </conditionalFormatting>
  <conditionalFormatting sqref="D120">
    <cfRule type="expression" dxfId="3774" priority="300">
      <formula>($C120="SELECT WORKS")</formula>
    </cfRule>
  </conditionalFormatting>
  <conditionalFormatting sqref="D121">
    <cfRule type="expression" dxfId="3773" priority="289">
      <formula>$C121="SELECT CLADDING"</formula>
    </cfRule>
  </conditionalFormatting>
  <conditionalFormatting sqref="D124:D125">
    <cfRule type="expression" dxfId="3772" priority="274">
      <formula>($D$14="CANOPY TYPE")</formula>
    </cfRule>
  </conditionalFormatting>
  <conditionalFormatting sqref="D126">
    <cfRule type="expression" dxfId="3771" priority="319">
      <formula>ISNUMBER(SEARCH("UV",D116))</formula>
    </cfRule>
  </conditionalFormatting>
  <conditionalFormatting sqref="D127">
    <cfRule type="expression" dxfId="3770" priority="297">
      <formula>($D$14="CANOPY TYPE")</formula>
    </cfRule>
  </conditionalFormatting>
  <conditionalFormatting sqref="D128">
    <cfRule type="expression" dxfId="3769" priority="302">
      <formula>(ISNUMBER(SEARCH("CMW",D116)))=TRUE</formula>
    </cfRule>
  </conditionalFormatting>
  <conditionalFormatting sqref="D133">
    <cfRule type="containsText" dxfId="3768" priority="170" operator="containsText" text="CANOPY TYPE">
      <formula>NOT(ISERROR(SEARCH("CANOPY TYPE",D133)))</formula>
    </cfRule>
  </conditionalFormatting>
  <conditionalFormatting sqref="D134">
    <cfRule type="expression" dxfId="3767" priority="115">
      <formula>(C134="LIGHT SELECTION")</formula>
    </cfRule>
  </conditionalFormatting>
  <conditionalFormatting sqref="D137">
    <cfRule type="expression" dxfId="3766" priority="162">
      <formula>($C137="SELECT WORKS")</formula>
    </cfRule>
  </conditionalFormatting>
  <conditionalFormatting sqref="D138">
    <cfRule type="expression" dxfId="3765" priority="166">
      <formula>$C138="SELECT CLADDING"</formula>
    </cfRule>
  </conditionalFormatting>
  <conditionalFormatting sqref="D141:D142">
    <cfRule type="expression" dxfId="3764" priority="98">
      <formula>($D$14="CANOPY TYPE")</formula>
    </cfRule>
  </conditionalFormatting>
  <conditionalFormatting sqref="D143">
    <cfRule type="expression" dxfId="3763" priority="182">
      <formula>ISNUMBER(SEARCH("UV",D133))</formula>
    </cfRule>
  </conditionalFormatting>
  <conditionalFormatting sqref="D144">
    <cfRule type="expression" dxfId="3762" priority="157">
      <formula>($D$14="CANOPY TYPE")</formula>
    </cfRule>
  </conditionalFormatting>
  <conditionalFormatting sqref="D145">
    <cfRule type="expression" dxfId="3761" priority="164">
      <formula>(ISNUMBER(SEARCH("CMW",D133)))=TRUE</formula>
    </cfRule>
  </conditionalFormatting>
  <conditionalFormatting sqref="D150">
    <cfRule type="containsText" dxfId="3760" priority="139" operator="containsText" text="CANOPY TYPE">
      <formula>NOT(ISERROR(SEARCH("CANOPY TYPE",D150)))</formula>
    </cfRule>
  </conditionalFormatting>
  <conditionalFormatting sqref="D151">
    <cfRule type="expression" dxfId="3759" priority="114">
      <formula>(C151="LIGHT SELECTION")</formula>
    </cfRule>
  </conditionalFormatting>
  <conditionalFormatting sqref="D154">
    <cfRule type="expression" dxfId="3758" priority="132">
      <formula>($C154="SELECT WORKS")</formula>
    </cfRule>
  </conditionalFormatting>
  <conditionalFormatting sqref="D155">
    <cfRule type="expression" dxfId="3757" priority="113">
      <formula>$C155="SELECT CLADDING"</formula>
    </cfRule>
  </conditionalFormatting>
  <conditionalFormatting sqref="D158:D159">
    <cfRule type="expression" dxfId="3756" priority="83">
      <formula>($D$14="CANOPY TYPE")</formula>
    </cfRule>
  </conditionalFormatting>
  <conditionalFormatting sqref="D160">
    <cfRule type="expression" dxfId="3755" priority="151">
      <formula>ISNUMBER(SEARCH("UV",D150))</formula>
    </cfRule>
  </conditionalFormatting>
  <conditionalFormatting sqref="D161">
    <cfRule type="expression" dxfId="3754" priority="129">
      <formula>($D$14="CANOPY TYPE")</formula>
    </cfRule>
  </conditionalFormatting>
  <conditionalFormatting sqref="D162">
    <cfRule type="expression" dxfId="3753" priority="134">
      <formula>(ISNUMBER(SEARCH("CMW",D150)))=TRUE</formula>
    </cfRule>
  </conditionalFormatting>
  <conditionalFormatting sqref="D167">
    <cfRule type="containsText" dxfId="3752" priority="63" operator="containsText" text="CANOPY TYPE">
      <formula>NOT(ISERROR(SEARCH("CANOPY TYPE",D167)))</formula>
    </cfRule>
  </conditionalFormatting>
  <conditionalFormatting sqref="D168">
    <cfRule type="expression" dxfId="3751" priority="46">
      <formula>(C168="LIGHT SELECTION")</formula>
    </cfRule>
  </conditionalFormatting>
  <conditionalFormatting sqref="D171">
    <cfRule type="expression" dxfId="3750" priority="56">
      <formula>($C171="SELECT WORKS")</formula>
    </cfRule>
  </conditionalFormatting>
  <conditionalFormatting sqref="D172">
    <cfRule type="expression" dxfId="3749" priority="45">
      <formula>$C172="SELECT CLADDING"</formula>
    </cfRule>
  </conditionalFormatting>
  <conditionalFormatting sqref="D175:D176">
    <cfRule type="expression" dxfId="3748" priority="30">
      <formula>($D$14="CANOPY TYPE")</formula>
    </cfRule>
  </conditionalFormatting>
  <conditionalFormatting sqref="D177">
    <cfRule type="expression" dxfId="3747" priority="75">
      <formula>ISNUMBER(SEARCH("UV",D167))</formula>
    </cfRule>
  </conditionalFormatting>
  <conditionalFormatting sqref="D178">
    <cfRule type="expression" dxfId="3746" priority="53">
      <formula>($D$14="CANOPY TYPE")</formula>
    </cfRule>
  </conditionalFormatting>
  <conditionalFormatting sqref="D179">
    <cfRule type="expression" dxfId="3745" priority="58">
      <formula>(ISNUMBER(SEARCH("CMW",D167)))=TRUE</formula>
    </cfRule>
  </conditionalFormatting>
  <conditionalFormatting sqref="E12">
    <cfRule type="expression" dxfId="3744" priority="685">
      <formula>AND((ISNUMBER(SEARCH("I-MUAP",$D$14))),E12&lt;2500)</formula>
    </cfRule>
    <cfRule type="expression" dxfId="3743" priority="686">
      <formula>ISNUMBER(SEARCH("I-MUAP",$D$14))</formula>
    </cfRule>
    <cfRule type="cellIs" dxfId="3742" priority="687" operator="greaterThan">
      <formula>2000</formula>
    </cfRule>
  </conditionalFormatting>
  <conditionalFormatting sqref="E15">
    <cfRule type="expression" dxfId="3741" priority="417">
      <formula>(C15="LIGHT SELECTION")</formula>
    </cfRule>
  </conditionalFormatting>
  <conditionalFormatting sqref="E17:E18">
    <cfRule type="expression" dxfId="3740" priority="628">
      <formula>$C17="SELECT WORKS"</formula>
    </cfRule>
  </conditionalFormatting>
  <conditionalFormatting sqref="E22:E23">
    <cfRule type="expression" dxfId="3739" priority="667">
      <formula>D22="WW PODS"</formula>
    </cfRule>
    <cfRule type="expression" dxfId="3738" priority="668">
      <formula>D22="FILTER TYPE"</formula>
    </cfRule>
    <cfRule type="expression" dxfId="3737" priority="669">
      <formula>D22="KSA"</formula>
    </cfRule>
    <cfRule type="expression" dxfId="3736" priority="690">
      <formula>(D14="CANOPY TYPE")</formula>
    </cfRule>
  </conditionalFormatting>
  <conditionalFormatting sqref="E24">
    <cfRule type="containsText" dxfId="3735" priority="677" operator="containsText" text="LONG ">
      <formula>NOT(ISERROR(SEARCH("LONG ",E24)))</formula>
    </cfRule>
  </conditionalFormatting>
  <conditionalFormatting sqref="E29">
    <cfRule type="expression" dxfId="3734" priority="605">
      <formula>AND((ISNUMBER(SEARCH("I-MUAP",$D$14))),E29&lt;2500)</formula>
    </cfRule>
    <cfRule type="expression" dxfId="3733" priority="606">
      <formula>ISNUMBER(SEARCH("I-MUAP",$D$14))</formula>
    </cfRule>
    <cfRule type="cellIs" dxfId="3732" priority="607" operator="greaterThan">
      <formula>2000</formula>
    </cfRule>
  </conditionalFormatting>
  <conditionalFormatting sqref="E34">
    <cfRule type="expression" dxfId="3731" priority="264">
      <formula>$C34="SELECT WORKS"</formula>
    </cfRule>
  </conditionalFormatting>
  <conditionalFormatting sqref="E39:E40">
    <cfRule type="expression" dxfId="3730" priority="389">
      <formula>D39="WW PODS"</formula>
    </cfRule>
    <cfRule type="expression" dxfId="3729" priority="390">
      <formula>D39="FILTER TYPE"</formula>
    </cfRule>
    <cfRule type="expression" dxfId="3728" priority="391">
      <formula>D39="KSA"</formula>
    </cfRule>
    <cfRule type="expression" dxfId="3727" priority="392">
      <formula>(D31="CANOPY TYPE")</formula>
    </cfRule>
  </conditionalFormatting>
  <conditionalFormatting sqref="E41">
    <cfRule type="containsText" dxfId="3726" priority="598" operator="containsText" text="LONG ">
      <formula>NOT(ISERROR(SEARCH("LONG ",E41)))</formula>
    </cfRule>
  </conditionalFormatting>
  <conditionalFormatting sqref="E46">
    <cfRule type="expression" dxfId="3725" priority="574">
      <formula>AND((ISNUMBER(SEARCH("I-MUAP",$D$14))),E46&lt;2500)</formula>
    </cfRule>
    <cfRule type="expression" dxfId="3724" priority="575">
      <formula>ISNUMBER(SEARCH("I-MUAP",$D$14))</formula>
    </cfRule>
    <cfRule type="cellIs" dxfId="3723" priority="576" operator="greaterThan">
      <formula>2000</formula>
    </cfRule>
  </conditionalFormatting>
  <conditionalFormatting sqref="E49">
    <cfRule type="expression" dxfId="3722" priority="431">
      <formula>(C49="LIGHT SELECTION")</formula>
    </cfRule>
  </conditionalFormatting>
  <conditionalFormatting sqref="E51:E52">
    <cfRule type="expression" dxfId="3721" priority="253">
      <formula>$C51="SELECT WORKS"</formula>
    </cfRule>
  </conditionalFormatting>
  <conditionalFormatting sqref="E56:E57">
    <cfRule type="expression" dxfId="3720" priority="374">
      <formula>D56="WW PODS"</formula>
    </cfRule>
    <cfRule type="expression" dxfId="3719" priority="375">
      <formula>D56="FILTER TYPE"</formula>
    </cfRule>
    <cfRule type="expression" dxfId="3718" priority="376">
      <formula>D56="KSA"</formula>
    </cfRule>
    <cfRule type="expression" dxfId="3717" priority="377">
      <formula>(D48="CANOPY TYPE")</formula>
    </cfRule>
  </conditionalFormatting>
  <conditionalFormatting sqref="E58">
    <cfRule type="containsText" dxfId="3716" priority="567" operator="containsText" text="LONG ">
      <formula>NOT(ISERROR(SEARCH("LONG ",E58)))</formula>
    </cfRule>
  </conditionalFormatting>
  <conditionalFormatting sqref="E63">
    <cfRule type="expression" dxfId="3715" priority="545">
      <formula>AND((ISNUMBER(SEARCH("I-MUAP",$D$14))),E63&lt;2500)</formula>
    </cfRule>
    <cfRule type="expression" dxfId="3714" priority="546">
      <formula>ISNUMBER(SEARCH("I-MUAP",$D$14))</formula>
    </cfRule>
    <cfRule type="cellIs" dxfId="3713" priority="547" operator="greaterThan">
      <formula>2000</formula>
    </cfRule>
  </conditionalFormatting>
  <conditionalFormatting sqref="E68:E69">
    <cfRule type="expression" dxfId="3712" priority="242">
      <formula>$C68="SELECT WORKS"</formula>
    </cfRule>
  </conditionalFormatting>
  <conditionalFormatting sqref="E73:E74">
    <cfRule type="expression" dxfId="3711" priority="359">
      <formula>D73="WW PODS"</formula>
    </cfRule>
    <cfRule type="expression" dxfId="3710" priority="360">
      <formula>D73="FILTER TYPE"</formula>
    </cfRule>
    <cfRule type="expression" dxfId="3709" priority="361">
      <formula>D73="KSA"</formula>
    </cfRule>
    <cfRule type="expression" dxfId="3708" priority="362">
      <formula>(D65="CANOPY TYPE")</formula>
    </cfRule>
  </conditionalFormatting>
  <conditionalFormatting sqref="E75">
    <cfRule type="containsText" dxfId="3707" priority="538" operator="containsText" text="LONG ">
      <formula>NOT(ISERROR(SEARCH("LONG ",E75)))</formula>
    </cfRule>
  </conditionalFormatting>
  <conditionalFormatting sqref="E80">
    <cfRule type="expression" dxfId="3706" priority="515">
      <formula>AND((ISNUMBER(SEARCH("I-MUAP",$D$14))),E80&lt;2500)</formula>
    </cfRule>
    <cfRule type="expression" dxfId="3705" priority="516">
      <formula>ISNUMBER(SEARCH("I-MUAP",$D$14))</formula>
    </cfRule>
    <cfRule type="cellIs" dxfId="3704" priority="517" operator="greaterThan">
      <formula>2000</formula>
    </cfRule>
  </conditionalFormatting>
  <conditionalFormatting sqref="E85:E86">
    <cfRule type="expression" dxfId="3703" priority="231">
      <formula>$C85="SELECT WORKS"</formula>
    </cfRule>
  </conditionalFormatting>
  <conditionalFormatting sqref="E90:E91">
    <cfRule type="expression" dxfId="3702" priority="344">
      <formula>D90="WW PODS"</formula>
    </cfRule>
    <cfRule type="expression" dxfId="3701" priority="345">
      <formula>D90="FILTER TYPE"</formula>
    </cfRule>
    <cfRule type="expression" dxfId="3700" priority="346">
      <formula>D90="KSA"</formula>
    </cfRule>
    <cfRule type="expression" dxfId="3699" priority="347">
      <formula>(D82="CANOPY TYPE")</formula>
    </cfRule>
  </conditionalFormatting>
  <conditionalFormatting sqref="E92">
    <cfRule type="containsText" dxfId="3698" priority="508" operator="containsText" text="LONG ">
      <formula>NOT(ISERROR(SEARCH("LONG ",E92)))</formula>
    </cfRule>
  </conditionalFormatting>
  <conditionalFormatting sqref="E97">
    <cfRule type="expression" dxfId="3697" priority="484">
      <formula>AND((ISNUMBER(SEARCH("I-MUAP",$D$14))),E97&lt;2500)</formula>
    </cfRule>
    <cfRule type="expression" dxfId="3696" priority="485">
      <formula>ISNUMBER(SEARCH("I-MUAP",$D$14))</formula>
    </cfRule>
    <cfRule type="cellIs" dxfId="3695" priority="486" operator="greaterThan">
      <formula>2000</formula>
    </cfRule>
  </conditionalFormatting>
  <conditionalFormatting sqref="E102:E103">
    <cfRule type="expression" dxfId="3694" priority="220">
      <formula>$C102="SELECT WORKS"</formula>
    </cfRule>
  </conditionalFormatting>
  <conditionalFormatting sqref="E107:E108">
    <cfRule type="expression" dxfId="3693" priority="329">
      <formula>D107="WW PODS"</formula>
    </cfRule>
    <cfRule type="expression" dxfId="3692" priority="330">
      <formula>D107="FILTER TYPE"</formula>
    </cfRule>
    <cfRule type="expression" dxfId="3691" priority="331">
      <formula>D107="KSA"</formula>
    </cfRule>
    <cfRule type="expression" dxfId="3690" priority="332">
      <formula>(D99="CANOPY TYPE")</formula>
    </cfRule>
  </conditionalFormatting>
  <conditionalFormatting sqref="E109">
    <cfRule type="containsText" dxfId="3689" priority="477" operator="containsText" text="LONG ">
      <formula>NOT(ISERROR(SEARCH("LONG ",E109)))</formula>
    </cfRule>
  </conditionalFormatting>
  <conditionalFormatting sqref="E114">
    <cfRule type="expression" dxfId="3688" priority="316">
      <formula>AND((ISNUMBER(SEARCH("I-MUAP",$D$14))),E114&lt;2500)</formula>
    </cfRule>
    <cfRule type="expression" dxfId="3687" priority="317">
      <formula>ISNUMBER(SEARCH("I-MUAP",$D$14))</formula>
    </cfRule>
    <cfRule type="cellIs" dxfId="3686" priority="318" operator="greaterThan">
      <formula>2000</formula>
    </cfRule>
  </conditionalFormatting>
  <conditionalFormatting sqref="E119:E120">
    <cfRule type="expression" dxfId="3685" priority="209">
      <formula>$C119="SELECT WORKS"</formula>
    </cfRule>
  </conditionalFormatting>
  <conditionalFormatting sqref="E124:E125">
    <cfRule type="expression" dxfId="3684" priority="276">
      <formula>D124="WW PODS"</formula>
    </cfRule>
    <cfRule type="expression" dxfId="3683" priority="277">
      <formula>D124="FILTER TYPE"</formula>
    </cfRule>
    <cfRule type="expression" dxfId="3682" priority="278">
      <formula>D124="KSA"</formula>
    </cfRule>
    <cfRule type="expression" dxfId="3681" priority="279">
      <formula>(D116="CANOPY TYPE")</formula>
    </cfRule>
  </conditionalFormatting>
  <conditionalFormatting sqref="E126">
    <cfRule type="containsText" dxfId="3680" priority="309" operator="containsText" text="LONG ">
      <formula>NOT(ISERROR(SEARCH("LONG ",E126)))</formula>
    </cfRule>
  </conditionalFormatting>
  <conditionalFormatting sqref="E131">
    <cfRule type="expression" dxfId="3679" priority="179">
      <formula>AND((ISNUMBER(SEARCH("I-MUAP",$D$14))),E131&lt;2500)</formula>
    </cfRule>
    <cfRule type="expression" dxfId="3678" priority="180">
      <formula>ISNUMBER(SEARCH("I-MUAP",$D$14))</formula>
    </cfRule>
    <cfRule type="cellIs" dxfId="3677" priority="181" operator="greaterThan">
      <formula>2000</formula>
    </cfRule>
  </conditionalFormatting>
  <conditionalFormatting sqref="E136:E137">
    <cfRule type="expression" dxfId="3676" priority="22">
      <formula>$C136="SELECT WORKS"</formula>
    </cfRule>
  </conditionalFormatting>
  <conditionalFormatting sqref="E141:E142">
    <cfRule type="expression" dxfId="3675" priority="100">
      <formula>D141="WW PODS"</formula>
    </cfRule>
    <cfRule type="expression" dxfId="3674" priority="101">
      <formula>D141="FILTER TYPE"</formula>
    </cfRule>
    <cfRule type="expression" dxfId="3673" priority="102">
      <formula>D141="KSA"</formula>
    </cfRule>
    <cfRule type="expression" dxfId="3672" priority="103">
      <formula>(D133="CANOPY TYPE")</formula>
    </cfRule>
  </conditionalFormatting>
  <conditionalFormatting sqref="E143">
    <cfRule type="containsText" dxfId="3671" priority="172" operator="containsText" text="LONG ">
      <formula>NOT(ISERROR(SEARCH("LONG ",E143)))</formula>
    </cfRule>
  </conditionalFormatting>
  <conditionalFormatting sqref="E148">
    <cfRule type="expression" dxfId="3670" priority="148">
      <formula>AND((ISNUMBER(SEARCH("I-MUAP",$D$14))),E148&lt;2500)</formula>
    </cfRule>
    <cfRule type="expression" dxfId="3669" priority="149">
      <formula>ISNUMBER(SEARCH("I-MUAP",$D$14))</formula>
    </cfRule>
    <cfRule type="cellIs" dxfId="3668" priority="150" operator="greaterThan">
      <formula>2000</formula>
    </cfRule>
  </conditionalFormatting>
  <conditionalFormatting sqref="E153:E154">
    <cfRule type="expression" dxfId="3667" priority="11">
      <formula>$C153="SELECT WORKS"</formula>
    </cfRule>
  </conditionalFormatting>
  <conditionalFormatting sqref="E158:E159">
    <cfRule type="expression" dxfId="3666" priority="85">
      <formula>D158="WW PODS"</formula>
    </cfRule>
    <cfRule type="expression" dxfId="3665" priority="86">
      <formula>D158="FILTER TYPE"</formula>
    </cfRule>
    <cfRule type="expression" dxfId="3664" priority="87">
      <formula>D158="KSA"</formula>
    </cfRule>
    <cfRule type="expression" dxfId="3663" priority="88">
      <formula>(D150="CANOPY TYPE")</formula>
    </cfRule>
  </conditionalFormatting>
  <conditionalFormatting sqref="E160">
    <cfRule type="containsText" dxfId="3662" priority="141" operator="containsText" text="LONG ">
      <formula>NOT(ISERROR(SEARCH("LONG ",E160)))</formula>
    </cfRule>
  </conditionalFormatting>
  <conditionalFormatting sqref="E165">
    <cfRule type="expression" dxfId="3661" priority="72">
      <formula>AND((ISNUMBER(SEARCH("I-MUAP",$D$14))),E165&lt;2500)</formula>
    </cfRule>
    <cfRule type="expression" dxfId="3660" priority="73">
      <formula>ISNUMBER(SEARCH("I-MUAP",$D$14))</formula>
    </cfRule>
    <cfRule type="cellIs" dxfId="3659" priority="74" operator="greaterThan">
      <formula>2000</formula>
    </cfRule>
  </conditionalFormatting>
  <conditionalFormatting sqref="E170:E171">
    <cfRule type="expression" dxfId="3658" priority="6">
      <formula>$C170="SELECT WORKS"</formula>
    </cfRule>
  </conditionalFormatting>
  <conditionalFormatting sqref="E175:E176">
    <cfRule type="expression" dxfId="3657" priority="32">
      <formula>D175="WW PODS"</formula>
    </cfRule>
    <cfRule type="expression" dxfId="3656" priority="33">
      <formula>D175="FILTER TYPE"</formula>
    </cfRule>
    <cfRule type="expression" dxfId="3655" priority="34">
      <formula>D175="KSA"</formula>
    </cfRule>
    <cfRule type="expression" dxfId="3654" priority="35">
      <formula>(D167="CANOPY TYPE")</formula>
    </cfRule>
  </conditionalFormatting>
  <conditionalFormatting sqref="E177">
    <cfRule type="containsText" dxfId="3653" priority="65" operator="containsText" text="LONG ">
      <formula>NOT(ISERROR(SEARCH("LONG ",E177)))</formula>
    </cfRule>
  </conditionalFormatting>
  <conditionalFormatting sqref="E12:F12">
    <cfRule type="cellIs" dxfId="3652" priority="681" operator="lessThan">
      <formula>1000</formula>
    </cfRule>
  </conditionalFormatting>
  <conditionalFormatting sqref="E14:F14">
    <cfRule type="cellIs" dxfId="3651" priority="678" operator="lessThan">
      <formula>1000</formula>
    </cfRule>
  </conditionalFormatting>
  <conditionalFormatting sqref="E25:F27">
    <cfRule type="expression" dxfId="3650" priority="615">
      <formula>($D$14="CANOPY TYPE")</formula>
    </cfRule>
  </conditionalFormatting>
  <conditionalFormatting sqref="E29:F29">
    <cfRule type="cellIs" dxfId="3649" priority="602" operator="lessThan">
      <formula>1000</formula>
    </cfRule>
  </conditionalFormatting>
  <conditionalFormatting sqref="E31:F31">
    <cfRule type="cellIs" dxfId="3648" priority="599" operator="lessThan">
      <formula>1000</formula>
    </cfRule>
  </conditionalFormatting>
  <conditionalFormatting sqref="E32:F32">
    <cfRule type="expression" dxfId="3647" priority="455">
      <formula>(C32="LIGHT SELECTION")</formula>
    </cfRule>
  </conditionalFormatting>
  <conditionalFormatting sqref="E42:F44">
    <cfRule type="expression" dxfId="3646" priority="584">
      <formula>($D$14="CANOPY TYPE")</formula>
    </cfRule>
  </conditionalFormatting>
  <conditionalFormatting sqref="E46:F46">
    <cfRule type="cellIs" dxfId="3645" priority="571" operator="lessThan">
      <formula>1000</formula>
    </cfRule>
  </conditionalFormatting>
  <conditionalFormatting sqref="E48:F48">
    <cfRule type="cellIs" dxfId="3644" priority="568" operator="lessThan">
      <formula>1000</formula>
    </cfRule>
  </conditionalFormatting>
  <conditionalFormatting sqref="E59:F61">
    <cfRule type="expression" dxfId="3643" priority="555">
      <formula>($D$14="CANOPY TYPE")</formula>
    </cfRule>
  </conditionalFormatting>
  <conditionalFormatting sqref="E63:F63">
    <cfRule type="cellIs" dxfId="3642" priority="542" operator="lessThan">
      <formula>1000</formula>
    </cfRule>
  </conditionalFormatting>
  <conditionalFormatting sqref="E65:F65">
    <cfRule type="cellIs" dxfId="3641" priority="539" operator="lessThan">
      <formula>1000</formula>
    </cfRule>
  </conditionalFormatting>
  <conditionalFormatting sqref="E66:F66">
    <cfRule type="expression" dxfId="3640" priority="448">
      <formula>(C66="LIGHT SELECTION")</formula>
    </cfRule>
  </conditionalFormatting>
  <conditionalFormatting sqref="E76:F78">
    <cfRule type="expression" dxfId="3639" priority="525">
      <formula>($D$14="CANOPY TYPE")</formula>
    </cfRule>
  </conditionalFormatting>
  <conditionalFormatting sqref="E80:F80">
    <cfRule type="cellIs" dxfId="3638" priority="512" operator="lessThan">
      <formula>1000</formula>
    </cfRule>
  </conditionalFormatting>
  <conditionalFormatting sqref="E82:F82">
    <cfRule type="cellIs" dxfId="3637" priority="509" operator="lessThan">
      <formula>1000</formula>
    </cfRule>
  </conditionalFormatting>
  <conditionalFormatting sqref="E83:F83">
    <cfRule type="expression" dxfId="3636" priority="444">
      <formula>(C83="LIGHT SELECTION")</formula>
    </cfRule>
  </conditionalFormatting>
  <conditionalFormatting sqref="E93:F95">
    <cfRule type="expression" dxfId="3635" priority="494">
      <formula>($D$14="CANOPY TYPE")</formula>
    </cfRule>
  </conditionalFormatting>
  <conditionalFormatting sqref="E97:F97">
    <cfRule type="cellIs" dxfId="3634" priority="481" operator="lessThan">
      <formula>1000</formula>
    </cfRule>
  </conditionalFormatting>
  <conditionalFormatting sqref="E99:F99">
    <cfRule type="cellIs" dxfId="3633" priority="478" operator="lessThan">
      <formula>1000</formula>
    </cfRule>
  </conditionalFormatting>
  <conditionalFormatting sqref="E100:F100">
    <cfRule type="expression" dxfId="3632" priority="440">
      <formula>(C100="LIGHT SELECTION")</formula>
    </cfRule>
  </conditionalFormatting>
  <conditionalFormatting sqref="E110:F112 E127:F129 E161:F163 E178:F180">
    <cfRule type="expression" dxfId="3631" priority="464">
      <formula>($D$14="CANOPY TYPE")</formula>
    </cfRule>
  </conditionalFormatting>
  <conditionalFormatting sqref="E114:F114">
    <cfRule type="cellIs" dxfId="3630" priority="313" operator="lessThan">
      <formula>1000</formula>
    </cfRule>
  </conditionalFormatting>
  <conditionalFormatting sqref="E116:F116">
    <cfRule type="cellIs" dxfId="3629" priority="310" operator="lessThan">
      <formula>1000</formula>
    </cfRule>
  </conditionalFormatting>
  <conditionalFormatting sqref="E117:F117">
    <cfRule type="expression" dxfId="3628" priority="294">
      <formula>(C117="LIGHT SELECTION")</formula>
    </cfRule>
  </conditionalFormatting>
  <conditionalFormatting sqref="E131:F131">
    <cfRule type="cellIs" dxfId="3627" priority="176" operator="lessThan">
      <formula>1000</formula>
    </cfRule>
  </conditionalFormatting>
  <conditionalFormatting sqref="E133:F133">
    <cfRule type="cellIs" dxfId="3626" priority="173" operator="lessThan">
      <formula>1000</formula>
    </cfRule>
  </conditionalFormatting>
  <conditionalFormatting sqref="E134:F134">
    <cfRule type="expression" dxfId="3625" priority="125">
      <formula>(C134="LIGHT SELECTION")</formula>
    </cfRule>
  </conditionalFormatting>
  <conditionalFormatting sqref="E144:F146">
    <cfRule type="expression" dxfId="3624" priority="158">
      <formula>($D$14="CANOPY TYPE")</formula>
    </cfRule>
  </conditionalFormatting>
  <conditionalFormatting sqref="E148:F148">
    <cfRule type="cellIs" dxfId="3623" priority="145" operator="lessThan">
      <formula>1000</formula>
    </cfRule>
  </conditionalFormatting>
  <conditionalFormatting sqref="E150:F150">
    <cfRule type="cellIs" dxfId="3622" priority="142" operator="lessThan">
      <formula>1000</formula>
    </cfRule>
  </conditionalFormatting>
  <conditionalFormatting sqref="E151:F151">
    <cfRule type="expression" dxfId="3621" priority="121">
      <formula>(C151="LIGHT SELECTION")</formula>
    </cfRule>
  </conditionalFormatting>
  <conditionalFormatting sqref="E165:F165">
    <cfRule type="cellIs" dxfId="3620" priority="69" operator="lessThan">
      <formula>1000</formula>
    </cfRule>
  </conditionalFormatting>
  <conditionalFormatting sqref="E167:F167">
    <cfRule type="cellIs" dxfId="3619" priority="66" operator="lessThan">
      <formula>1000</formula>
    </cfRule>
  </conditionalFormatting>
  <conditionalFormatting sqref="E168:F168">
    <cfRule type="expression" dxfId="3618" priority="50">
      <formula>(C168="LIGHT SELECTION")</formula>
    </cfRule>
  </conditionalFormatting>
  <conditionalFormatting sqref="F12">
    <cfRule type="cellIs" dxfId="3617" priority="682" operator="greaterThan">
      <formula>3001</formula>
    </cfRule>
  </conditionalFormatting>
  <conditionalFormatting sqref="F15">
    <cfRule type="expression" dxfId="3616" priority="457">
      <formula>(C15="LED STRIP")</formula>
    </cfRule>
    <cfRule type="expression" dxfId="3615" priority="670">
      <formula>(C15="LIGHT SELECTION")</formula>
    </cfRule>
    <cfRule type="expression" dxfId="3614" priority="672">
      <formula>(C15="FLO")</formula>
    </cfRule>
    <cfRule type="expression" dxfId="3613" priority="704">
      <formula>(D49="LIGHT SELECTION")</formula>
    </cfRule>
  </conditionalFormatting>
  <conditionalFormatting sqref="F22:F23">
    <cfRule type="expression" dxfId="3612" priority="695">
      <formula>D22="NF"</formula>
    </cfRule>
    <cfRule type="expression" dxfId="3611" priority="696">
      <formula>D22="WW PODS"</formula>
    </cfRule>
    <cfRule type="expression" dxfId="3610" priority="697">
      <formula>D22="GRILLE"</formula>
    </cfRule>
    <cfRule type="expression" dxfId="3609" priority="698">
      <formula>D22="CENTREX"</formula>
    </cfRule>
    <cfRule type="expression" dxfId="3608" priority="699" stopIfTrue="1">
      <formula>D14="canopy type"</formula>
    </cfRule>
    <cfRule type="expression" dxfId="3607" priority="700">
      <formula>(((I14*3600)/(C22*I11))^2+20)&gt;300</formula>
    </cfRule>
    <cfRule type="expression" dxfId="3606" priority="701" stopIfTrue="1">
      <formula>(ISNUMBER(SEARCH("UV",D14)))</formula>
    </cfRule>
    <cfRule type="expression" dxfId="3605" priority="702">
      <formula>(((I14*3600)/(C22*I11))^2+20)&gt;180</formula>
    </cfRule>
    <cfRule type="expression" dxfId="3604" priority="703">
      <formula>D22="KSA"</formula>
    </cfRule>
  </conditionalFormatting>
  <conditionalFormatting sqref="F24">
    <cfRule type="cellIs" dxfId="3603" priority="676" operator="lessThan">
      <formula>2100</formula>
    </cfRule>
  </conditionalFormatting>
  <conditionalFormatting sqref="F29">
    <cfRule type="cellIs" dxfId="3602" priority="603" operator="greaterThan">
      <formula>3001</formula>
    </cfRule>
  </conditionalFormatting>
  <conditionalFormatting sqref="F32">
    <cfRule type="expression" dxfId="3601" priority="453">
      <formula>(C32="LED STRIP")</formula>
    </cfRule>
    <cfRule type="expression" dxfId="3600" priority="454">
      <formula>(C32="LIGHT SELECTION")</formula>
    </cfRule>
    <cfRule type="expression" dxfId="3599" priority="456">
      <formula>(C32="FLO")</formula>
    </cfRule>
  </conditionalFormatting>
  <conditionalFormatting sqref="F39:F40">
    <cfRule type="expression" dxfId="3598" priority="393">
      <formula>D39="NF"</formula>
    </cfRule>
    <cfRule type="expression" dxfId="3597" priority="394">
      <formula>D39="WW PODS"</formula>
    </cfRule>
    <cfRule type="expression" dxfId="3596" priority="395">
      <formula>D39="GRILLE"</formula>
    </cfRule>
    <cfRule type="expression" dxfId="3595" priority="396">
      <formula>D39="CENTREX"</formula>
    </cfRule>
    <cfRule type="expression" dxfId="3594" priority="397" stopIfTrue="1">
      <formula>D31="canopy type"</formula>
    </cfRule>
    <cfRule type="expression" dxfId="3593" priority="398">
      <formula>(((I31*3600)/(C39*I28))^2+20)&gt;300</formula>
    </cfRule>
    <cfRule type="expression" dxfId="3592" priority="399" stopIfTrue="1">
      <formula>(ISNUMBER(SEARCH("UV",D31)))</formula>
    </cfRule>
    <cfRule type="expression" dxfId="3591" priority="400">
      <formula>(((I31*3600)/(C39*I28))^2+20)&gt;180</formula>
    </cfRule>
    <cfRule type="expression" dxfId="3590" priority="401">
      <formula>D39="KSA"</formula>
    </cfRule>
  </conditionalFormatting>
  <conditionalFormatting sqref="F41">
    <cfRule type="cellIs" dxfId="3589" priority="597" operator="lessThan">
      <formula>2100</formula>
    </cfRule>
  </conditionalFormatting>
  <conditionalFormatting sqref="F46">
    <cfRule type="cellIs" dxfId="3588" priority="572" operator="greaterThan">
      <formula>3001</formula>
    </cfRule>
  </conditionalFormatting>
  <conditionalFormatting sqref="F49">
    <cfRule type="expression" dxfId="3587" priority="450">
      <formula>(C49="LED STRIP")</formula>
    </cfRule>
    <cfRule type="expression" dxfId="3586" priority="451">
      <formula>(C49="LIGHT SELECTION")</formula>
    </cfRule>
    <cfRule type="expression" dxfId="3585" priority="452">
      <formula>(C49="FLO")</formula>
    </cfRule>
    <cfRule type="expression" dxfId="3584" priority="705">
      <formula>(#REF!="LIGHT SELECTION")</formula>
    </cfRule>
  </conditionalFormatting>
  <conditionalFormatting sqref="F56:F57">
    <cfRule type="expression" dxfId="3583" priority="378">
      <formula>D56="NF"</formula>
    </cfRule>
    <cfRule type="expression" dxfId="3582" priority="379">
      <formula>D56="WW PODS"</formula>
    </cfRule>
    <cfRule type="expression" dxfId="3581" priority="380">
      <formula>D56="GRILLE"</formula>
    </cfRule>
    <cfRule type="expression" dxfId="3580" priority="381">
      <formula>D56="CENTREX"</formula>
    </cfRule>
    <cfRule type="expression" dxfId="3579" priority="382" stopIfTrue="1">
      <formula>D48="canopy type"</formula>
    </cfRule>
    <cfRule type="expression" dxfId="3578" priority="383">
      <formula>(((I48*3600)/(C56*I45))^2+20)&gt;300</formula>
    </cfRule>
    <cfRule type="expression" dxfId="3577" priority="384" stopIfTrue="1">
      <formula>(ISNUMBER(SEARCH("UV",D48)))</formula>
    </cfRule>
    <cfRule type="expression" dxfId="3576" priority="385">
      <formula>(((I48*3600)/(C56*I45))^2+20)&gt;180</formula>
    </cfRule>
    <cfRule type="expression" dxfId="3575" priority="386">
      <formula>D56="KSA"</formula>
    </cfRule>
  </conditionalFormatting>
  <conditionalFormatting sqref="F58">
    <cfRule type="cellIs" dxfId="3574" priority="566" operator="lessThan">
      <formula>2100</formula>
    </cfRule>
  </conditionalFormatting>
  <conditionalFormatting sqref="F63">
    <cfRule type="cellIs" dxfId="3573" priority="543" operator="greaterThan">
      <formula>3001</formula>
    </cfRule>
  </conditionalFormatting>
  <conditionalFormatting sqref="F66">
    <cfRule type="expression" dxfId="3572" priority="446">
      <formula>(C66="LED STRIP")</formula>
    </cfRule>
    <cfRule type="expression" dxfId="3571" priority="447">
      <formula>(C66="LIGHT SELECTION")</formula>
    </cfRule>
    <cfRule type="expression" dxfId="3570" priority="449">
      <formula>(C66="FLO")</formula>
    </cfRule>
  </conditionalFormatting>
  <conditionalFormatting sqref="F73:F74">
    <cfRule type="expression" dxfId="3569" priority="363">
      <formula>D73="NF"</formula>
    </cfRule>
    <cfRule type="expression" dxfId="3568" priority="364">
      <formula>D73="WW PODS"</formula>
    </cfRule>
    <cfRule type="expression" dxfId="3567" priority="365">
      <formula>D73="GRILLE"</formula>
    </cfRule>
    <cfRule type="expression" dxfId="3566" priority="366">
      <formula>D73="CENTREX"</formula>
    </cfRule>
    <cfRule type="expression" dxfId="3565" priority="367" stopIfTrue="1">
      <formula>D65="canopy type"</formula>
    </cfRule>
    <cfRule type="expression" dxfId="3564" priority="368">
      <formula>(((I65*3600)/(C73*I62))^2+20)&gt;300</formula>
    </cfRule>
    <cfRule type="expression" dxfId="3563" priority="369" stopIfTrue="1">
      <formula>(ISNUMBER(SEARCH("UV",D65)))</formula>
    </cfRule>
    <cfRule type="expression" dxfId="3562" priority="370">
      <formula>(((I65*3600)/(C73*I62))^2+20)&gt;180</formula>
    </cfRule>
    <cfRule type="expression" dxfId="3561" priority="371">
      <formula>D73="KSA"</formula>
    </cfRule>
  </conditionalFormatting>
  <conditionalFormatting sqref="F75">
    <cfRule type="cellIs" dxfId="3560" priority="537" operator="lessThan">
      <formula>2100</formula>
    </cfRule>
  </conditionalFormatting>
  <conditionalFormatting sqref="F80">
    <cfRule type="cellIs" dxfId="3559" priority="513" operator="greaterThan">
      <formula>3001</formula>
    </cfRule>
  </conditionalFormatting>
  <conditionalFormatting sqref="F83">
    <cfRule type="expression" dxfId="3558" priority="442">
      <formula>(C83="LED STRIP")</formula>
    </cfRule>
    <cfRule type="expression" dxfId="3557" priority="443">
      <formula>(C83="LIGHT SELECTION")</formula>
    </cfRule>
    <cfRule type="expression" dxfId="3556" priority="445">
      <formula>(C83="FLO")</formula>
    </cfRule>
  </conditionalFormatting>
  <conditionalFormatting sqref="F90:F91">
    <cfRule type="expression" dxfId="3555" priority="348">
      <formula>D90="NF"</formula>
    </cfRule>
    <cfRule type="expression" dxfId="3554" priority="349">
      <formula>D90="WW PODS"</formula>
    </cfRule>
    <cfRule type="expression" dxfId="3553" priority="350">
      <formula>D90="GRILLE"</formula>
    </cfRule>
    <cfRule type="expression" dxfId="3552" priority="351">
      <formula>D90="CENTREX"</formula>
    </cfRule>
    <cfRule type="expression" dxfId="3551" priority="352" stopIfTrue="1">
      <formula>D82="canopy type"</formula>
    </cfRule>
    <cfRule type="expression" dxfId="3550" priority="353">
      <formula>(((I82*3600)/(C90*I79))^2+20)&gt;300</formula>
    </cfRule>
    <cfRule type="expression" dxfId="3549" priority="354" stopIfTrue="1">
      <formula>(ISNUMBER(SEARCH("UV",D82)))</formula>
    </cfRule>
    <cfRule type="expression" dxfId="3548" priority="355">
      <formula>(((I82*3600)/(C90*I79))^2+20)&gt;180</formula>
    </cfRule>
    <cfRule type="expression" dxfId="3547" priority="356">
      <formula>D90="KSA"</formula>
    </cfRule>
  </conditionalFormatting>
  <conditionalFormatting sqref="F92">
    <cfRule type="cellIs" dxfId="3546" priority="507" operator="lessThan">
      <formula>2100</formula>
    </cfRule>
  </conditionalFormatting>
  <conditionalFormatting sqref="F97">
    <cfRule type="cellIs" dxfId="3545" priority="482" operator="greaterThan">
      <formula>3001</formula>
    </cfRule>
  </conditionalFormatting>
  <conditionalFormatting sqref="F100">
    <cfRule type="expression" dxfId="3544" priority="438">
      <formula>(C100="LED STRIP")</formula>
    </cfRule>
    <cfRule type="expression" dxfId="3543" priority="439">
      <formula>(C100="LIGHT SELECTION")</formula>
    </cfRule>
    <cfRule type="expression" dxfId="3542" priority="441">
      <formula>(C100="FLO")</formula>
    </cfRule>
  </conditionalFormatting>
  <conditionalFormatting sqref="F107:F108">
    <cfRule type="expression" dxfId="3541" priority="333">
      <formula>D107="NF"</formula>
    </cfRule>
    <cfRule type="expression" dxfId="3540" priority="334">
      <formula>D107="WW PODS"</formula>
    </cfRule>
    <cfRule type="expression" dxfId="3539" priority="335">
      <formula>D107="GRILLE"</formula>
    </cfRule>
    <cfRule type="expression" dxfId="3538" priority="336">
      <formula>D107="CENTREX"</formula>
    </cfRule>
    <cfRule type="expression" dxfId="3537" priority="337" stopIfTrue="1">
      <formula>D99="canopy type"</formula>
    </cfRule>
    <cfRule type="expression" dxfId="3536" priority="338">
      <formula>(((I99*3600)/(C107*I96))^2+20)&gt;300</formula>
    </cfRule>
    <cfRule type="expression" dxfId="3535" priority="339" stopIfTrue="1">
      <formula>(ISNUMBER(SEARCH("UV",D99)))</formula>
    </cfRule>
    <cfRule type="expression" dxfId="3534" priority="340">
      <formula>(((I99*3600)/(C107*I96))^2+20)&gt;180</formula>
    </cfRule>
    <cfRule type="expression" dxfId="3533" priority="341">
      <formula>D107="KSA"</formula>
    </cfRule>
  </conditionalFormatting>
  <conditionalFormatting sqref="F109">
    <cfRule type="cellIs" dxfId="3532" priority="476" operator="lessThan">
      <formula>2100</formula>
    </cfRule>
  </conditionalFormatting>
  <conditionalFormatting sqref="F114">
    <cfRule type="cellIs" dxfId="3531" priority="314" operator="greaterThan">
      <formula>3001</formula>
    </cfRule>
  </conditionalFormatting>
  <conditionalFormatting sqref="F117">
    <cfRule type="expression" dxfId="3530" priority="292">
      <formula>(C117="LED STRIP")</formula>
    </cfRule>
    <cfRule type="expression" dxfId="3529" priority="293">
      <formula>(C117="LIGHT SELECTION")</formula>
    </cfRule>
    <cfRule type="expression" dxfId="3528" priority="295">
      <formula>(C117="FLO")</formula>
    </cfRule>
  </conditionalFormatting>
  <conditionalFormatting sqref="F124:F125">
    <cfRule type="expression" dxfId="3527" priority="280">
      <formula>D124="NF"</formula>
    </cfRule>
    <cfRule type="expression" dxfId="3526" priority="281">
      <formula>D124="WW PODS"</formula>
    </cfRule>
    <cfRule type="expression" dxfId="3525" priority="282">
      <formula>D124="GRILLE"</formula>
    </cfRule>
    <cfRule type="expression" dxfId="3524" priority="283">
      <formula>D124="CENTREX"</formula>
    </cfRule>
    <cfRule type="expression" dxfId="3523" priority="284" stopIfTrue="1">
      <formula>D116="canopy type"</formula>
    </cfRule>
    <cfRule type="expression" dxfId="3522" priority="285">
      <formula>(((I116*3600)/(C124*I113))^2+20)&gt;300</formula>
    </cfRule>
    <cfRule type="expression" dxfId="3521" priority="286" stopIfTrue="1">
      <formula>(ISNUMBER(SEARCH("UV",D116)))</formula>
    </cfRule>
    <cfRule type="expression" dxfId="3520" priority="287">
      <formula>(((I116*3600)/(C124*I113))^2+20)&gt;180</formula>
    </cfRule>
    <cfRule type="expression" dxfId="3519" priority="288">
      <formula>D124="KSA"</formula>
    </cfRule>
  </conditionalFormatting>
  <conditionalFormatting sqref="F126">
    <cfRule type="cellIs" dxfId="3518" priority="308" operator="lessThan">
      <formula>2100</formula>
    </cfRule>
  </conditionalFormatting>
  <conditionalFormatting sqref="F131">
    <cfRule type="cellIs" dxfId="3517" priority="177" operator="greaterThan">
      <formula>3001</formula>
    </cfRule>
  </conditionalFormatting>
  <conditionalFormatting sqref="F134">
    <cfRule type="expression" dxfId="3516" priority="123">
      <formula>(C134="LED STRIP")</formula>
    </cfRule>
    <cfRule type="expression" dxfId="3515" priority="124">
      <formula>(C134="LIGHT SELECTION")</formula>
    </cfRule>
    <cfRule type="expression" dxfId="3514" priority="126">
      <formula>(C134="FLO")</formula>
    </cfRule>
  </conditionalFormatting>
  <conditionalFormatting sqref="F141:F142">
    <cfRule type="expression" dxfId="3513" priority="104">
      <formula>D141="NF"</formula>
    </cfRule>
    <cfRule type="expression" dxfId="3512" priority="105">
      <formula>D141="WW PODS"</formula>
    </cfRule>
    <cfRule type="expression" dxfId="3511" priority="106">
      <formula>D141="GRILLE"</formula>
    </cfRule>
    <cfRule type="expression" dxfId="3510" priority="107">
      <formula>D141="CENTREX"</formula>
    </cfRule>
    <cfRule type="expression" dxfId="3509" priority="108" stopIfTrue="1">
      <formula>D133="canopy type"</formula>
    </cfRule>
    <cfRule type="expression" dxfId="3508" priority="109">
      <formula>(((I133*3600)/(C141*I130))^2+20)&gt;300</formula>
    </cfRule>
    <cfRule type="expression" dxfId="3507" priority="110" stopIfTrue="1">
      <formula>(ISNUMBER(SEARCH("UV",D133)))</formula>
    </cfRule>
    <cfRule type="expression" dxfId="3506" priority="111">
      <formula>(((I133*3600)/(C141*I130))^2+20)&gt;180</formula>
    </cfRule>
    <cfRule type="expression" dxfId="3505" priority="112">
      <formula>D141="KSA"</formula>
    </cfRule>
  </conditionalFormatting>
  <conditionalFormatting sqref="F143">
    <cfRule type="cellIs" dxfId="3504" priority="171" operator="lessThan">
      <formula>2100</formula>
    </cfRule>
  </conditionalFormatting>
  <conditionalFormatting sqref="F148">
    <cfRule type="cellIs" dxfId="3503" priority="146" operator="greaterThan">
      <formula>3001</formula>
    </cfRule>
  </conditionalFormatting>
  <conditionalFormatting sqref="F151">
    <cfRule type="expression" dxfId="3502" priority="119">
      <formula>(C151="LED STRIP")</formula>
    </cfRule>
    <cfRule type="expression" dxfId="3501" priority="120">
      <formula>(C151="LIGHT SELECTION")</formula>
    </cfRule>
    <cfRule type="expression" dxfId="3500" priority="122">
      <formula>(C151="FLO")</formula>
    </cfRule>
  </conditionalFormatting>
  <conditionalFormatting sqref="F158:F159">
    <cfRule type="expression" dxfId="3499" priority="89">
      <formula>D158="NF"</formula>
    </cfRule>
    <cfRule type="expression" dxfId="3498" priority="90">
      <formula>D158="WW PODS"</formula>
    </cfRule>
    <cfRule type="expression" dxfId="3497" priority="91">
      <formula>D158="GRILLE"</formula>
    </cfRule>
    <cfRule type="expression" dxfId="3496" priority="92">
      <formula>D158="CENTREX"</formula>
    </cfRule>
    <cfRule type="expression" dxfId="3495" priority="93" stopIfTrue="1">
      <formula>D150="canopy type"</formula>
    </cfRule>
    <cfRule type="expression" dxfId="3494" priority="94">
      <formula>(((I150*3600)/(C158*I147))^2+20)&gt;300</formula>
    </cfRule>
    <cfRule type="expression" dxfId="3493" priority="95" stopIfTrue="1">
      <formula>(ISNUMBER(SEARCH("UV",D150)))</formula>
    </cfRule>
    <cfRule type="expression" dxfId="3492" priority="96">
      <formula>(((I150*3600)/(C158*I147))^2+20)&gt;180</formula>
    </cfRule>
    <cfRule type="expression" dxfId="3491" priority="97">
      <formula>D158="KSA"</formula>
    </cfRule>
  </conditionalFormatting>
  <conditionalFormatting sqref="F160">
    <cfRule type="cellIs" dxfId="3490" priority="140" operator="lessThan">
      <formula>2100</formula>
    </cfRule>
  </conditionalFormatting>
  <conditionalFormatting sqref="F165">
    <cfRule type="cellIs" dxfId="3489" priority="70" operator="greaterThan">
      <formula>3001</formula>
    </cfRule>
  </conditionalFormatting>
  <conditionalFormatting sqref="F168">
    <cfRule type="expression" dxfId="3488" priority="48">
      <formula>(C168="LED STRIP")</formula>
    </cfRule>
    <cfRule type="expression" dxfId="3487" priority="49">
      <formula>(C168="LIGHT SELECTION")</formula>
    </cfRule>
    <cfRule type="expression" dxfId="3486" priority="51">
      <formula>(C168="FLO")</formula>
    </cfRule>
  </conditionalFormatting>
  <conditionalFormatting sqref="F175:F176">
    <cfRule type="expression" dxfId="3485" priority="36">
      <formula>D175="NF"</formula>
    </cfRule>
    <cfRule type="expression" dxfId="3484" priority="37">
      <formula>D175="WW PODS"</formula>
    </cfRule>
    <cfRule type="expression" dxfId="3483" priority="38">
      <formula>D175="GRILLE"</formula>
    </cfRule>
    <cfRule type="expression" dxfId="3482" priority="39">
      <formula>D175="CENTREX"</formula>
    </cfRule>
    <cfRule type="expression" dxfId="3481" priority="40" stopIfTrue="1">
      <formula>D167="canopy type"</formula>
    </cfRule>
    <cfRule type="expression" dxfId="3480" priority="41">
      <formula>(((I167*3600)/(C175*I164))^2+20)&gt;300</formula>
    </cfRule>
    <cfRule type="expression" dxfId="3479" priority="42" stopIfTrue="1">
      <formula>(ISNUMBER(SEARCH("UV",D167)))</formula>
    </cfRule>
    <cfRule type="expression" dxfId="3478" priority="43">
      <formula>(((I167*3600)/(C175*I164))^2+20)&gt;180</formula>
    </cfRule>
    <cfRule type="expression" dxfId="3477" priority="44">
      <formula>D175="KSA"</formula>
    </cfRule>
  </conditionalFormatting>
  <conditionalFormatting sqref="F177">
    <cfRule type="cellIs" dxfId="3476" priority="64" operator="lessThan">
      <formula>2100</formula>
    </cfRule>
  </conditionalFormatting>
  <conditionalFormatting sqref="G11">
    <cfRule type="expression" dxfId="3475" priority="684">
      <formula>((F14-50)/H14)&lt;950</formula>
    </cfRule>
  </conditionalFormatting>
  <conditionalFormatting sqref="G12">
    <cfRule type="expression" dxfId="3474" priority="683">
      <formula>((F14-50)/H14)&lt;950</formula>
    </cfRule>
  </conditionalFormatting>
  <conditionalFormatting sqref="G14">
    <cfRule type="cellIs" dxfId="3473" priority="679" operator="lessThan">
      <formula>400</formula>
    </cfRule>
  </conditionalFormatting>
  <conditionalFormatting sqref="G28">
    <cfRule type="expression" dxfId="3472" priority="626">
      <formula>((F31-50)/H31)&lt;950</formula>
    </cfRule>
  </conditionalFormatting>
  <conditionalFormatting sqref="G29">
    <cfRule type="expression" dxfId="3471" priority="604">
      <formula>((F31-50)/H31)&lt;950</formula>
    </cfRule>
  </conditionalFormatting>
  <conditionalFormatting sqref="G31">
    <cfRule type="cellIs" dxfId="3470" priority="600" operator="lessThan">
      <formula>400</formula>
    </cfRule>
  </conditionalFormatting>
  <conditionalFormatting sqref="G45">
    <cfRule type="expression" dxfId="3469" priority="643">
      <formula>((F48-50)/H48)&lt;950</formula>
    </cfRule>
  </conditionalFormatting>
  <conditionalFormatting sqref="G46">
    <cfRule type="expression" dxfId="3468" priority="573">
      <formula>((F48-50)/H48)&lt;950</formula>
    </cfRule>
  </conditionalFormatting>
  <conditionalFormatting sqref="G48">
    <cfRule type="cellIs" dxfId="3467" priority="569" operator="lessThan">
      <formula>400</formula>
    </cfRule>
  </conditionalFormatting>
  <conditionalFormatting sqref="G62">
    <cfRule type="expression" dxfId="3466" priority="644">
      <formula>((F65-50)/H65)&lt;950</formula>
    </cfRule>
  </conditionalFormatting>
  <conditionalFormatting sqref="G63">
    <cfRule type="expression" dxfId="3465" priority="544">
      <formula>((F65-50)/H65)&lt;950</formula>
    </cfRule>
  </conditionalFormatting>
  <conditionalFormatting sqref="G65">
    <cfRule type="cellIs" dxfId="3464" priority="540" operator="lessThan">
      <formula>400</formula>
    </cfRule>
  </conditionalFormatting>
  <conditionalFormatting sqref="G79">
    <cfRule type="expression" dxfId="3463" priority="645">
      <formula>((F82-50)/H82)&lt;950</formula>
    </cfRule>
  </conditionalFormatting>
  <conditionalFormatting sqref="G80">
    <cfRule type="expression" dxfId="3462" priority="514">
      <formula>((F82-50)/H82)&lt;950</formula>
    </cfRule>
  </conditionalFormatting>
  <conditionalFormatting sqref="G82">
    <cfRule type="cellIs" dxfId="3461" priority="510" operator="lessThan">
      <formula>400</formula>
    </cfRule>
  </conditionalFormatting>
  <conditionalFormatting sqref="G96">
    <cfRule type="expression" dxfId="3460" priority="653">
      <formula>((F99-50)/H99)&lt;950</formula>
    </cfRule>
  </conditionalFormatting>
  <conditionalFormatting sqref="G97">
    <cfRule type="expression" dxfId="3459" priority="483">
      <formula>((F99-50)/H99)&lt;950</formula>
    </cfRule>
  </conditionalFormatting>
  <conditionalFormatting sqref="G99">
    <cfRule type="cellIs" dxfId="3458" priority="479" operator="lessThan">
      <formula>400</formula>
    </cfRule>
  </conditionalFormatting>
  <conditionalFormatting sqref="G113">
    <cfRule type="expression" dxfId="3457" priority="326">
      <formula>((F116-50)/H116)&lt;950</formula>
    </cfRule>
  </conditionalFormatting>
  <conditionalFormatting sqref="G114">
    <cfRule type="expression" dxfId="3456" priority="315">
      <formula>((F116-50)/H116)&lt;950</formula>
    </cfRule>
  </conditionalFormatting>
  <conditionalFormatting sqref="G116">
    <cfRule type="cellIs" dxfId="3455" priority="311" operator="lessThan">
      <formula>400</formula>
    </cfRule>
  </conditionalFormatting>
  <conditionalFormatting sqref="G130">
    <cfRule type="expression" dxfId="3454" priority="190">
      <formula>((F133-50)/H133)&lt;950</formula>
    </cfRule>
  </conditionalFormatting>
  <conditionalFormatting sqref="G131">
    <cfRule type="expression" dxfId="3453" priority="178">
      <formula>((F133-50)/H133)&lt;950</formula>
    </cfRule>
  </conditionalFormatting>
  <conditionalFormatting sqref="G133">
    <cfRule type="cellIs" dxfId="3452" priority="174" operator="lessThan">
      <formula>400</formula>
    </cfRule>
  </conditionalFormatting>
  <conditionalFormatting sqref="G147">
    <cfRule type="expression" dxfId="3451" priority="191">
      <formula>((F150-50)/H150)&lt;950</formula>
    </cfRule>
  </conditionalFormatting>
  <conditionalFormatting sqref="G148">
    <cfRule type="expression" dxfId="3450" priority="147">
      <formula>((F150-50)/H150)&lt;950</formula>
    </cfRule>
  </conditionalFormatting>
  <conditionalFormatting sqref="G150">
    <cfRule type="cellIs" dxfId="3449" priority="143" operator="lessThan">
      <formula>400</formula>
    </cfRule>
  </conditionalFormatting>
  <conditionalFormatting sqref="G164">
    <cfRule type="expression" dxfId="3448" priority="82">
      <formula>((F167-50)/H167)&lt;950</formula>
    </cfRule>
  </conditionalFormatting>
  <conditionalFormatting sqref="G165">
    <cfRule type="expression" dxfId="3447" priority="71">
      <formula>((F167-50)/H167)&lt;950</formula>
    </cfRule>
  </conditionalFormatting>
  <conditionalFormatting sqref="G167">
    <cfRule type="cellIs" dxfId="3446" priority="67" operator="lessThan">
      <formula>400</formula>
    </cfRule>
  </conditionalFormatting>
  <conditionalFormatting sqref="I14">
    <cfRule type="cellIs" dxfId="3445" priority="680" operator="lessThan">
      <formula>0.1</formula>
    </cfRule>
  </conditionalFormatting>
  <conditionalFormatting sqref="I31">
    <cfRule type="cellIs" dxfId="3444" priority="601" operator="lessThan">
      <formula>0.1</formula>
    </cfRule>
  </conditionalFormatting>
  <conditionalFormatting sqref="I48">
    <cfRule type="cellIs" dxfId="3443" priority="570" operator="lessThan">
      <formula>0.1</formula>
    </cfRule>
  </conditionalFormatting>
  <conditionalFormatting sqref="I65">
    <cfRule type="cellIs" dxfId="3442" priority="541" operator="lessThan">
      <formula>0.1</formula>
    </cfRule>
  </conditionalFormatting>
  <conditionalFormatting sqref="I82">
    <cfRule type="cellIs" dxfId="3441" priority="511" operator="lessThan">
      <formula>0.1</formula>
    </cfRule>
  </conditionalFormatting>
  <conditionalFormatting sqref="I99">
    <cfRule type="cellIs" dxfId="3440" priority="480" operator="lessThan">
      <formula>0.1</formula>
    </cfRule>
  </conditionalFormatting>
  <conditionalFormatting sqref="I116">
    <cfRule type="cellIs" dxfId="3439" priority="312" operator="lessThan">
      <formula>0.1</formula>
    </cfRule>
  </conditionalFormatting>
  <conditionalFormatting sqref="I133">
    <cfRule type="cellIs" dxfId="3438" priority="175" operator="lessThan">
      <formula>0.1</formula>
    </cfRule>
  </conditionalFormatting>
  <conditionalFormatting sqref="I150">
    <cfRule type="cellIs" dxfId="3437" priority="144" operator="lessThan">
      <formula>0.1</formula>
    </cfRule>
  </conditionalFormatting>
  <conditionalFormatting sqref="I167">
    <cfRule type="cellIs" dxfId="3436" priority="68" operator="lessThan">
      <formula>0.1</formula>
    </cfRule>
  </conditionalFormatting>
  <conditionalFormatting sqref="J14:J27">
    <cfRule type="cellIs" dxfId="3435" priority="404" operator="greaterThan">
      <formula>0</formula>
    </cfRule>
  </conditionalFormatting>
  <conditionalFormatting sqref="J31:J44">
    <cfRule type="cellIs" dxfId="3434" priority="261" operator="greaterThan">
      <formula>0</formula>
    </cfRule>
  </conditionalFormatting>
  <conditionalFormatting sqref="J48:J61">
    <cfRule type="cellIs" dxfId="3433" priority="250" operator="greaterThan">
      <formula>0</formula>
    </cfRule>
  </conditionalFormatting>
  <conditionalFormatting sqref="J65:J78">
    <cfRule type="cellIs" dxfId="3432" priority="239" operator="greaterThan">
      <formula>0</formula>
    </cfRule>
  </conditionalFormatting>
  <conditionalFormatting sqref="J82:J95">
    <cfRule type="cellIs" dxfId="3431" priority="228" operator="greaterThan">
      <formula>0</formula>
    </cfRule>
  </conditionalFormatting>
  <conditionalFormatting sqref="J99:J112">
    <cfRule type="cellIs" dxfId="3430" priority="217" operator="greaterThan">
      <formula>0</formula>
    </cfRule>
  </conditionalFormatting>
  <conditionalFormatting sqref="J116:J129 J167:J180">
    <cfRule type="cellIs" dxfId="3429" priority="206" operator="greaterThan">
      <formula>0</formula>
    </cfRule>
  </conditionalFormatting>
  <conditionalFormatting sqref="J133:J146">
    <cfRule type="cellIs" dxfId="3428" priority="19" operator="greaterThan">
      <formula>0</formula>
    </cfRule>
  </conditionalFormatting>
  <conditionalFormatting sqref="J150:J163">
    <cfRule type="cellIs" dxfId="3427" priority="8" operator="greaterThan">
      <formula>0</formula>
    </cfRule>
  </conditionalFormatting>
  <conditionalFormatting sqref="J183:J197">
    <cfRule type="expression" dxfId="3426" priority="654">
      <formula>C183&gt;0</formula>
    </cfRule>
  </conditionalFormatting>
  <conditionalFormatting sqref="J199">
    <cfRule type="expression" dxfId="3425" priority="659">
      <formula>#REF!="EURO"</formula>
    </cfRule>
  </conditionalFormatting>
  <conditionalFormatting sqref="K14:K27">
    <cfRule type="cellIs" dxfId="3424" priority="418" operator="greaterThan">
      <formula>0</formula>
    </cfRule>
  </conditionalFormatting>
  <conditionalFormatting sqref="K31:K44">
    <cfRule type="cellIs" dxfId="3423" priority="262" operator="greaterThan">
      <formula>0</formula>
    </cfRule>
  </conditionalFormatting>
  <conditionalFormatting sqref="K48:K61">
    <cfRule type="cellIs" dxfId="3422" priority="251" operator="greaterThan">
      <formula>0</formula>
    </cfRule>
  </conditionalFormatting>
  <conditionalFormatting sqref="K65:K78">
    <cfRule type="cellIs" dxfId="3421" priority="240" operator="greaterThan">
      <formula>0</formula>
    </cfRule>
  </conditionalFormatting>
  <conditionalFormatting sqref="K82:K95">
    <cfRule type="cellIs" dxfId="3420" priority="229" operator="greaterThan">
      <formula>0</formula>
    </cfRule>
  </conditionalFormatting>
  <conditionalFormatting sqref="K99:K112">
    <cfRule type="cellIs" dxfId="3419" priority="218" operator="greaterThan">
      <formula>0</formula>
    </cfRule>
  </conditionalFormatting>
  <conditionalFormatting sqref="K116:K129 K167:K180">
    <cfRule type="cellIs" dxfId="3418" priority="207" operator="greaterThan">
      <formula>0</formula>
    </cfRule>
  </conditionalFormatting>
  <conditionalFormatting sqref="K133:K146">
    <cfRule type="cellIs" dxfId="3417" priority="20" operator="greaterThan">
      <formula>0</formula>
    </cfRule>
  </conditionalFormatting>
  <conditionalFormatting sqref="K150:K163">
    <cfRule type="cellIs" dxfId="3416" priority="9" operator="greaterThan">
      <formula>0</formula>
    </cfRule>
  </conditionalFormatting>
  <conditionalFormatting sqref="K183:K197">
    <cfRule type="cellIs" dxfId="3415" priority="661" operator="greaterThan">
      <formula>0</formula>
    </cfRule>
  </conditionalFormatting>
  <conditionalFormatting sqref="K199">
    <cfRule type="expression" dxfId="3414" priority="655">
      <formula>$B$9="PLN"</formula>
    </cfRule>
    <cfRule type="expression" dxfId="3413" priority="656">
      <formula>$B$9="CZK"</formula>
    </cfRule>
    <cfRule type="expression" dxfId="3412" priority="657">
      <formula>$B$9="USD"</formula>
    </cfRule>
    <cfRule type="expression" dxfId="3411" priority="658">
      <formula>$B$9="EURO"</formula>
    </cfRule>
  </conditionalFormatting>
  <conditionalFormatting sqref="L14:L27">
    <cfRule type="expression" dxfId="3410" priority="415">
      <formula>$C$9&lt;0</formula>
    </cfRule>
    <cfRule type="expression" dxfId="3409" priority="416">
      <formula>$C$9&gt;0</formula>
    </cfRule>
  </conditionalFormatting>
  <conditionalFormatting sqref="L31:L44">
    <cfRule type="expression" dxfId="3408" priority="204">
      <formula>$C$9&lt;0</formula>
    </cfRule>
    <cfRule type="expression" dxfId="3407" priority="205">
      <formula>$C$9&gt;0</formula>
    </cfRule>
  </conditionalFormatting>
  <conditionalFormatting sqref="L48:L61">
    <cfRule type="expression" dxfId="3406" priority="202">
      <formula>$C$9&lt;0</formula>
    </cfRule>
    <cfRule type="expression" dxfId="3405" priority="203">
      <formula>$C$9&gt;0</formula>
    </cfRule>
  </conditionalFormatting>
  <conditionalFormatting sqref="L65:L78">
    <cfRule type="expression" dxfId="3404" priority="200">
      <formula>$C$9&lt;0</formula>
    </cfRule>
    <cfRule type="expression" dxfId="3403" priority="201">
      <formula>$C$9&gt;0</formula>
    </cfRule>
  </conditionalFormatting>
  <conditionalFormatting sqref="L82:L95">
    <cfRule type="expression" dxfId="3402" priority="198">
      <formula>$C$9&lt;0</formula>
    </cfRule>
    <cfRule type="expression" dxfId="3401" priority="199">
      <formula>$C$9&gt;0</formula>
    </cfRule>
  </conditionalFormatting>
  <conditionalFormatting sqref="L99:L112">
    <cfRule type="expression" dxfId="3400" priority="196">
      <formula>$C$9&lt;0</formula>
    </cfRule>
    <cfRule type="expression" dxfId="3399" priority="197">
      <formula>$C$9&gt;0</formula>
    </cfRule>
  </conditionalFormatting>
  <conditionalFormatting sqref="L116:L129 L167:L180">
    <cfRule type="expression" dxfId="3398" priority="194">
      <formula>$C$9&lt;0</formula>
    </cfRule>
    <cfRule type="expression" dxfId="3397" priority="195">
      <formula>$C$9&gt;0</formula>
    </cfRule>
  </conditionalFormatting>
  <conditionalFormatting sqref="L133:L146">
    <cfRule type="expression" dxfId="3396" priority="3">
      <formula>$C$9&lt;0</formula>
    </cfRule>
    <cfRule type="expression" dxfId="3395" priority="4">
      <formula>$C$9&gt;0</formula>
    </cfRule>
  </conditionalFormatting>
  <conditionalFormatting sqref="L150:L163">
    <cfRule type="expression" dxfId="3394" priority="1">
      <formula>$C$9&lt;0</formula>
    </cfRule>
    <cfRule type="expression" dxfId="3393" priority="2">
      <formula>$C$9&gt;0</formula>
    </cfRule>
  </conditionalFormatting>
  <conditionalFormatting sqref="L183:L197">
    <cfRule type="expression" dxfId="3392" priority="192">
      <formula>$C$9&lt;0</formula>
    </cfRule>
    <cfRule type="expression" dxfId="3391" priority="193">
      <formula>$C$9&gt;0</formula>
    </cfRule>
  </conditionalFormatting>
  <conditionalFormatting sqref="N9 N12">
    <cfRule type="expression" dxfId="3390" priority="691">
      <formula>$B$9="PLN"</formula>
    </cfRule>
    <cfRule type="expression" dxfId="3389" priority="692">
      <formula>$B$9="CZK"</formula>
    </cfRule>
    <cfRule type="expression" dxfId="3388" priority="693">
      <formula>$B$9="USD"</formula>
    </cfRule>
    <cfRule type="expression" dxfId="3387" priority="694">
      <formula>$B$9="EURO"</formula>
    </cfRule>
  </conditionalFormatting>
  <conditionalFormatting sqref="N14:N27">
    <cfRule type="cellIs" dxfId="3386" priority="630" operator="greaterThan">
      <formula>0</formula>
    </cfRule>
    <cfRule type="expression" dxfId="3385" priority="631">
      <formula>$B$9="EURO"</formula>
    </cfRule>
    <cfRule type="expression" dxfId="3384" priority="632">
      <formula>$B$9="USD"</formula>
    </cfRule>
    <cfRule type="expression" dxfId="3383" priority="633">
      <formula>$B$9="PLN"</formula>
    </cfRule>
    <cfRule type="expression" dxfId="3382" priority="634">
      <formula>$B$9="CZK"</formula>
    </cfRule>
  </conditionalFormatting>
  <conditionalFormatting sqref="N29">
    <cfRule type="expression" dxfId="3381" priority="610">
      <formula>$B$9="PLN"</formula>
    </cfRule>
    <cfRule type="expression" dxfId="3380" priority="611">
      <formula>$B$9="CZK"</formula>
    </cfRule>
    <cfRule type="expression" dxfId="3379" priority="612">
      <formula>$B$9="USD"</formula>
    </cfRule>
    <cfRule type="expression" dxfId="3378" priority="613">
      <formula>$B$9="EURO"</formula>
    </cfRule>
  </conditionalFormatting>
  <conditionalFormatting sqref="N31:N44">
    <cfRule type="cellIs" dxfId="3377" priority="265" operator="greaterThan">
      <formula>0</formula>
    </cfRule>
    <cfRule type="expression" dxfId="3376" priority="266">
      <formula>$B$9="EURO"</formula>
    </cfRule>
    <cfRule type="expression" dxfId="3375" priority="267">
      <formula>$B$9="USD"</formula>
    </cfRule>
    <cfRule type="expression" dxfId="3374" priority="268">
      <formula>$B$9="PLN"</formula>
    </cfRule>
    <cfRule type="expression" dxfId="3373" priority="269">
      <formula>$B$9="CZK"</formula>
    </cfRule>
  </conditionalFormatting>
  <conditionalFormatting sqref="N46">
    <cfRule type="expression" dxfId="3372" priority="579">
      <formula>$B$9="PLN"</formula>
    </cfRule>
    <cfRule type="expression" dxfId="3371" priority="580">
      <formula>$B$9="CZK"</formula>
    </cfRule>
    <cfRule type="expression" dxfId="3370" priority="581">
      <formula>$B$9="USD"</formula>
    </cfRule>
    <cfRule type="expression" dxfId="3369" priority="582">
      <formula>$B$9="EURO"</formula>
    </cfRule>
  </conditionalFormatting>
  <conditionalFormatting sqref="N48:N61">
    <cfRule type="cellIs" dxfId="3368" priority="254" operator="greaterThan">
      <formula>0</formula>
    </cfRule>
    <cfRule type="expression" dxfId="3367" priority="255">
      <formula>$B$9="EURO"</formula>
    </cfRule>
    <cfRule type="expression" dxfId="3366" priority="256">
      <formula>$B$9="USD"</formula>
    </cfRule>
    <cfRule type="expression" dxfId="3365" priority="257">
      <formula>$B$9="PLN"</formula>
    </cfRule>
    <cfRule type="expression" dxfId="3364" priority="258">
      <formula>$B$9="CZK"</formula>
    </cfRule>
  </conditionalFormatting>
  <conditionalFormatting sqref="N63">
    <cfRule type="expression" dxfId="3363" priority="550">
      <formula>$B$9="PLN"</formula>
    </cfRule>
    <cfRule type="expression" dxfId="3362" priority="551">
      <formula>$B$9="CZK"</formula>
    </cfRule>
    <cfRule type="expression" dxfId="3361" priority="552">
      <formula>$B$9="USD"</formula>
    </cfRule>
    <cfRule type="expression" dxfId="3360" priority="553">
      <formula>$B$9="EURO"</formula>
    </cfRule>
  </conditionalFormatting>
  <conditionalFormatting sqref="N65:N78">
    <cfRule type="cellIs" dxfId="3359" priority="243" operator="greaterThan">
      <formula>0</formula>
    </cfRule>
    <cfRule type="expression" dxfId="3358" priority="244">
      <formula>$B$9="EURO"</formula>
    </cfRule>
    <cfRule type="expression" dxfId="3357" priority="245">
      <formula>$B$9="USD"</formula>
    </cfRule>
    <cfRule type="expression" dxfId="3356" priority="246">
      <formula>$B$9="PLN"</formula>
    </cfRule>
    <cfRule type="expression" dxfId="3355" priority="247">
      <formula>$B$9="CZK"</formula>
    </cfRule>
  </conditionalFormatting>
  <conditionalFormatting sqref="N80">
    <cfRule type="expression" dxfId="3354" priority="520">
      <formula>$B$9="PLN"</formula>
    </cfRule>
    <cfRule type="expression" dxfId="3353" priority="521">
      <formula>$B$9="CZK"</formula>
    </cfRule>
    <cfRule type="expression" dxfId="3352" priority="522">
      <formula>$B$9="USD"</formula>
    </cfRule>
    <cfRule type="expression" dxfId="3351" priority="523">
      <formula>$B$9="EURO"</formula>
    </cfRule>
  </conditionalFormatting>
  <conditionalFormatting sqref="N82:N95">
    <cfRule type="cellIs" dxfId="3350" priority="232" operator="greaterThan">
      <formula>0</formula>
    </cfRule>
    <cfRule type="expression" dxfId="3349" priority="233">
      <formula>$B$9="EURO"</formula>
    </cfRule>
    <cfRule type="expression" dxfId="3348" priority="234">
      <formula>$B$9="USD"</formula>
    </cfRule>
    <cfRule type="expression" dxfId="3347" priority="235">
      <formula>$B$9="PLN"</formula>
    </cfRule>
    <cfRule type="expression" dxfId="3346" priority="236">
      <formula>$B$9="CZK"</formula>
    </cfRule>
  </conditionalFormatting>
  <conditionalFormatting sqref="N97">
    <cfRule type="expression" dxfId="3345" priority="489">
      <formula>$B$9="PLN"</formula>
    </cfRule>
    <cfRule type="expression" dxfId="3344" priority="490">
      <formula>$B$9="CZK"</formula>
    </cfRule>
    <cfRule type="expression" dxfId="3343" priority="491">
      <formula>$B$9="USD"</formula>
    </cfRule>
    <cfRule type="expression" dxfId="3342" priority="492">
      <formula>$B$9="EURO"</formula>
    </cfRule>
  </conditionalFormatting>
  <conditionalFormatting sqref="N99:N112">
    <cfRule type="cellIs" dxfId="3341" priority="221" operator="greaterThan">
      <formula>0</formula>
    </cfRule>
    <cfRule type="expression" dxfId="3340" priority="222">
      <formula>$B$9="EURO"</formula>
    </cfRule>
    <cfRule type="expression" dxfId="3339" priority="223">
      <formula>$B$9="USD"</formula>
    </cfRule>
    <cfRule type="expression" dxfId="3338" priority="224">
      <formula>$B$9="PLN"</formula>
    </cfRule>
    <cfRule type="expression" dxfId="3337" priority="225">
      <formula>$B$9="CZK"</formula>
    </cfRule>
  </conditionalFormatting>
  <conditionalFormatting sqref="N114">
    <cfRule type="expression" dxfId="3336" priority="321">
      <formula>$B$9="PLN"</formula>
    </cfRule>
    <cfRule type="expression" dxfId="3335" priority="322">
      <formula>$B$9="CZK"</formula>
    </cfRule>
    <cfRule type="expression" dxfId="3334" priority="323">
      <formula>$B$9="USD"</formula>
    </cfRule>
    <cfRule type="expression" dxfId="3333" priority="324">
      <formula>$B$9="EURO"</formula>
    </cfRule>
  </conditionalFormatting>
  <conditionalFormatting sqref="N116:N129 N167:N180">
    <cfRule type="cellIs" dxfId="3332" priority="210" operator="greaterThan">
      <formula>0</formula>
    </cfRule>
    <cfRule type="expression" dxfId="3331" priority="211">
      <formula>$B$9="EURO"</formula>
    </cfRule>
    <cfRule type="expression" dxfId="3330" priority="212">
      <formula>$B$9="USD"</formula>
    </cfRule>
    <cfRule type="expression" dxfId="3329" priority="213">
      <formula>$B$9="PLN"</formula>
    </cfRule>
    <cfRule type="expression" dxfId="3328" priority="214">
      <formula>$B$9="CZK"</formula>
    </cfRule>
  </conditionalFormatting>
  <conditionalFormatting sqref="N131">
    <cfRule type="expression" dxfId="3327" priority="184">
      <formula>$B$9="PLN"</formula>
    </cfRule>
    <cfRule type="expression" dxfId="3326" priority="185">
      <formula>$B$9="CZK"</formula>
    </cfRule>
    <cfRule type="expression" dxfId="3325" priority="186">
      <formula>$B$9="USD"</formula>
    </cfRule>
    <cfRule type="expression" dxfId="3324" priority="187">
      <formula>$B$9="EURO"</formula>
    </cfRule>
  </conditionalFormatting>
  <conditionalFormatting sqref="N133:N146">
    <cfRule type="cellIs" dxfId="3323" priority="23" operator="greaterThan">
      <formula>0</formula>
    </cfRule>
    <cfRule type="expression" dxfId="3322" priority="24">
      <formula>$B$9="EURO"</formula>
    </cfRule>
    <cfRule type="expression" dxfId="3321" priority="25">
      <formula>$B$9="USD"</formula>
    </cfRule>
    <cfRule type="expression" dxfId="3320" priority="26">
      <formula>$B$9="PLN"</formula>
    </cfRule>
    <cfRule type="expression" dxfId="3319" priority="27">
      <formula>$B$9="CZK"</formula>
    </cfRule>
  </conditionalFormatting>
  <conditionalFormatting sqref="N148">
    <cfRule type="expression" dxfId="3318" priority="153">
      <formula>$B$9="PLN"</formula>
    </cfRule>
    <cfRule type="expression" dxfId="3317" priority="154">
      <formula>$B$9="CZK"</formula>
    </cfRule>
    <cfRule type="expression" dxfId="3316" priority="155">
      <formula>$B$9="USD"</formula>
    </cfRule>
    <cfRule type="expression" dxfId="3315" priority="156">
      <formula>$B$9="EURO"</formula>
    </cfRule>
  </conditionalFormatting>
  <conditionalFormatting sqref="N150:N163">
    <cfRule type="cellIs" dxfId="3314" priority="12" operator="greaterThan">
      <formula>0</formula>
    </cfRule>
    <cfRule type="expression" dxfId="3313" priority="13">
      <formula>$B$9="EURO"</formula>
    </cfRule>
    <cfRule type="expression" dxfId="3312" priority="14">
      <formula>$B$9="USD"</formula>
    </cfRule>
    <cfRule type="expression" dxfId="3311" priority="15">
      <formula>$B$9="PLN"</formula>
    </cfRule>
    <cfRule type="expression" dxfId="3310" priority="16">
      <formula>$B$9="CZK"</formula>
    </cfRule>
  </conditionalFormatting>
  <conditionalFormatting sqref="N165">
    <cfRule type="expression" dxfId="3309" priority="77">
      <formula>$B$9="PLN"</formula>
    </cfRule>
    <cfRule type="expression" dxfId="3308" priority="78">
      <formula>$B$9="CZK"</formula>
    </cfRule>
    <cfRule type="expression" dxfId="3307" priority="79">
      <formula>$B$9="USD"</formula>
    </cfRule>
    <cfRule type="expression" dxfId="3306" priority="80">
      <formula>$B$9="EURO"</formula>
    </cfRule>
  </conditionalFormatting>
  <conditionalFormatting sqref="N183:N197">
    <cfRule type="cellIs" dxfId="3305" priority="638" operator="greaterThan">
      <formula>0</formula>
    </cfRule>
    <cfRule type="expression" dxfId="3304" priority="639">
      <formula>$B$9="EURO"</formula>
    </cfRule>
    <cfRule type="expression" dxfId="3303" priority="640">
      <formula>$B$9="USD"</formula>
    </cfRule>
    <cfRule type="expression" dxfId="3302" priority="641">
      <formula>$B$9="PLN"</formula>
    </cfRule>
    <cfRule type="expression" dxfId="3301" priority="642">
      <formula>$B$9="CZK"</formula>
    </cfRule>
  </conditionalFormatting>
  <conditionalFormatting sqref="N182:O182">
    <cfRule type="expression" dxfId="3300" priority="646">
      <formula>$B$9="PLN"</formula>
    </cfRule>
    <cfRule type="expression" dxfId="3299" priority="647">
      <formula>$B$9="CZK"</formula>
    </cfRule>
    <cfRule type="expression" dxfId="3298" priority="648">
      <formula>$B$9="USD"</formula>
    </cfRule>
    <cfRule type="expression" dxfId="3297" priority="649">
      <formula>$B$9="EURO"</formula>
    </cfRule>
  </conditionalFormatting>
  <conditionalFormatting sqref="O14:O27">
    <cfRule type="cellIs" dxfId="3296" priority="635" operator="greaterThan">
      <formula>0</formula>
    </cfRule>
  </conditionalFormatting>
  <conditionalFormatting sqref="O31:O44">
    <cfRule type="cellIs" dxfId="3295" priority="270" operator="greaterThan">
      <formula>0</formula>
    </cfRule>
  </conditionalFormatting>
  <conditionalFormatting sqref="O48:O61">
    <cfRule type="cellIs" dxfId="3294" priority="259" operator="greaterThan">
      <formula>0</formula>
    </cfRule>
  </conditionalFormatting>
  <conditionalFormatting sqref="O65:O78">
    <cfRule type="cellIs" dxfId="3293" priority="248" operator="greaterThan">
      <formula>0</formula>
    </cfRule>
  </conditionalFormatting>
  <conditionalFormatting sqref="O82:O95">
    <cfRule type="cellIs" dxfId="3292" priority="237" operator="greaterThan">
      <formula>0</formula>
    </cfRule>
  </conditionalFormatting>
  <conditionalFormatting sqref="O99:O112">
    <cfRule type="cellIs" dxfId="3291" priority="226" operator="greaterThan">
      <formula>0</formula>
    </cfRule>
  </conditionalFormatting>
  <conditionalFormatting sqref="O116:O129 O167:O180">
    <cfRule type="cellIs" dxfId="3290" priority="215" operator="greaterThan">
      <formula>0</formula>
    </cfRule>
  </conditionalFormatting>
  <conditionalFormatting sqref="O133:O146">
    <cfRule type="cellIs" dxfId="3289" priority="28" operator="greaterThan">
      <formula>0</formula>
    </cfRule>
  </conditionalFormatting>
  <conditionalFormatting sqref="O150:O163">
    <cfRule type="cellIs" dxfId="3288" priority="17" operator="greaterThan">
      <formula>0</formula>
    </cfRule>
  </conditionalFormatting>
  <conditionalFormatting sqref="O183:O197">
    <cfRule type="cellIs" dxfId="3287" priority="660" operator="greaterThan">
      <formula>0</formula>
    </cfRule>
  </conditionalFormatting>
  <conditionalFormatting sqref="Q16">
    <cfRule type="cellIs" dxfId="3286" priority="405" operator="greaterThan">
      <formula>0</formula>
    </cfRule>
    <cfRule type="expression" dxfId="3285" priority="406">
      <formula>$B$9="EURO"</formula>
    </cfRule>
    <cfRule type="expression" dxfId="3284" priority="407">
      <formula>$B$9="USD"</formula>
    </cfRule>
    <cfRule type="expression" dxfId="3283" priority="408">
      <formula>$B$9="PLN"</formula>
    </cfRule>
    <cfRule type="expression" dxfId="3282" priority="409">
      <formula>$B$9="CZK"</formula>
    </cfRule>
  </conditionalFormatting>
  <dataValidations count="7">
    <dataValidation type="list" allowBlank="1" showInputMessage="1" showErrorMessage="1" sqref="C27 C78 C95 C44 C61 C112 C129 C146 C163 C180" xr:uid="{512A2E93-EE3B-CF47-AC81-90BD626758AD}">
      <formula1>"0,0.5,1,1.5,2,2.5,3,3.5,4,4.5,5"</formula1>
    </dataValidation>
    <dataValidation type="list" allowBlank="1" showInputMessage="1" showErrorMessage="1" errorTitle="Minimum number of sections " error="Must be greater than zero" sqref="H14 H65 H48 H31 H82 H99 H116 H133 H150 H167" xr:uid="{48D6FD21-A74E-164B-9CC8-6880D7DD6F8A}">
      <formula1>"1,2,3,4,5,6,7,8,9,10"</formula1>
    </dataValidation>
    <dataValidation type="list" allowBlank="1" showInputMessage="1" showErrorMessage="1" sqref="C71:C72 C37:C38 C88:C89 C20:C21 I84 I16 C54:C55 I67 I33 I50 C105:C106 I101 C122:C123 I118 C139:C140 I135 C156:C157 I152 C173:C174 I169" xr:uid="{000BB948-69E8-3545-98FD-4FD4E115C63E}">
      <formula1>"0,1,2,3,4,5,6,7,8,9,10,11,12,13,14,15,16,17,18,19,20"</formula1>
    </dataValidation>
    <dataValidation operator="greaterThan" allowBlank="1" showInputMessage="1" showErrorMessage="1" sqref="E14 E65 E48 E31 E82 E99 E116 E133 E150 E167" xr:uid="{53D9B9BF-358E-C94A-947F-6C590F3860EB}"/>
    <dataValidation type="list" allowBlank="1" showInputMessage="1" showErrorMessage="1" sqref="C99 C31 C82 C65 C48 C14 C116 C150 C133 C167" xr:uid="{DB0FFB24-6FC6-B443-9D71-F0CC2B983935}">
      <formula1>"WALL, ISLAND"</formula1>
    </dataValidation>
    <dataValidation type="list" allowBlank="1" showInputMessage="1" showErrorMessage="1" sqref="G181" xr:uid="{125BA025-1347-8D4C-9ADC-0CD7A50E1EAB}">
      <formula1>#REF!</formula1>
    </dataValidation>
    <dataValidation type="list" allowBlank="1" showInputMessage="1" showErrorMessage="1" sqref="D26 D94 D77 D60 D43 D111 D128 D145 D162 D179" xr:uid="{236FCBD5-EBF6-1645-99CE-BEFA3AA679D0}">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530B6A3E-E04D-F148-9AF6-CF219443E223}">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DE7918DD-CCC7-7640-A9FC-90130CD4902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8FAB4B58-1BBD-294F-A7FA-63041F2AFBA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799B100F-0FB1-CB41-AABF-91B17CEA250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562C7DDC-AFBF-534A-849F-7E953AFD8EBB}">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E042EA4C-FEC1-C443-9742-B91695FDBC0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1799B5E7-4305-4848-B209-EC959DD10150}">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C9EDBCEF-1A2C-1B42-916A-5FCFB66AEAC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4FFC7375-F1FE-3742-AD59-8C806096D6F1}">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DECFC552-871E-C04D-BBCF-FC0DB77E000C}">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E6CAA0B9-8D77-F64D-8D4E-03305E5440A3}">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08561986-4EA5-ED48-86EC-54C88BEF5997}">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BFABE09D-B05B-1E47-BEB6-A6C0E65521AF}">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8B52146C-45B8-7942-A932-6164DCA738C1}">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3E5A714E-964D-D046-889E-A617927CB9D2}">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A389F34E-7D04-304A-8A8F-B742B85EF43B}">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2B5B2C68-5D82-4342-AA6B-05D4A14A4FFA}">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D98B0643-461C-CE41-8CBF-D98D23F36B0F}">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0E1BC753-D85F-0F45-886C-1E842643E94A}">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2BF3B562-D6E1-D84E-9C94-7D7C585CFD2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305F4EBA-3FEF-F34C-99A3-2335BBD415A1}">
          <x14:formula1>
            <xm:f>'Base Costs'!$M$4:$M$23</xm:f>
          </x14:formula1>
          <xm:sqref>C15</xm:sqref>
        </x14:dataValidation>
        <x14:dataValidation type="list" allowBlank="1" showInputMessage="1" showErrorMessage="1" xr:uid="{28D0CA36-625F-F549-A199-4220E23073A4}">
          <x14:formula1>
            <xm:f>'Base Costs'!$M$4:$M$21</xm:f>
          </x14:formula1>
          <xm:sqref>C32 C151 C134 C168 C100 C49 C66 C83 C117</xm:sqref>
        </x14:dataValidation>
        <x14:dataValidation type="list" allowBlank="1" showInputMessage="1" showErrorMessage="1" xr:uid="{E7958AC6-D232-2240-ABC8-78726AD98523}">
          <x14:formula1>
            <xm:f>'Base Costs'!$A$39:$A$53</xm:f>
          </x14:formula1>
          <xm:sqref>D14 D150 D133 D167 D31 D99 D48 D82 D65 D116</xm:sqref>
        </x14:dataValidation>
        <x14:dataValidation type="list" allowBlank="1" showInputMessage="1" showErrorMessage="1" xr:uid="{33F03350-7A33-8E4D-B529-894B3DAE669C}">
          <x14:formula1>
            <xm:f>CCBASE!$A$53:$A$73</xm:f>
          </x14:formula1>
          <xm:sqref>C52 C69 C18 C35 C103 C86 C120 C154 C137 C171</xm:sqref>
        </x14:dataValidation>
        <x14:dataValidation type="list" allowBlank="1" showInputMessage="1" showErrorMessage="1" xr:uid="{140DF205-F5B2-AA4D-8C62-686509DC81E3}">
          <x14:formula1>
            <xm:f>CCBASE!$A$81:$A$85</xm:f>
          </x14:formula1>
          <xm:sqref>C25 C42 C93 C76 C59 C110 C127 C144 C161 C178</xm:sqref>
        </x14:dataValidation>
        <x14:dataValidation type="list" allowBlank="1" showInputMessage="1" showErrorMessage="1" xr:uid="{B9E0BAE8-F068-E748-9CD4-EA044DBD86D1}">
          <x14:formula1>
            <xm:f>'Base Costs'!$A$32:$A$37</xm:f>
          </x14:formula1>
          <xm:sqref>B9</xm:sqref>
        </x14:dataValidation>
        <x14:dataValidation type="list" allowBlank="1" showInputMessage="1" showErrorMessage="1" xr:uid="{A211DCBD-902F-A745-8638-0A32694F8934}">
          <x14:formula1>
            <xm:f>'Base Costs'!$E$4:$E$213</xm:f>
          </x14:formula1>
          <xm:sqref>D183 D186</xm:sqref>
        </x14:dataValidation>
        <x14:dataValidation type="list" allowBlank="1" showInputMessage="1" showErrorMessage="1" xr:uid="{EE1B9BA2-4731-9444-BD9B-A8ED68A84954}">
          <x14:formula1>
            <xm:f>'Base Costs'!$A$4:$A$16</xm:f>
          </x14:formula1>
          <xm:sqref>D184:D185</xm:sqref>
        </x14:dataValidation>
        <x14:dataValidation type="list" allowBlank="1" showInputMessage="1" showErrorMessage="1" xr:uid="{5DA6B466-CD5C-6A49-9FA2-E7EBB9C576C3}">
          <x14:formula1>
            <xm:f>'Base Costs'!$A$19:$A$22</xm:f>
          </x14:formula1>
          <xm:sqref>C19 C138 C155 C172 C36 C87 C70 C53 C104 C121</xm:sqref>
        </x14:dataValidation>
        <x14:dataValidation type="list" allowBlank="1" showInputMessage="1" showErrorMessage="1" xr:uid="{BFC55D4A-307D-C346-9057-71F6C155008B}">
          <x14:formula1>
            <xm:f>'Base Costs'!$Q$35:$Q$45</xm:f>
          </x14:formula1>
          <xm:sqref>C43 C145 C162 C179 C60 C77 C94 C111 C26 C128</xm:sqref>
        </x14:dataValidation>
        <x14:dataValidation type="list" allowBlank="1" showInputMessage="1" showErrorMessage="1" xr:uid="{140E247C-5881-7A47-AB32-A25C2DCE2602}">
          <x14:formula1>
            <xm:f>'Base Costs'!$U$4:$U$41</xm:f>
          </x14:formula1>
          <xm:sqref>C33 C152 C135 C169 C16 C101 C84 C67 C50 C118</xm:sqref>
        </x14:dataValidation>
        <x14:dataValidation type="list" allowBlank="1" showInputMessage="1" showErrorMessage="1" xr:uid="{A4BE8408-3805-BB40-AE04-9F288EB0662E}">
          <x14:formula1>
            <xm:f>'Base Costs'!$U$44:$U$56</xm:f>
          </x14:formula1>
          <xm:sqref>C17 C170 C153 C136 C119 C102 C85 C68 C51 C34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C023C-9A29-C44E-849D-ED1C0376E69D}">
  <sheetPr>
    <tabColor theme="8" tint="0.79998168889431442"/>
    <pageSetUpPr fitToPage="1"/>
  </sheetPr>
  <dimension ref="A1:AE117"/>
  <sheetViews>
    <sheetView topLeftCell="A14" zoomScale="80" zoomScaleNormal="80" workbookViewId="0">
      <selection activeCell="R29" sqref="R29"/>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56" t="s">
        <v>1502</v>
      </c>
      <c r="C1" s="1156"/>
      <c r="D1" s="1156"/>
      <c r="E1" s="160"/>
      <c r="F1" s="161"/>
      <c r="G1" s="162"/>
      <c r="H1" s="163"/>
      <c r="I1" s="161"/>
      <c r="J1" s="161"/>
      <c r="K1" s="989" t="s">
        <v>1501</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8" t="e">
        <f>IF(#REF!="","",#REF!)</f>
        <v>#REF!</v>
      </c>
      <c r="D4" s="1158"/>
      <c r="E4" s="177" t="s">
        <v>78</v>
      </c>
      <c r="F4" s="1159" t="e">
        <f>IF(#REF!="","",#REF!)</f>
        <v>#REF!</v>
      </c>
      <c r="G4" s="1159"/>
      <c r="H4" s="1159"/>
      <c r="I4" s="1157"/>
      <c r="J4" s="1157"/>
      <c r="K4" s="1157"/>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8" t="e">
        <f>IF(#REF!="","",#REF!)</f>
        <v>#REF!</v>
      </c>
      <c r="D6" s="1158"/>
      <c r="E6" s="177" t="s">
        <v>77</v>
      </c>
      <c r="F6" s="1159" t="e">
        <f>IF(#REF!="","",#REF!)</f>
        <v>#REF!</v>
      </c>
      <c r="G6" s="1159"/>
      <c r="H6" s="1159"/>
      <c r="I6" s="1157"/>
      <c r="J6" s="1157"/>
      <c r="K6" s="1157"/>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8" t="e">
        <f>IF(#REF!="","",#REF!)</f>
        <v>#REF!</v>
      </c>
      <c r="D8" s="1158"/>
      <c r="E8" s="181" t="s">
        <v>76</v>
      </c>
      <c r="F8" s="1160" t="e">
        <f>IF(#REF!="","",#REF!)</f>
        <v>#REF!</v>
      </c>
      <c r="G8" s="1160"/>
      <c r="H8" s="1160"/>
      <c r="J8" s="187" t="s">
        <v>79</v>
      </c>
      <c r="K8" s="1148" t="e">
        <f>IF(#REF!="","",#REF!)</f>
        <v>#REF!</v>
      </c>
      <c r="L8" s="1148"/>
      <c r="M8" s="467"/>
      <c r="N8" s="1094" t="s">
        <v>1409</v>
      </c>
      <c r="O8" s="1094"/>
      <c r="P8" s="1094"/>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0"/>
      <c r="F10" s="1151"/>
      <c r="G10" s="25">
        <f>SUBTOTAL(9,G14:G102)</f>
        <v>1488</v>
      </c>
      <c r="H10" s="981">
        <f>IF(K10=0,"-",K10/I10)</f>
        <v>0.40143664399961704</v>
      </c>
      <c r="I10" s="25">
        <f>SUBTOTAL(9,I14:I102)</f>
        <v>2485.9523809523807</v>
      </c>
      <c r="J10" s="464">
        <f>SUBTOTAL(9,J14:J102)</f>
        <v>2485.9523809523807</v>
      </c>
      <c r="K10" s="25">
        <f>SUBTOTAL(9,K14:K102)</f>
        <v>997.95238095238119</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1488</v>
      </c>
      <c r="H13" s="145">
        <f>IF(G13=0,"-",K13/I13)</f>
        <v>0.40143664399961704</v>
      </c>
      <c r="I13" s="61">
        <f>SUBTOTAL(9,I14:I32)</f>
        <v>2485.9523809523807</v>
      </c>
      <c r="J13" s="465">
        <f>SUBTOTAL(9,J14:J32)</f>
        <v>2485.9523809523807</v>
      </c>
      <c r="K13" s="61">
        <f>SUBTOTAL(9,K14:K32)</f>
        <v>997.95238095238119</v>
      </c>
      <c r="L13" s="469"/>
      <c r="O13" s="840" t="s">
        <v>918</v>
      </c>
      <c r="Q13" s="1154" t="s">
        <v>664</v>
      </c>
      <c r="R13" s="1155"/>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v>1</v>
      </c>
      <c r="D30" s="269" t="s">
        <v>491</v>
      </c>
      <c r="E30" s="315"/>
      <c r="F30" s="380">
        <f>'Base Costs'!AX22</f>
        <v>700</v>
      </c>
      <c r="G30" s="378">
        <f t="shared" si="2"/>
        <v>700</v>
      </c>
      <c r="H30" s="381">
        <v>0.4</v>
      </c>
      <c r="I30" s="311">
        <f t="shared" si="0"/>
        <v>1166.6666666666667</v>
      </c>
      <c r="J30" s="378">
        <f>I30*VLOOKUP($B$10,'Base Costs'!$A$32:$B$37,2,FALSE)</f>
        <v>1166.6666666666667</v>
      </c>
      <c r="K30" s="379">
        <f t="shared" si="1"/>
        <v>466.66666666666674</v>
      </c>
      <c r="L30" s="469"/>
      <c r="M30" s="469"/>
      <c r="N30" s="469"/>
      <c r="Q30" s="164"/>
      <c r="R30" s="164"/>
    </row>
    <row r="31" spans="1:18" ht="15.75" customHeight="1" x14ac:dyDescent="0.2">
      <c r="A31" s="299">
        <v>268</v>
      </c>
      <c r="B31" s="269" t="s">
        <v>55</v>
      </c>
      <c r="C31" s="314">
        <v>1</v>
      </c>
      <c r="D31" s="269" t="s">
        <v>491</v>
      </c>
      <c r="E31" s="315"/>
      <c r="F31" s="380">
        <f>'Base Costs'!AX23</f>
        <v>380</v>
      </c>
      <c r="G31" s="378">
        <f t="shared" si="2"/>
        <v>380</v>
      </c>
      <c r="H31" s="381">
        <v>0.4</v>
      </c>
      <c r="I31" s="311">
        <f t="shared" si="0"/>
        <v>633.33333333333337</v>
      </c>
      <c r="J31" s="378">
        <f>I31*VLOOKUP($B$10,'Base Costs'!$A$32:$B$37,2,FALSE)</f>
        <v>633.33333333333337</v>
      </c>
      <c r="K31" s="379">
        <f t="shared" si="1"/>
        <v>253.33333333333337</v>
      </c>
      <c r="L31" s="469"/>
      <c r="M31" s="469"/>
      <c r="N31" s="469"/>
      <c r="Q31" s="164"/>
      <c r="R31" s="164"/>
    </row>
    <row r="32" spans="1:18" ht="15.75" customHeight="1" x14ac:dyDescent="0.2">
      <c r="A32" s="299">
        <v>268</v>
      </c>
      <c r="B32" s="269" t="s">
        <v>56</v>
      </c>
      <c r="C32" s="314">
        <v>1</v>
      </c>
      <c r="D32" s="269" t="s">
        <v>442</v>
      </c>
      <c r="E32" s="315"/>
      <c r="F32" s="380">
        <f>'Base Costs'!AX24</f>
        <v>358</v>
      </c>
      <c r="G32" s="378">
        <f t="shared" si="2"/>
        <v>358</v>
      </c>
      <c r="H32" s="381">
        <v>0.4</v>
      </c>
      <c r="I32" s="311">
        <f t="shared" si="0"/>
        <v>596.66666666666674</v>
      </c>
      <c r="J32" s="378">
        <f>I32*VLOOKUP($B$10,'Base Costs'!$A$32:$B$37,2,FALSE)</f>
        <v>596.66666666666674</v>
      </c>
      <c r="K32" s="379">
        <f t="shared" si="1"/>
        <v>238.66666666666674</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61"/>
      <c r="P34" s="1161"/>
      <c r="Q34" s="815"/>
      <c r="R34" s="815"/>
      <c r="S34" s="1162"/>
      <c r="T34" s="1162"/>
      <c r="U34" s="1162"/>
      <c r="V34" s="1162"/>
      <c r="Y34" s="1163"/>
      <c r="Z34" s="1163"/>
      <c r="AA34" s="1163"/>
      <c r="AB34" s="1163"/>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49"/>
      <c r="P35" s="1149"/>
      <c r="Q35" s="815"/>
      <c r="R35" s="815"/>
      <c r="S35" s="1152"/>
      <c r="T35" s="1152"/>
      <c r="U35" s="1152"/>
      <c r="V35" s="1152"/>
      <c r="W35" s="822"/>
      <c r="Y35" s="1152"/>
      <c r="Z35" s="1152"/>
      <c r="AA35" s="1152"/>
      <c r="AB35" s="1152"/>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49"/>
      <c r="P36" s="1149"/>
      <c r="Q36" s="815"/>
      <c r="R36" s="815"/>
      <c r="S36" s="1152"/>
      <c r="T36" s="1152"/>
      <c r="U36" s="1152"/>
      <c r="V36" s="1152"/>
      <c r="W36" s="822"/>
      <c r="Y36" s="1152"/>
      <c r="Z36" s="1152"/>
      <c r="AA36" s="1152"/>
      <c r="AB36" s="1152"/>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49"/>
      <c r="P37" s="1149"/>
      <c r="Q37" s="815"/>
      <c r="R37" s="815"/>
      <c r="S37" s="1152"/>
      <c r="T37" s="1152"/>
      <c r="U37" s="1152"/>
      <c r="V37" s="1152"/>
      <c r="W37" s="822"/>
      <c r="Y37" s="1152"/>
      <c r="Z37" s="1152"/>
      <c r="AA37" s="1152"/>
      <c r="AB37" s="1152"/>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1481</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49"/>
      <c r="P39" s="1149"/>
      <c r="Q39" s="815"/>
      <c r="R39" s="815"/>
      <c r="S39" s="1152"/>
      <c r="T39" s="1152"/>
      <c r="U39" s="1152"/>
      <c r="V39" s="1152"/>
      <c r="W39" s="822"/>
      <c r="Y39" s="1152"/>
      <c r="Z39" s="1152"/>
      <c r="AA39" s="1152"/>
      <c r="AB39" s="1152"/>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49"/>
      <c r="P40" s="1149"/>
      <c r="Q40" s="815"/>
      <c r="R40" s="815"/>
      <c r="S40" s="1152"/>
      <c r="T40" s="1152"/>
      <c r="U40" s="1152"/>
      <c r="V40" s="1152"/>
      <c r="W40" s="822"/>
      <c r="Y40" s="1152"/>
      <c r="Z40" s="1152"/>
      <c r="AA40" s="1152"/>
      <c r="AB40" s="1152"/>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49"/>
      <c r="P41" s="1149"/>
      <c r="Q41" s="815"/>
      <c r="R41" s="815"/>
      <c r="Y41" s="1153"/>
      <c r="Z41" s="1153"/>
      <c r="AA41" s="1153"/>
      <c r="AB41" s="1153"/>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Costs'!$AU$65:$BA$72,7,FALSE)),0)</f>
        <v>0</v>
      </c>
      <c r="M49" s="820">
        <f>L49*C49</f>
        <v>0</v>
      </c>
      <c r="N49" s="469"/>
      <c r="O49" s="1149"/>
      <c r="P49" s="1149"/>
      <c r="Q49" s="815"/>
      <c r="R49" s="815"/>
      <c r="Y49" s="1153"/>
      <c r="Z49" s="1153"/>
      <c r="AA49" s="1153"/>
      <c r="AB49" s="1153"/>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Costs'!$AU$65:$BA$72,7,FALSE)),0)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Costs'!$AU$65:$BA$72,7,FALSE)),0)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Costs'!$AU$65:$BA$72,7,FALSE)),0)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Costs'!$AU$65:$BA$72,7,FALSE)),0)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Costs'!$AU$65:$BA$72,7,FALSE)),0)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Costs'!$AU$65:$BA$72,7,FALSE)),0)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Costs'!$AU$65:$BA$72,7,FALSE)),0)</f>
        <v>0</v>
      </c>
      <c r="M56" s="820">
        <f t="shared" si="11"/>
        <v>0</v>
      </c>
      <c r="N56" s="469"/>
      <c r="O56" s="1149"/>
      <c r="P56" s="1149"/>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49"/>
      <c r="P57" s="1149"/>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49"/>
      <c r="P58" s="1149"/>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49"/>
      <c r="P59" s="1149"/>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49"/>
      <c r="P60" s="1149"/>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49"/>
      <c r="P61" s="1149"/>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49"/>
      <c r="P62" s="1149"/>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49"/>
      <c r="P63" s="1149"/>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49"/>
      <c r="P64" s="1149"/>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49"/>
      <c r="P65" s="1149"/>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49"/>
      <c r="P66" s="1149"/>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49"/>
      <c r="P67" s="1149"/>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49"/>
      <c r="P68" s="1149"/>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46" t="s">
        <v>1478</v>
      </c>
      <c r="E99" s="1147"/>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2485.9523809523807</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2485.9523809523807</v>
      </c>
      <c r="D108" s="202"/>
      <c r="E108" s="204"/>
      <c r="F108" s="202"/>
      <c r="G108" s="209"/>
      <c r="H108" s="206"/>
      <c r="I108" s="203"/>
      <c r="J108" s="203"/>
      <c r="K108" s="209"/>
    </row>
    <row r="109" spans="1:18" ht="15.75" customHeight="1" thickBot="1" x14ac:dyDescent="0.25">
      <c r="A109" s="299">
        <v>280</v>
      </c>
      <c r="B109" s="580" t="s">
        <v>666</v>
      </c>
      <c r="C109" s="916">
        <f>C108+J102</f>
        <v>2485.9523809523807</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O64:P64"/>
    <mergeCell ref="O65:P65"/>
    <mergeCell ref="O66:P66"/>
    <mergeCell ref="O67:P67"/>
    <mergeCell ref="O68:P68"/>
    <mergeCell ref="D99:E99"/>
    <mergeCell ref="O58:P58"/>
    <mergeCell ref="O59:P59"/>
    <mergeCell ref="O60:P60"/>
    <mergeCell ref="O61:P61"/>
    <mergeCell ref="O62:P62"/>
    <mergeCell ref="O63:P63"/>
    <mergeCell ref="O41:P41"/>
    <mergeCell ref="Y41:AB41"/>
    <mergeCell ref="O49:P49"/>
    <mergeCell ref="Y49:AB49"/>
    <mergeCell ref="O56:P56"/>
    <mergeCell ref="O57:P57"/>
    <mergeCell ref="O39:P39"/>
    <mergeCell ref="S39:V39"/>
    <mergeCell ref="Y39:AB39"/>
    <mergeCell ref="O40:P40"/>
    <mergeCell ref="S40:V40"/>
    <mergeCell ref="Y40:AB40"/>
    <mergeCell ref="O36:P36"/>
    <mergeCell ref="S36:V36"/>
    <mergeCell ref="Y36:AB36"/>
    <mergeCell ref="O37:P37"/>
    <mergeCell ref="S37:V37"/>
    <mergeCell ref="Y37:AB37"/>
    <mergeCell ref="O34:P34"/>
    <mergeCell ref="S34:V34"/>
    <mergeCell ref="Y34:AB34"/>
    <mergeCell ref="O35:P35"/>
    <mergeCell ref="S35:V35"/>
    <mergeCell ref="Y35:AB35"/>
    <mergeCell ref="C8:D8"/>
    <mergeCell ref="F8:H8"/>
    <mergeCell ref="K8:L8"/>
    <mergeCell ref="N8:P8"/>
    <mergeCell ref="E10:F10"/>
    <mergeCell ref="Q13:R13"/>
    <mergeCell ref="B1:D1"/>
    <mergeCell ref="C4:D4"/>
    <mergeCell ref="F4:H4"/>
    <mergeCell ref="I4:K4"/>
    <mergeCell ref="C6:D6"/>
    <mergeCell ref="F6:H6"/>
    <mergeCell ref="I6:K6"/>
  </mergeCells>
  <conditionalFormatting sqref="B10">
    <cfRule type="containsText" dxfId="3281" priority="33" operator="containsText" text="SELECT">
      <formula>NOT(ISERROR(SEARCH("SELECT",B10)))</formula>
    </cfRule>
    <cfRule type="expression" dxfId="3280" priority="34">
      <formula>B10="CURRENCY"</formula>
    </cfRule>
  </conditionalFormatting>
  <conditionalFormatting sqref="B14:B40">
    <cfRule type="expression" dxfId="3279" priority="12">
      <formula>$C14&gt;0</formula>
    </cfRule>
  </conditionalFormatting>
  <conditionalFormatting sqref="B35 B41:B56">
    <cfRule type="expression" dxfId="3278" priority="42">
      <formula>$D35&gt;0</formula>
    </cfRule>
  </conditionalFormatting>
  <conditionalFormatting sqref="B57:B68">
    <cfRule type="expression" dxfId="3277" priority="17">
      <formula>$C57&gt;0</formula>
    </cfRule>
  </conditionalFormatting>
  <conditionalFormatting sqref="B71:B82">
    <cfRule type="expression" dxfId="3276" priority="16">
      <formula>$C71&gt;0</formula>
    </cfRule>
  </conditionalFormatting>
  <conditionalFormatting sqref="B85:B93">
    <cfRule type="expression" dxfId="3275" priority="15">
      <formula>$C85&gt;0</formula>
    </cfRule>
  </conditionalFormatting>
  <conditionalFormatting sqref="B96:B102">
    <cfRule type="expression" dxfId="3274" priority="14">
      <formula>$C96&gt;0</formula>
    </cfRule>
  </conditionalFormatting>
  <conditionalFormatting sqref="C14:C32 C71:C82 C85:C93">
    <cfRule type="cellIs" dxfId="3273" priority="35" operator="equal">
      <formula>0</formula>
    </cfRule>
  </conditionalFormatting>
  <conditionalFormatting sqref="C35:C68">
    <cfRule type="cellIs" dxfId="3272" priority="11" operator="equal">
      <formula>0</formula>
    </cfRule>
  </conditionalFormatting>
  <conditionalFormatting sqref="C96:C102">
    <cfRule type="cellIs" dxfId="3271" priority="13" operator="equal">
      <formula>0</formula>
    </cfRule>
  </conditionalFormatting>
  <conditionalFormatting sqref="C10:D10">
    <cfRule type="cellIs" dxfId="3270" priority="31" operator="lessThan">
      <formula>0</formula>
    </cfRule>
    <cfRule type="cellIs" dxfId="3269" priority="32" operator="greaterThan">
      <formula>0</formula>
    </cfRule>
  </conditionalFormatting>
  <conditionalFormatting sqref="F14:F68">
    <cfRule type="expression" dxfId="3268" priority="1">
      <formula>C14&gt;0</formula>
    </cfRule>
  </conditionalFormatting>
  <conditionalFormatting sqref="F35:F64">
    <cfRule type="expression" dxfId="3267" priority="2">
      <formula>D35&gt;0</formula>
    </cfRule>
  </conditionalFormatting>
  <conditionalFormatting sqref="F71:F82">
    <cfRule type="expression" dxfId="3266" priority="30">
      <formula>C71&gt;0</formula>
    </cfRule>
  </conditionalFormatting>
  <conditionalFormatting sqref="F85:F93">
    <cfRule type="expression" dxfId="3265" priority="28">
      <formula>C85&gt;0</formula>
    </cfRule>
  </conditionalFormatting>
  <conditionalFormatting sqref="F96:F102">
    <cfRule type="expression" dxfId="3264" priority="29">
      <formula>C96&gt;0</formula>
    </cfRule>
  </conditionalFormatting>
  <conditionalFormatting sqref="G14:G32">
    <cfRule type="cellIs" dxfId="3263" priority="27" operator="greaterThan">
      <formula>0</formula>
    </cfRule>
  </conditionalFormatting>
  <conditionalFormatting sqref="G35:G68">
    <cfRule type="cellIs" dxfId="3262" priority="3" operator="greaterThan">
      <formula>0</formula>
    </cfRule>
  </conditionalFormatting>
  <conditionalFormatting sqref="G71:G82 G85:G93 G96:G102">
    <cfRule type="cellIs" dxfId="3261" priority="26" operator="greaterThan">
      <formula>0</formula>
    </cfRule>
  </conditionalFormatting>
  <conditionalFormatting sqref="H14:H32">
    <cfRule type="expression" dxfId="3260" priority="40">
      <formula>$C$10&gt;0</formula>
    </cfRule>
    <cfRule type="expression" dxfId="3259" priority="41">
      <formula>$C$10&lt;0</formula>
    </cfRule>
  </conditionalFormatting>
  <conditionalFormatting sqref="H35:H68">
    <cfRule type="expression" dxfId="3258" priority="9">
      <formula>$C$10&gt;0</formula>
    </cfRule>
  </conditionalFormatting>
  <conditionalFormatting sqref="H35:H82">
    <cfRule type="expression" dxfId="3257" priority="23">
      <formula>$C$10&lt;0</formula>
    </cfRule>
  </conditionalFormatting>
  <conditionalFormatting sqref="H40:H68">
    <cfRule type="expression" dxfId="3256" priority="10">
      <formula>$C$10&lt;0</formula>
    </cfRule>
  </conditionalFormatting>
  <conditionalFormatting sqref="H71:H82">
    <cfRule type="expression" dxfId="3255" priority="22">
      <formula>$C$10&gt;0</formula>
    </cfRule>
  </conditionalFormatting>
  <conditionalFormatting sqref="H85:H93">
    <cfRule type="expression" dxfId="3254" priority="20">
      <formula>$C$10&gt;0</formula>
    </cfRule>
    <cfRule type="expression" dxfId="3253" priority="21">
      <formula>$C$10&lt;0</formula>
    </cfRule>
  </conditionalFormatting>
  <conditionalFormatting sqref="H96:H102">
    <cfRule type="expression" dxfId="3252" priority="18">
      <formula>$C$10&gt;0</formula>
    </cfRule>
    <cfRule type="expression" dxfId="3251" priority="19">
      <formula>$C$10&lt;0</formula>
    </cfRule>
  </conditionalFormatting>
  <conditionalFormatting sqref="J1:J7 J9:J33">
    <cfRule type="expression" dxfId="3250" priority="36">
      <formula>$B$10="EURO"</formula>
    </cfRule>
    <cfRule type="expression" dxfId="3249" priority="37">
      <formula>$B$10="USD"</formula>
    </cfRule>
    <cfRule type="expression" dxfId="3248" priority="38">
      <formula>$B$10="PLN"</formula>
    </cfRule>
    <cfRule type="expression" dxfId="3247" priority="39">
      <formula>$B$10="CZK"</formula>
    </cfRule>
  </conditionalFormatting>
  <conditionalFormatting sqref="J35:J69">
    <cfRule type="expression" dxfId="3246" priority="5">
      <formula>$B$10="EURO"</formula>
    </cfRule>
  </conditionalFormatting>
  <conditionalFormatting sqref="J35:J1048576">
    <cfRule type="expression" dxfId="3245" priority="6">
      <formula>$B$10="USD"</formula>
    </cfRule>
    <cfRule type="expression" dxfId="3244" priority="7">
      <formula>$B$10="PLN"</formula>
    </cfRule>
    <cfRule type="expression" dxfId="3243" priority="8">
      <formula>$B$10="CZK"</formula>
    </cfRule>
  </conditionalFormatting>
  <conditionalFormatting sqref="J71:J83 J85:J94 J96:J1048576">
    <cfRule type="expression" dxfId="3242" priority="25">
      <formula>$B$10="EURO"</formula>
    </cfRule>
  </conditionalFormatting>
  <conditionalFormatting sqref="J14:K68">
    <cfRule type="cellIs" dxfId="3241" priority="4" operator="greaterThan">
      <formula>0</formula>
    </cfRule>
  </conditionalFormatting>
  <conditionalFormatting sqref="J71:K82 J85:K93 J96:K102">
    <cfRule type="cellIs" dxfId="3240"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D18118AB-3CFE-974A-B8E4-F93C3578EFBA}">
          <x14:formula1>
            <xm:f>'Base Costs'!$E$4:$E$213</xm:f>
          </x14:formula1>
          <xm:sqref>D97</xm:sqref>
        </x14:dataValidation>
        <x14:dataValidation type="list" allowBlank="1" showInputMessage="1" showErrorMessage="1" xr:uid="{4ECB466C-ACD8-A243-AD33-8C45D74476FA}">
          <x14:formula1>
            <xm:f>'Base Costs'!$A$32:$A$37</xm:f>
          </x14:formula1>
          <xm:sqref>B10</xm:sqref>
        </x14:dataValidation>
        <x14:dataValidation type="list" allowBlank="1" showInputMessage="1" showErrorMessage="1" xr:uid="{3219FA0A-2035-9F4F-A50A-1FFE9B4B672D}">
          <x14:formula1>
            <xm:f>'Base Costs'!$AU$26:$AU$48</xm:f>
          </x14:formula1>
          <xm:sqref>D35</xm:sqref>
        </x14:dataValidation>
        <x14:dataValidation type="list" allowBlank="1" showInputMessage="1" showErrorMessage="1" xr:uid="{501F12A2-43CD-1F46-86BC-9E59EE1F34CB}">
          <x14:formula1>
            <xm:f>'Base Costs'!$AU$64:$AU$72</xm:f>
          </x14:formula1>
          <xm:sqref>D49:D56</xm:sqref>
        </x14:dataValidation>
        <x14:dataValidation type="list" allowBlank="1" showInputMessage="1" showErrorMessage="1" xr:uid="{712C2660-6A72-AF4E-B407-3165A449F8E8}">
          <x14:formula1>
            <xm:f>'Base Costs'!$AU$55:$AU$61</xm:f>
          </x14:formula1>
          <xm:sqref>D40:D47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58877-900D-4E41-A3BD-DE6E0899D6DC}">
  <sheetPr>
    <tabColor theme="8" tint="0.79998168889431442"/>
    <pageSetUpPr fitToPage="1"/>
  </sheetPr>
  <dimension ref="A1:AD161"/>
  <sheetViews>
    <sheetView showGridLines="0" zoomScale="80" zoomScaleNormal="80" zoomScaleSheetLayoutView="50" workbookViewId="0">
      <selection activeCell="R29" sqref="R29"/>
    </sheetView>
  </sheetViews>
  <sheetFormatPr baseColWidth="10" defaultColWidth="8.83203125" defaultRowHeight="15" customHeight="1" x14ac:dyDescent="0.15"/>
  <cols>
    <col min="1" max="2" width="2" style="215" customWidth="1"/>
    <col min="3" max="3" width="42.83203125" style="217" bestFit="1"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1505</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1498</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1499</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1488</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1491</v>
      </c>
      <c r="D25" s="1080" t="s">
        <v>1497</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1489</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1493</v>
      </c>
      <c r="U27" s="229"/>
      <c r="AA27" s="217"/>
    </row>
    <row r="28" spans="1:27" ht="15" customHeight="1" x14ac:dyDescent="0.2">
      <c r="C28" s="869" t="s">
        <v>1490</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1492</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f>IF(K37=0,"-",O37/M37)</f>
        <v>0.39433325837643363</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3239" priority="35" operator="containsText" text="SELECT">
      <formula>NOT(ISERROR(SEARCH("SELECT",C9)))</formula>
    </cfRule>
    <cfRule type="expression" dxfId="3238" priority="36">
      <formula>C9="CURRENCY"</formula>
    </cfRule>
  </conditionalFormatting>
  <conditionalFormatting sqref="C14:C34">
    <cfRule type="expression" dxfId="3237" priority="1">
      <formula>$J14&gt;0</formula>
    </cfRule>
  </conditionalFormatting>
  <conditionalFormatting sqref="C38:C48">
    <cfRule type="expression" dxfId="3236" priority="12">
      <formula>$D38&gt;0</formula>
    </cfRule>
  </conditionalFormatting>
  <conditionalFormatting sqref="D38:D39 D41:D48">
    <cfRule type="cellIs" dxfId="3235" priority="37" operator="lessThan">
      <formula>1</formula>
    </cfRule>
  </conditionalFormatting>
  <conditionalFormatting sqref="D40">
    <cfRule type="cellIs" dxfId="3234" priority="32" operator="lessThan">
      <formula>1</formula>
    </cfRule>
  </conditionalFormatting>
  <conditionalFormatting sqref="D9:E9">
    <cfRule type="cellIs" dxfId="3233" priority="33" operator="lessThan">
      <formula>0</formula>
    </cfRule>
    <cfRule type="cellIs" dxfId="3232" priority="34" operator="greaterThan">
      <formula>0</formula>
    </cfRule>
  </conditionalFormatting>
  <conditionalFormatting sqref="F12">
    <cfRule type="expression" dxfId="3231" priority="42">
      <formula>AND((ISNUMBER(SEARCH("I-MUAP",$E$14))),F12&lt;2500)</formula>
    </cfRule>
    <cfRule type="expression" dxfId="3230" priority="43">
      <formula>ISNUMBER(SEARCH("I-MUAP",$E$14))</formula>
    </cfRule>
    <cfRule type="cellIs" dxfId="3229" priority="44" operator="greaterThan">
      <formula>2000</formula>
    </cfRule>
  </conditionalFormatting>
  <conditionalFormatting sqref="F12:G12">
    <cfRule type="cellIs" dxfId="3228" priority="38" operator="lessThan">
      <formula>1000</formula>
    </cfRule>
  </conditionalFormatting>
  <conditionalFormatting sqref="F14:G28">
    <cfRule type="cellIs" dxfId="3227" priority="5" operator="lessThan">
      <formula>1000</formula>
    </cfRule>
  </conditionalFormatting>
  <conditionalFormatting sqref="F31:G32">
    <cfRule type="cellIs" dxfId="3226" priority="2" operator="lessThan">
      <formula>1000</formula>
    </cfRule>
  </conditionalFormatting>
  <conditionalFormatting sqref="G12">
    <cfRule type="cellIs" dxfId="3225" priority="39" operator="greaterThan">
      <formula>3001</formula>
    </cfRule>
  </conditionalFormatting>
  <conditionalFormatting sqref="H11">
    <cfRule type="expression" dxfId="3224" priority="41">
      <formula>((G14-50)/I14)&lt;950</formula>
    </cfRule>
  </conditionalFormatting>
  <conditionalFormatting sqref="H12">
    <cfRule type="expression" dxfId="3223" priority="40">
      <formula>((G14-50)/I14)&lt;950</formula>
    </cfRule>
  </conditionalFormatting>
  <conditionalFormatting sqref="H14:H28">
    <cfRule type="cellIs" dxfId="3222" priority="6" operator="lessThan">
      <formula>400</formula>
    </cfRule>
  </conditionalFormatting>
  <conditionalFormatting sqref="H31:H32">
    <cfRule type="cellIs" dxfId="3221" priority="3" operator="lessThan">
      <formula>400</formula>
    </cfRule>
  </conditionalFormatting>
  <conditionalFormatting sqref="H35">
    <cfRule type="expression" dxfId="3220" priority="49">
      <formula>((#REF!-50)/#REF!)&lt;950</formula>
    </cfRule>
  </conditionalFormatting>
  <conditionalFormatting sqref="J14:J32">
    <cfRule type="cellIs" dxfId="3219" priority="17" operator="greaterThan">
      <formula>0</formula>
    </cfRule>
  </conditionalFormatting>
  <conditionalFormatting sqref="J38:J48">
    <cfRule type="expression" dxfId="3218" priority="25">
      <formula>D38&gt;0</formula>
    </cfRule>
  </conditionalFormatting>
  <conditionalFormatting sqref="J50:J56">
    <cfRule type="expression" dxfId="3217" priority="30">
      <formula>#REF!="EURO"</formula>
    </cfRule>
  </conditionalFormatting>
  <conditionalFormatting sqref="K14:K34">
    <cfRule type="cellIs" dxfId="3216" priority="4" operator="greaterThan">
      <formula>0</formula>
    </cfRule>
  </conditionalFormatting>
  <conditionalFormatting sqref="K38:K48">
    <cfRule type="cellIs" dxfId="3215" priority="31" operator="greaterThan">
      <formula>0</formula>
    </cfRule>
  </conditionalFormatting>
  <conditionalFormatting sqref="K50:K56">
    <cfRule type="expression" dxfId="3214" priority="26">
      <formula>$C$9="PLN"</formula>
    </cfRule>
    <cfRule type="expression" dxfId="3213" priority="27">
      <formula>$C$9="CZK"</formula>
    </cfRule>
    <cfRule type="expression" dxfId="3212" priority="28">
      <formula>$C$9="USD"</formula>
    </cfRule>
    <cfRule type="expression" dxfId="3211" priority="29">
      <formula>$C$9="EURO"</formula>
    </cfRule>
  </conditionalFormatting>
  <conditionalFormatting sqref="L14:L34">
    <cfRule type="expression" dxfId="3210" priority="15">
      <formula>$D$9&lt;0</formula>
    </cfRule>
    <cfRule type="expression" dxfId="3209" priority="16">
      <formula>$D$9&gt;0</formula>
    </cfRule>
  </conditionalFormatting>
  <conditionalFormatting sqref="L38:L48">
    <cfRule type="expression" dxfId="3208" priority="13">
      <formula>$D$9&lt;0</formula>
    </cfRule>
    <cfRule type="expression" dxfId="3207" priority="14">
      <formula>$D$9&gt;0</formula>
    </cfRule>
  </conditionalFormatting>
  <conditionalFormatting sqref="N9 N12">
    <cfRule type="expression" dxfId="3206" priority="45">
      <formula>$C$9="PLN"</formula>
    </cfRule>
    <cfRule type="expression" dxfId="3205" priority="46">
      <formula>$C$9="CZK"</formula>
    </cfRule>
    <cfRule type="expression" dxfId="3204" priority="47">
      <formula>$C$9="USD"</formula>
    </cfRule>
    <cfRule type="expression" dxfId="3203" priority="48">
      <formula>$C$9="EURO"</formula>
    </cfRule>
  </conditionalFormatting>
  <conditionalFormatting sqref="N14:N34">
    <cfRule type="expression" dxfId="3202" priority="19">
      <formula>$C$9="PLN"</formula>
    </cfRule>
    <cfRule type="expression" dxfId="3201" priority="20">
      <formula>$C$9="CZK"</formula>
    </cfRule>
    <cfRule type="expression" dxfId="3200" priority="21">
      <formula>$C$9="USD"</formula>
    </cfRule>
    <cfRule type="expression" dxfId="3199" priority="22">
      <formula>$C$9="EURO"</formula>
    </cfRule>
  </conditionalFormatting>
  <conditionalFormatting sqref="N18:N22">
    <cfRule type="cellIs" dxfId="3198" priority="23" operator="greaterThan">
      <formula>0</formula>
    </cfRule>
  </conditionalFormatting>
  <conditionalFormatting sqref="N37:N48">
    <cfRule type="expression" dxfId="3197" priority="8">
      <formula>$C$9="PLN"</formula>
    </cfRule>
    <cfRule type="expression" dxfId="3196" priority="9">
      <formula>$C$9="CZK"</formula>
    </cfRule>
    <cfRule type="expression" dxfId="3195" priority="10">
      <formula>$C$9="USD"</formula>
    </cfRule>
    <cfRule type="expression" dxfId="3194" priority="11">
      <formula>$C$9="EURO"</formula>
    </cfRule>
  </conditionalFormatting>
  <conditionalFormatting sqref="N14:O34">
    <cfRule type="cellIs" dxfId="3193" priority="18" operator="greaterThan">
      <formula>0</formula>
    </cfRule>
  </conditionalFormatting>
  <conditionalFormatting sqref="N38:O48">
    <cfRule type="cellIs" dxfId="3192" priority="7" operator="greaterThan">
      <formula>0</formula>
    </cfRule>
  </conditionalFormatting>
  <conditionalFormatting sqref="O14:O22">
    <cfRule type="cellIs" dxfId="3191" priority="24" operator="greaterThan">
      <formula>0</formula>
    </cfRule>
  </conditionalFormatting>
  <dataValidations count="3">
    <dataValidation type="list" allowBlank="1" showInputMessage="1" showErrorMessage="1" sqref="H36" xr:uid="{C7542413-22C2-2541-B42D-2F3F098EAC4D}">
      <formula1>#REF!</formula1>
    </dataValidation>
    <dataValidation operator="greaterThan" allowBlank="1" showInputMessage="1" showErrorMessage="1" sqref="F14:F28 F31:F32" xr:uid="{F622D8E3-2BB7-044A-A42D-049DEFDFB597}"/>
    <dataValidation type="list" allowBlank="1" showInputMessage="1" showErrorMessage="1" sqref="E14:E34" xr:uid="{F610C2FE-9F4B-8F42-B33A-C94D5C08A2B9}">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1B8BB3A7-7258-9C49-930A-3F171110C863}">
          <x14:formula1>
            <xm:f>'Base Costs'!$A$4:$A$16</xm:f>
          </x14:formula1>
          <xm:sqref>E39:E40</xm:sqref>
        </x14:dataValidation>
        <x14:dataValidation type="list" allowBlank="1" showInputMessage="1" showErrorMessage="1" xr:uid="{1BC6F732-98BC-FA4D-BBE8-C1FA04BA3ED5}">
          <x14:formula1>
            <xm:f>'Base Costs'!$E$4:$E$213</xm:f>
          </x14:formula1>
          <xm:sqref>E38</xm:sqref>
        </x14:dataValidation>
        <x14:dataValidation type="list" allowBlank="1" showInputMessage="1" showErrorMessage="1" xr:uid="{7F30504B-651E-0344-822E-6CC8313E8223}">
          <x14:formula1>
            <xm:f>'Base Costs'!$A$32:$A$37</xm:f>
          </x14:formula1>
          <xm:sqref>C9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D514B-3DAC-2E4B-9FFC-7370C5CE599C}">
  <sheetPr>
    <tabColor theme="8" tint="0.79998168889431442"/>
    <pageSetUpPr fitToPage="1"/>
  </sheetPr>
  <dimension ref="A1:AD160"/>
  <sheetViews>
    <sheetView showGridLines="0" topLeftCell="B4" zoomScale="90" zoomScaleNormal="90" zoomScaleSheetLayoutView="50" workbookViewId="0">
      <selection activeCell="R29" sqref="R29"/>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1509</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IF(K36=0,"-",O36/M36)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1" t="s">
        <v>1442</v>
      </c>
      <c r="G38" s="1121"/>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1393</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1" t="s">
        <v>1443</v>
      </c>
      <c r="G42" s="1121"/>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4" t="s">
        <v>1494</v>
      </c>
      <c r="F46" s="1185"/>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3190" priority="35" operator="containsText" text="SELECT">
      <formula>NOT(ISERROR(SEARCH("SELECT",C9)))</formula>
    </cfRule>
    <cfRule type="expression" dxfId="3189" priority="36">
      <formula>C9="CURRENCY"</formula>
    </cfRule>
  </conditionalFormatting>
  <conditionalFormatting sqref="C14:C33">
    <cfRule type="expression" dxfId="3188" priority="1">
      <formula>$J14&gt;0</formula>
    </cfRule>
  </conditionalFormatting>
  <conditionalFormatting sqref="C37:C47">
    <cfRule type="expression" dxfId="3187" priority="12">
      <formula>$D37&gt;0</formula>
    </cfRule>
  </conditionalFormatting>
  <conditionalFormatting sqref="D37:D38 D40:D47">
    <cfRule type="cellIs" dxfId="3186" priority="37" operator="lessThan">
      <formula>1</formula>
    </cfRule>
  </conditionalFormatting>
  <conditionalFormatting sqref="D39">
    <cfRule type="cellIs" dxfId="3185" priority="32" operator="lessThan">
      <formula>1</formula>
    </cfRule>
  </conditionalFormatting>
  <conditionalFormatting sqref="D9:E9">
    <cfRule type="cellIs" dxfId="3184" priority="33" operator="lessThan">
      <formula>0</formula>
    </cfRule>
    <cfRule type="cellIs" dxfId="3183" priority="34" operator="greaterThan">
      <formula>0</formula>
    </cfRule>
  </conditionalFormatting>
  <conditionalFormatting sqref="F12">
    <cfRule type="expression" dxfId="3182" priority="42">
      <formula>AND((ISNUMBER(SEARCH("I-MUAP",$E$14))),F12&lt;2500)</formula>
    </cfRule>
    <cfRule type="expression" dxfId="3181" priority="43">
      <formula>ISNUMBER(SEARCH("I-MUAP",$E$14))</formula>
    </cfRule>
    <cfRule type="cellIs" dxfId="3180" priority="44" operator="greaterThan">
      <formula>2000</formula>
    </cfRule>
  </conditionalFormatting>
  <conditionalFormatting sqref="F12:G12">
    <cfRule type="cellIs" dxfId="3179" priority="38" operator="lessThan">
      <formula>1000</formula>
    </cfRule>
  </conditionalFormatting>
  <conditionalFormatting sqref="F14:G26">
    <cfRule type="cellIs" dxfId="3178" priority="5" operator="lessThan">
      <formula>1000</formula>
    </cfRule>
  </conditionalFormatting>
  <conditionalFormatting sqref="F30:G31">
    <cfRule type="cellIs" dxfId="3177" priority="2" operator="lessThan">
      <formula>1000</formula>
    </cfRule>
  </conditionalFormatting>
  <conditionalFormatting sqref="G12">
    <cfRule type="cellIs" dxfId="3176" priority="39" operator="greaterThan">
      <formula>3001</formula>
    </cfRule>
  </conditionalFormatting>
  <conditionalFormatting sqref="H11">
    <cfRule type="expression" dxfId="3175" priority="41">
      <formula>((G14-50)/I14)&lt;950</formula>
    </cfRule>
  </conditionalFormatting>
  <conditionalFormatting sqref="H12">
    <cfRule type="expression" dxfId="3174" priority="40">
      <formula>((G14-50)/I14)&lt;950</formula>
    </cfRule>
  </conditionalFormatting>
  <conditionalFormatting sqref="H14:H26">
    <cfRule type="cellIs" dxfId="3173" priority="6" operator="lessThan">
      <formula>400</formula>
    </cfRule>
  </conditionalFormatting>
  <conditionalFormatting sqref="H30:H31">
    <cfRule type="cellIs" dxfId="3172" priority="3" operator="lessThan">
      <formula>400</formula>
    </cfRule>
  </conditionalFormatting>
  <conditionalFormatting sqref="H34">
    <cfRule type="expression" dxfId="3171" priority="49">
      <formula>((#REF!-50)/#REF!)&lt;950</formula>
    </cfRule>
  </conditionalFormatting>
  <conditionalFormatting sqref="J14:J31">
    <cfRule type="cellIs" dxfId="3170" priority="17" operator="greaterThan">
      <formula>0</formula>
    </cfRule>
  </conditionalFormatting>
  <conditionalFormatting sqref="J37:J47">
    <cfRule type="expression" dxfId="3169" priority="25">
      <formula>D37&gt;0</formula>
    </cfRule>
  </conditionalFormatting>
  <conditionalFormatting sqref="J49:J55">
    <cfRule type="expression" dxfId="3168" priority="30">
      <formula>#REF!="EURO"</formula>
    </cfRule>
  </conditionalFormatting>
  <conditionalFormatting sqref="K14:K33">
    <cfRule type="cellIs" dxfId="3167" priority="4" operator="greaterThan">
      <formula>0</formula>
    </cfRule>
  </conditionalFormatting>
  <conditionalFormatting sqref="K37:K47">
    <cfRule type="cellIs" dxfId="3166" priority="31" operator="greaterThan">
      <formula>0</formula>
    </cfRule>
  </conditionalFormatting>
  <conditionalFormatting sqref="K49:K55">
    <cfRule type="expression" dxfId="3165" priority="26">
      <formula>$C$9="PLN"</formula>
    </cfRule>
    <cfRule type="expression" dxfId="3164" priority="27">
      <formula>$C$9="CZK"</formula>
    </cfRule>
    <cfRule type="expression" dxfId="3163" priority="28">
      <formula>$C$9="USD"</formula>
    </cfRule>
    <cfRule type="expression" dxfId="3162" priority="29">
      <formula>$C$9="EURO"</formula>
    </cfRule>
  </conditionalFormatting>
  <conditionalFormatting sqref="L14:L33">
    <cfRule type="expression" dxfId="3161" priority="15">
      <formula>$D$9&lt;0</formula>
    </cfRule>
    <cfRule type="expression" dxfId="3160" priority="16">
      <formula>$D$9&gt;0</formula>
    </cfRule>
  </conditionalFormatting>
  <conditionalFormatting sqref="L37:L47">
    <cfRule type="expression" dxfId="3159" priority="13">
      <formula>$D$9&lt;0</formula>
    </cfRule>
    <cfRule type="expression" dxfId="3158" priority="14">
      <formula>$D$9&gt;0</formula>
    </cfRule>
  </conditionalFormatting>
  <conditionalFormatting sqref="N9 N12">
    <cfRule type="expression" dxfId="3157" priority="45">
      <formula>$C$9="PLN"</formula>
    </cfRule>
    <cfRule type="expression" dxfId="3156" priority="46">
      <formula>$C$9="CZK"</formula>
    </cfRule>
    <cfRule type="expression" dxfId="3155" priority="47">
      <formula>$C$9="USD"</formula>
    </cfRule>
    <cfRule type="expression" dxfId="3154" priority="48">
      <formula>$C$9="EURO"</formula>
    </cfRule>
  </conditionalFormatting>
  <conditionalFormatting sqref="N14:N33">
    <cfRule type="expression" dxfId="3153" priority="19">
      <formula>$C$9="PLN"</formula>
    </cfRule>
    <cfRule type="expression" dxfId="3152" priority="20">
      <formula>$C$9="CZK"</formula>
    </cfRule>
    <cfRule type="expression" dxfId="3151" priority="21">
      <formula>$C$9="USD"</formula>
    </cfRule>
    <cfRule type="expression" dxfId="3150" priority="22">
      <formula>$C$9="EURO"</formula>
    </cfRule>
  </conditionalFormatting>
  <conditionalFormatting sqref="N18:N20">
    <cfRule type="cellIs" dxfId="3149" priority="23" operator="greaterThan">
      <formula>0</formula>
    </cfRule>
  </conditionalFormatting>
  <conditionalFormatting sqref="N36:N47">
    <cfRule type="expression" dxfId="3148" priority="8">
      <formula>$C$9="PLN"</formula>
    </cfRule>
    <cfRule type="expression" dxfId="3147" priority="9">
      <formula>$C$9="CZK"</formula>
    </cfRule>
    <cfRule type="expression" dxfId="3146" priority="10">
      <formula>$C$9="USD"</formula>
    </cfRule>
    <cfRule type="expression" dxfId="3145" priority="11">
      <formula>$C$9="EURO"</formula>
    </cfRule>
  </conditionalFormatting>
  <conditionalFormatting sqref="N14:O33">
    <cfRule type="cellIs" dxfId="3144" priority="18" operator="greaterThan">
      <formula>0</formula>
    </cfRule>
  </conditionalFormatting>
  <conditionalFormatting sqref="N37:O47">
    <cfRule type="cellIs" dxfId="3143" priority="7" operator="greaterThan">
      <formula>0</formula>
    </cfRule>
  </conditionalFormatting>
  <conditionalFormatting sqref="O14:O20">
    <cfRule type="cellIs" dxfId="3142" priority="24" operator="greaterThan">
      <formula>0</formula>
    </cfRule>
  </conditionalFormatting>
  <dataValidations count="3">
    <dataValidation type="list" allowBlank="1" showInputMessage="1" showErrorMessage="1" sqref="E14:E33" xr:uid="{4B05F302-6702-C142-B88C-7D5746E482D7}">
      <formula1>"0,1,2,3,4,5,6,7,8,9,10,11,12,13,14,15,16,17,18,19,20"</formula1>
    </dataValidation>
    <dataValidation operator="greaterThan" allowBlank="1" showInputMessage="1" showErrorMessage="1" sqref="F14:F26 F30:F31" xr:uid="{BEE03D97-05BB-4D49-A6F4-9B2D99D47A13}"/>
    <dataValidation type="list" allowBlank="1" showInputMessage="1" showErrorMessage="1" sqref="H35" xr:uid="{69A9F2DE-F16D-1D4A-A9CC-DE8A3F21777A}">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335305F-50F3-0149-BC33-6B9A0B65DA3D}">
          <x14:formula1>
            <xm:f>'Base Costs'!$A$32:$A$37</xm:f>
          </x14:formula1>
          <xm:sqref>C9</xm:sqref>
        </x14:dataValidation>
        <x14:dataValidation type="list" allowBlank="1" showInputMessage="1" showErrorMessage="1" xr:uid="{BE414497-933F-FB46-9247-8923BE9BEE8F}">
          <x14:formula1>
            <xm:f>'Base Costs'!$E$4:$E$213</xm:f>
          </x14:formula1>
          <xm:sqref>E37</xm:sqref>
        </x14:dataValidation>
        <x14:dataValidation type="list" allowBlank="1" showInputMessage="1" showErrorMessage="1" xr:uid="{41384102-7B04-AC47-8BB5-A7739A482FF5}">
          <x14:formula1>
            <xm:f>'Base Costs'!$A$4:$A$16</xm:f>
          </x14:formula1>
          <xm:sqref>E38:E39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A015B-E717-9946-9AEF-13A4E055104E}">
  <sheetPr>
    <tabColor theme="8" tint="0.79998168889431442"/>
    <pageSetUpPr fitToPage="1"/>
  </sheetPr>
  <dimension ref="A1:AB310"/>
  <sheetViews>
    <sheetView showGridLines="0" topLeftCell="A3" zoomScale="80" zoomScaleNormal="80" zoomScaleSheetLayoutView="50" workbookViewId="0">
      <selection activeCell="R29" sqref="R29"/>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13"/>
      <c r="F3" s="690" t="s">
        <v>78</v>
      </c>
      <c r="G3" s="1084"/>
      <c r="H3" s="1114"/>
      <c r="I3" s="1114"/>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13"/>
      <c r="F5" s="690" t="s">
        <v>77</v>
      </c>
      <c r="G5" s="1084"/>
      <c r="H5" s="1114"/>
      <c r="I5" s="1114"/>
      <c r="J5" s="1114"/>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13"/>
      <c r="F7" s="690" t="s">
        <v>76</v>
      </c>
      <c r="G7" s="1086"/>
      <c r="H7" s="1115"/>
      <c r="I7" s="1115"/>
      <c r="J7" s="1115"/>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2"/>
      <c r="F9" s="1112"/>
      <c r="G9" s="1125"/>
      <c r="H9" s="1126"/>
      <c r="I9" s="1126"/>
      <c r="J9" s="1126"/>
      <c r="K9" s="703">
        <f>SUBTOTAL(9,K12:K197)</f>
        <v>0</v>
      </c>
      <c r="L9" s="982" t="str">
        <f>IF(O9=0,"-",O9/M9)</f>
        <v>-</v>
      </c>
      <c r="M9" s="703">
        <f>SUBTOTAL(9,M12:M197)</f>
        <v>0</v>
      </c>
      <c r="N9" s="705">
        <f>SUBTOTAL(9,N12:N197)</f>
        <v>0</v>
      </c>
      <c r="O9" s="703">
        <f>SUBTOTAL(9,O12:O197)</f>
        <v>0</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344</v>
      </c>
      <c r="C16" s="752" t="s">
        <v>347</v>
      </c>
      <c r="D16" s="735"/>
      <c r="E16" s="753" t="str">
        <f>IF(C16="","",VLOOKUP(C16,CCBASE!$A$53:$D$73,4,FALSE))</f>
        <v/>
      </c>
      <c r="F16" s="754"/>
      <c r="G16" s="749"/>
      <c r="H16" s="750"/>
      <c r="I16" s="755"/>
      <c r="J16" s="736">
        <f>IF(C16="",0,VLOOKUP(C16,CCBASE!$A$53:$C$73,2,FALSE))</f>
        <v>0</v>
      </c>
      <c r="K16" s="737">
        <f>J16*D16</f>
        <v>0</v>
      </c>
      <c r="L16" s="738">
        <v>0.35</v>
      </c>
      <c r="M16" s="739">
        <f t="shared" si="0"/>
        <v>0</v>
      </c>
      <c r="N16" s="737">
        <f>M16*VLOOKUP($B$9,'Base Costs'!$A$32:$B$37,2,FALSE)</f>
        <v>0</v>
      </c>
      <c r="O16" s="740">
        <f t="shared" si="1"/>
        <v>0</v>
      </c>
      <c r="P16" s="745"/>
      <c r="Q16" s="940"/>
      <c r="S16" s="694"/>
      <c r="Y16" s="673"/>
    </row>
    <row r="17" spans="1:26" ht="15"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customHeight="1" outlineLevel="1" x14ac:dyDescent="0.15">
      <c r="B18" s="992" t="s">
        <v>344</v>
      </c>
      <c r="C18" s="993" t="s">
        <v>1404</v>
      </c>
      <c r="D18" s="994">
        <v>0</v>
      </c>
      <c r="E18" s="995" t="str">
        <f>IF(C18="","",VLOOKUP(C18,CCBASE!$A$53:$D$73,4,FALSE))</f>
        <v>SECTION(S) OF CANOPY</v>
      </c>
      <c r="F18" s="996"/>
      <c r="G18" s="991"/>
      <c r="H18" s="997"/>
      <c r="I18" s="998"/>
      <c r="J18" s="999">
        <f>IF(C18="",0,VLOOKUP(C18,CCBASE!$A$53:$C$73,2,FALSE))</f>
        <v>50</v>
      </c>
      <c r="K18" s="1000">
        <f>J18*D18</f>
        <v>0</v>
      </c>
      <c r="L18" s="1001">
        <v>0.44</v>
      </c>
      <c r="M18" s="1002">
        <f t="shared" si="0"/>
        <v>0</v>
      </c>
      <c r="N18" s="1000">
        <f>M18*VLOOKUP($B$9,'Base Costs'!$A$32:$B$37,2,FALSE)</f>
        <v>0</v>
      </c>
      <c r="O18" s="1003">
        <f t="shared" si="1"/>
        <v>0</v>
      </c>
      <c r="P18" s="1004" t="s">
        <v>1453</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P19" t="s">
        <v>1513</v>
      </c>
      <c r="Q19" t="s">
        <v>1514</v>
      </c>
      <c r="R19" s="217"/>
      <c r="S19" s="229" t="s">
        <v>1515</v>
      </c>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K32" si="2">J24*1</f>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344</v>
      </c>
      <c r="C33" s="752" t="s">
        <v>347</v>
      </c>
      <c r="D33" s="735"/>
      <c r="E33" s="753" t="str">
        <f>IF(C33="","",VLOOKUP(C33,CCBASE!$A$53:$D$73,4,FALSE))</f>
        <v/>
      </c>
      <c r="F33" s="754"/>
      <c r="G33" s="749"/>
      <c r="H33" s="750"/>
      <c r="I33" s="755"/>
      <c r="J33" s="736">
        <f>IF(C33="",0,VLOOKUP(C33,CCBASE!$A$53:$C$73,2,FALSE))</f>
        <v>0</v>
      </c>
      <c r="K33" s="737">
        <f>J33*D33</f>
        <v>0</v>
      </c>
      <c r="L33" s="738">
        <v>0.35</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8"/>
      <c r="F35" s="119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ROUNDUP($F31/1000,0)</f>
        <v>0</v>
      </c>
      <c r="E36" s="1110" t="s">
        <v>1092</v>
      </c>
      <c r="F36" s="1196"/>
      <c r="G36" s="754"/>
      <c r="H36" s="750"/>
      <c r="I36" s="755"/>
      <c r="J36" s="736">
        <f>IF(D36=0,0,VLOOKUP(C36,'Base Costs'!$A$19:$B$22,2,FALSE))</f>
        <v>0</v>
      </c>
      <c r="K36" s="737">
        <f>J36*D36</f>
        <v>0</v>
      </c>
      <c r="L36" s="738">
        <v>0.44</v>
      </c>
      <c r="M36" s="739">
        <f t="shared" si="3"/>
        <v>0</v>
      </c>
      <c r="N36" s="737">
        <f>M36*VLOOKUP($B$9,'Base Costs'!$A$32:$B$37,2,FALSE)</f>
        <v>0</v>
      </c>
      <c r="O36" s="740">
        <f>M36-K36</f>
        <v>0</v>
      </c>
      <c r="P36" t="s">
        <v>1513</v>
      </c>
      <c r="Q36" t="s">
        <v>1514</v>
      </c>
      <c r="R36" s="217"/>
      <c r="S36" s="229" t="s">
        <v>1515</v>
      </c>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269" t="s">
        <v>344</v>
      </c>
      <c r="C50" s="752" t="s">
        <v>347</v>
      </c>
      <c r="D50" s="735"/>
      <c r="E50" s="753" t="str">
        <f>IF(C50="","",VLOOKUP(C50,CCBASE!$A$53:$D$73,4,FALSE))</f>
        <v/>
      </c>
      <c r="F50" s="754"/>
      <c r="G50" s="749"/>
      <c r="H50" s="750"/>
      <c r="I50" s="755"/>
      <c r="J50" s="736">
        <f>IF(C50="",0,VLOOKUP(C50,CCBASE!$A$53:$C$73,2,FALSE))</f>
        <v>0</v>
      </c>
      <c r="K50" s="737">
        <f>J50*D50</f>
        <v>0</v>
      </c>
      <c r="L50" s="738">
        <v>0.35</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ROUNDUP($F48/1000,0)</f>
        <v>0</v>
      </c>
      <c r="E53" s="1110" t="s">
        <v>1092</v>
      </c>
      <c r="F53" s="1196"/>
      <c r="G53" s="754"/>
      <c r="H53" s="750"/>
      <c r="I53" s="755"/>
      <c r="J53" s="736">
        <f>IF(D53=0,0,VLOOKUP(C53,'Base Costs'!$A$19:$B$22,2,FALSE))</f>
        <v>0</v>
      </c>
      <c r="K53" s="737">
        <f>J53*D53</f>
        <v>0</v>
      </c>
      <c r="L53" s="738">
        <v>0.44</v>
      </c>
      <c r="M53" s="739">
        <f t="shared" si="7"/>
        <v>0</v>
      </c>
      <c r="N53" s="737">
        <f>M53*VLOOKUP($B$9,'Base Costs'!$A$32:$B$37,2,FALSE)</f>
        <v>0</v>
      </c>
      <c r="O53" s="740">
        <f>M53-K53</f>
        <v>0</v>
      </c>
      <c r="P53" t="s">
        <v>1513</v>
      </c>
      <c r="Q53" t="s">
        <v>1514</v>
      </c>
      <c r="R53" s="217"/>
      <c r="S53" s="229" t="s">
        <v>1515</v>
      </c>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269" t="s">
        <v>344</v>
      </c>
      <c r="C67" s="752" t="s">
        <v>347</v>
      </c>
      <c r="D67" s="735"/>
      <c r="E67" s="753" t="str">
        <f>IF(C67="","",VLOOKUP(C67,CCBASE!$A$53:$D$73,4,FALSE))</f>
        <v/>
      </c>
      <c r="F67" s="754"/>
      <c r="G67" s="749"/>
      <c r="H67" s="750"/>
      <c r="I67" s="755"/>
      <c r="J67" s="736">
        <f>IF(C67="",0,VLOOKUP(C67,CCBASE!$A$53:$C$73,2,FALSE))</f>
        <v>0</v>
      </c>
      <c r="K67" s="737">
        <f>J67*D67</f>
        <v>0</v>
      </c>
      <c r="L67" s="738">
        <v>0.35</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1"/>
        <v>0</v>
      </c>
      <c r="N70" s="737">
        <f>M70*VLOOKUP($B$9,'Base Costs'!$A$32:$B$37,2,FALSE)</f>
        <v>0</v>
      </c>
      <c r="O70" s="740">
        <f>M70-K70</f>
        <v>0</v>
      </c>
      <c r="P70" t="s">
        <v>1513</v>
      </c>
      <c r="Q70" t="s">
        <v>1514</v>
      </c>
      <c r="R70" s="217"/>
      <c r="S70" s="229" t="s">
        <v>1515</v>
      </c>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217"/>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269" t="s">
        <v>344</v>
      </c>
      <c r="C84" s="752" t="s">
        <v>347</v>
      </c>
      <c r="D84" s="735"/>
      <c r="E84" s="753" t="str">
        <f>IF(C84="","",VLOOKUP(C84,CCBASE!$A$53:$D$73,4,FALSE))</f>
        <v/>
      </c>
      <c r="F84" s="754"/>
      <c r="G84" s="749"/>
      <c r="H84" s="750"/>
      <c r="I84" s="755"/>
      <c r="J84" s="736">
        <f>IF(C84="",0,VLOOKUP(C84,CCBASE!$A$53:$C$73,2,FALSE))</f>
        <v>0</v>
      </c>
      <c r="K84" s="737">
        <f>J84*D84</f>
        <v>0</v>
      </c>
      <c r="L84" s="738">
        <v>0.35</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5"/>
        <v>0</v>
      </c>
      <c r="N87" s="737">
        <f>M87*VLOOKUP($B$9,'Base Costs'!$A$32:$B$37,2,FALSE)</f>
        <v>0</v>
      </c>
      <c r="O87" s="740">
        <f>M87-K87</f>
        <v>0</v>
      </c>
      <c r="P87" t="s">
        <v>1513</v>
      </c>
      <c r="Q87" t="s">
        <v>1514</v>
      </c>
      <c r="R87" s="217"/>
      <c r="S87" s="229" t="s">
        <v>1515</v>
      </c>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269" t="s">
        <v>344</v>
      </c>
      <c r="C101" s="752" t="s">
        <v>347</v>
      </c>
      <c r="D101" s="735"/>
      <c r="E101" s="753" t="str">
        <f>IF(C101="","",VLOOKUP(C101,CCBASE!$A$53:$D$73,4,FALSE))</f>
        <v/>
      </c>
      <c r="F101" s="754"/>
      <c r="G101" s="749"/>
      <c r="H101" s="750"/>
      <c r="I101" s="755"/>
      <c r="J101" s="736">
        <f>IF(C101="",0,VLOOKUP(C101,CCBASE!$A$53:$C$73,2,FALSE))</f>
        <v>0</v>
      </c>
      <c r="K101" s="737">
        <f>J101*D101</f>
        <v>0</v>
      </c>
      <c r="L101" s="738">
        <v>0.35</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19"/>
        <v>0</v>
      </c>
      <c r="N104" s="737">
        <f>M104*VLOOKUP($B$9,'Base Costs'!$A$32:$B$37,2,FALSE)</f>
        <v>0</v>
      </c>
      <c r="O104" s="740">
        <f>M104-K104</f>
        <v>0</v>
      </c>
      <c r="P104" t="s">
        <v>1513</v>
      </c>
      <c r="Q104" t="s">
        <v>1514</v>
      </c>
      <c r="R104" s="217"/>
      <c r="S104" s="229" t="s">
        <v>1515</v>
      </c>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269" t="s">
        <v>344</v>
      </c>
      <c r="C118" s="752" t="s">
        <v>347</v>
      </c>
      <c r="D118" s="735"/>
      <c r="E118" s="753" t="str">
        <f>IF(C118="","",VLOOKUP(C118,CCBASE!$A$53:$D$73,4,FALSE))</f>
        <v/>
      </c>
      <c r="F118" s="754"/>
      <c r="G118" s="749"/>
      <c r="H118" s="750"/>
      <c r="I118" s="755"/>
      <c r="J118" s="736">
        <f>IF(C118="",0,VLOOKUP(C118,CCBASE!$A$53:$C$73,2,FALSE))</f>
        <v>0</v>
      </c>
      <c r="K118" s="737">
        <f>J118*D118</f>
        <v>0</v>
      </c>
      <c r="L118" s="738">
        <v>0.35</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3"/>
        <v>0</v>
      </c>
      <c r="N121" s="737">
        <f>M121*VLOOKUP($B$9,'Base Costs'!$A$32:$B$37,2,FALSE)</f>
        <v>0</v>
      </c>
      <c r="O121" s="740">
        <f>M121-K121</f>
        <v>0</v>
      </c>
      <c r="P121" t="s">
        <v>1513</v>
      </c>
      <c r="Q121" t="s">
        <v>1514</v>
      </c>
      <c r="R121" s="217"/>
      <c r="S121" s="229" t="s">
        <v>1515</v>
      </c>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269" t="s">
        <v>344</v>
      </c>
      <c r="C135" s="752" t="s">
        <v>347</v>
      </c>
      <c r="D135" s="735"/>
      <c r="E135" s="753" t="str">
        <f>IF(C135="","",VLOOKUP(C135,CCBASE!$A$53:$D$73,4,FALSE))</f>
        <v/>
      </c>
      <c r="F135" s="754"/>
      <c r="G135" s="749"/>
      <c r="H135" s="750"/>
      <c r="I135" s="755"/>
      <c r="J135" s="736">
        <f>IF(C135="",0,VLOOKUP(C135,CCBASE!$A$53:$C$73,2,FALSE))</f>
        <v>0</v>
      </c>
      <c r="K135" s="737">
        <f>J135*D135</f>
        <v>0</v>
      </c>
      <c r="L135" s="738">
        <v>0.35</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ROUNDUP($F133/1000,0)</f>
        <v>0</v>
      </c>
      <c r="E138" s="1110" t="s">
        <v>1092</v>
      </c>
      <c r="F138" s="1108"/>
      <c r="G138" s="754"/>
      <c r="H138" s="750"/>
      <c r="I138" s="755"/>
      <c r="J138" s="736">
        <f>IF(D138=0,0,VLOOKUP(C138,'Base Costs'!$A$19:$B$22,2,FALSE))</f>
        <v>0</v>
      </c>
      <c r="K138" s="737">
        <f>J138*D138</f>
        <v>0</v>
      </c>
      <c r="L138" s="738">
        <v>0.44</v>
      </c>
      <c r="M138" s="739">
        <f t="shared" si="27"/>
        <v>0</v>
      </c>
      <c r="N138" s="737">
        <f>M138*VLOOKUP($B$9,'Base Costs'!$A$32:$B$37,2,FALSE)</f>
        <v>0</v>
      </c>
      <c r="O138" s="740">
        <f>M138-K138</f>
        <v>0</v>
      </c>
      <c r="P138" t="s">
        <v>1513</v>
      </c>
      <c r="Q138" t="s">
        <v>1514</v>
      </c>
      <c r="R138" s="217"/>
      <c r="S138" s="229" t="s">
        <v>1515</v>
      </c>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269" t="s">
        <v>344</v>
      </c>
      <c r="C152" s="752" t="s">
        <v>347</v>
      </c>
      <c r="D152" s="735"/>
      <c r="E152" s="753" t="str">
        <f>IF(C152="","",VLOOKUP(C152,CCBASE!$A$53:$D$73,4,FALSE))</f>
        <v/>
      </c>
      <c r="F152" s="754"/>
      <c r="G152" s="749"/>
      <c r="H152" s="750"/>
      <c r="I152" s="755"/>
      <c r="J152" s="736">
        <f>IF(C152="",0,VLOOKUP(C152,CCBASE!$A$53:$C$73,2,FALSE))</f>
        <v>0</v>
      </c>
      <c r="K152" s="737">
        <f>J152*D152</f>
        <v>0</v>
      </c>
      <c r="L152" s="738">
        <v>0.35</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1"/>
        <v>0</v>
      </c>
      <c r="N155" s="737">
        <f>M155*VLOOKUP($B$9,'Base Costs'!$A$32:$B$37,2,FALSE)</f>
        <v>0</v>
      </c>
      <c r="O155" s="740">
        <f>M155-K155</f>
        <v>0</v>
      </c>
      <c r="P155" t="s">
        <v>1513</v>
      </c>
      <c r="Q155" t="s">
        <v>1514</v>
      </c>
      <c r="R155" s="217"/>
      <c r="S155" s="229" t="s">
        <v>1515</v>
      </c>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269" t="s">
        <v>344</v>
      </c>
      <c r="C169" s="752" t="s">
        <v>347</v>
      </c>
      <c r="D169" s="735"/>
      <c r="E169" s="753" t="str">
        <f>IF(C169="","",VLOOKUP(C169,CCBASE!$A$53:$D$73,4,FALSE))</f>
        <v/>
      </c>
      <c r="F169" s="754"/>
      <c r="G169" s="749"/>
      <c r="H169" s="750"/>
      <c r="I169" s="755"/>
      <c r="J169" s="736">
        <f>IF(C169="",0,VLOOKUP(C169,CCBASE!$A$53:$C$73,2,FALSE))</f>
        <v>0</v>
      </c>
      <c r="K169" s="737">
        <f>J169*D169</f>
        <v>0</v>
      </c>
      <c r="L169" s="738">
        <v>0.35</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35"/>
        <v>0</v>
      </c>
      <c r="N172" s="737">
        <f>M172*VLOOKUP($B$9,'Base Costs'!$A$32:$B$37,2,FALSE)</f>
        <v>0</v>
      </c>
      <c r="O172" s="740">
        <f>M172-K172</f>
        <v>0</v>
      </c>
      <c r="P172" t="s">
        <v>1513</v>
      </c>
      <c r="Q172" t="s">
        <v>1514</v>
      </c>
      <c r="R172" s="217"/>
      <c r="S172" s="229" t="s">
        <v>1515</v>
      </c>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IF(K182=0,"-",O182/M182)</f>
        <v>-</v>
      </c>
      <c r="M182" s="723">
        <f>SUBTOTAL(9,M183:M197)</f>
        <v>0</v>
      </c>
      <c r="N182" s="705">
        <f>SUBTOTAL(9,N183:N197)</f>
        <v>0</v>
      </c>
      <c r="O182" s="703">
        <f>SUBTOTAL(9,O183:O197)</f>
        <v>0</v>
      </c>
      <c r="S182" s="694"/>
    </row>
    <row r="183" spans="1:25" ht="15" customHeight="1" x14ac:dyDescent="0.15">
      <c r="A183" s="666">
        <v>222</v>
      </c>
      <c r="B183" s="589" t="s">
        <v>1133</v>
      </c>
      <c r="C183" s="774"/>
      <c r="D183" s="775" t="s">
        <v>48</v>
      </c>
      <c r="E183" s="1118" t="s">
        <v>732</v>
      </c>
      <c r="F183" s="1119"/>
      <c r="G183" s="1109"/>
      <c r="H183" s="1109"/>
      <c r="I183" s="110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7"/>
      <c r="F186" s="1108"/>
      <c r="G186" s="1109"/>
      <c r="H186" s="1109"/>
      <c r="I186" s="110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6" t="s">
        <v>1495</v>
      </c>
      <c r="E193" s="1117"/>
      <c r="F193" s="111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3141" priority="687" operator="containsText" text="SELECT">
      <formula>NOT(ISERROR(SEARCH("SELECT",B9)))</formula>
    </cfRule>
    <cfRule type="expression" dxfId="3140" priority="688">
      <formula>B9="CURRENCY"</formula>
    </cfRule>
  </conditionalFormatting>
  <conditionalFormatting sqref="B11">
    <cfRule type="expression" dxfId="3139" priority="650">
      <formula>$B11&lt;&gt;""</formula>
    </cfRule>
  </conditionalFormatting>
  <conditionalFormatting sqref="B14:B23">
    <cfRule type="expression" dxfId="3138" priority="642">
      <formula>$J14&gt;0</formula>
    </cfRule>
  </conditionalFormatting>
  <conditionalFormatting sqref="B24">
    <cfRule type="expression" dxfId="3137" priority="639">
      <formula>ISNUMBER(SEARCH("UV",$D14))</formula>
    </cfRule>
    <cfRule type="expression" dxfId="3136" priority="640">
      <formula>($D14="CANOPY TYPE")</formula>
    </cfRule>
  </conditionalFormatting>
  <conditionalFormatting sqref="B25:B27">
    <cfRule type="expression" dxfId="3135" priority="455">
      <formula>$J25&gt;0</formula>
    </cfRule>
  </conditionalFormatting>
  <conditionalFormatting sqref="B28">
    <cfRule type="expression" dxfId="3134" priority="648">
      <formula>$B28&lt;&gt;""</formula>
    </cfRule>
  </conditionalFormatting>
  <conditionalFormatting sqref="B31:B32 B34:B40">
    <cfRule type="expression" dxfId="3133" priority="400">
      <formula>$J31&gt;0</formula>
    </cfRule>
  </conditionalFormatting>
  <conditionalFormatting sqref="B41">
    <cfRule type="expression" dxfId="3132" priority="607">
      <formula>ISNUMBER(SEARCH("UV",$D31))</formula>
    </cfRule>
    <cfRule type="expression" dxfId="3131" priority="608">
      <formula>($D31="CANOPY TYPE")</formula>
    </cfRule>
  </conditionalFormatting>
  <conditionalFormatting sqref="B42:B44">
    <cfRule type="expression" dxfId="3130" priority="609">
      <formula>$J42&gt;0</formula>
    </cfRule>
  </conditionalFormatting>
  <conditionalFormatting sqref="B45">
    <cfRule type="expression" dxfId="3129" priority="647">
      <formula>$B45&lt;&gt;""</formula>
    </cfRule>
  </conditionalFormatting>
  <conditionalFormatting sqref="B48:B49 B51:B57">
    <cfRule type="expression" dxfId="3128" priority="374">
      <formula>$J48&gt;0</formula>
    </cfRule>
  </conditionalFormatting>
  <conditionalFormatting sqref="B58">
    <cfRule type="expression" dxfId="3127" priority="577">
      <formula>ISNUMBER(SEARCH("UV",$D48))</formula>
    </cfRule>
    <cfRule type="expression" dxfId="3126" priority="578">
      <formula>($D48="CANOPY TYPE")</formula>
    </cfRule>
  </conditionalFormatting>
  <conditionalFormatting sqref="B59:B61">
    <cfRule type="expression" dxfId="3125" priority="454">
      <formula>$J59&gt;0</formula>
    </cfRule>
  </conditionalFormatting>
  <conditionalFormatting sqref="B62">
    <cfRule type="expression" dxfId="3124" priority="646">
      <formula>$B62&lt;&gt;""</formula>
    </cfRule>
  </conditionalFormatting>
  <conditionalFormatting sqref="B65:B66 B68:B74">
    <cfRule type="expression" dxfId="3123" priority="348">
      <formula>$J65&gt;0</formula>
    </cfRule>
  </conditionalFormatting>
  <conditionalFormatting sqref="B75">
    <cfRule type="expression" dxfId="3122" priority="546">
      <formula>ISNUMBER(SEARCH("UV",$D65))</formula>
    </cfRule>
    <cfRule type="expression" dxfId="3121" priority="547">
      <formula>($D65="CANOPY TYPE")</formula>
    </cfRule>
  </conditionalFormatting>
  <conditionalFormatting sqref="B76:B78">
    <cfRule type="expression" dxfId="3120" priority="453">
      <formula>$J76&gt;0</formula>
    </cfRule>
  </conditionalFormatting>
  <conditionalFormatting sqref="B79">
    <cfRule type="expression" dxfId="3119" priority="645">
      <formula>$B79&lt;&gt;""</formula>
    </cfRule>
  </conditionalFormatting>
  <conditionalFormatting sqref="B82:B83 B85:B91">
    <cfRule type="expression" dxfId="3118" priority="322">
      <formula>$J82&gt;0</formula>
    </cfRule>
  </conditionalFormatting>
  <conditionalFormatting sqref="B92">
    <cfRule type="expression" dxfId="3117" priority="514">
      <formula>ISNUMBER(SEARCH("UV",$D82))</formula>
    </cfRule>
    <cfRule type="expression" dxfId="3116" priority="515">
      <formula>($D82="CANOPY TYPE")</formula>
    </cfRule>
  </conditionalFormatting>
  <conditionalFormatting sqref="B93:B95">
    <cfRule type="expression" dxfId="3115" priority="452">
      <formula>$J93&gt;0</formula>
    </cfRule>
  </conditionalFormatting>
  <conditionalFormatting sqref="B96">
    <cfRule type="expression" dxfId="3114" priority="644">
      <formula>$B96&lt;&gt;""</formula>
    </cfRule>
  </conditionalFormatting>
  <conditionalFormatting sqref="B99:B100 B102:B108">
    <cfRule type="expression" dxfId="3113" priority="296">
      <formula>$J99&gt;0</formula>
    </cfRule>
  </conditionalFormatting>
  <conditionalFormatting sqref="B109">
    <cfRule type="expression" dxfId="3112" priority="483">
      <formula>ISNUMBER(SEARCH("UV",$D99))</formula>
    </cfRule>
    <cfRule type="expression" dxfId="3111" priority="484">
      <formula>($D99="CANOPY TYPE")</formula>
    </cfRule>
  </conditionalFormatting>
  <conditionalFormatting sqref="B110:B112 B127:B129 B144:B146 B161:B163 B178:B180">
    <cfRule type="expression" dxfId="3110" priority="451">
      <formula>$J110&gt;0</formula>
    </cfRule>
  </conditionalFormatting>
  <conditionalFormatting sqref="B113">
    <cfRule type="expression" dxfId="3109" priority="288">
      <formula>$B113&lt;&gt;""</formula>
    </cfRule>
  </conditionalFormatting>
  <conditionalFormatting sqref="B116:B117 B119:B125">
    <cfRule type="expression" dxfId="3108" priority="231">
      <formula>$J116&gt;0</formula>
    </cfRule>
  </conditionalFormatting>
  <conditionalFormatting sqref="B126">
    <cfRule type="expression" dxfId="3107" priority="260">
      <formula>ISNUMBER(SEARCH("UV",$D116))</formula>
    </cfRule>
    <cfRule type="expression" dxfId="3106" priority="261">
      <formula>($D116="CANOPY TYPE")</formula>
    </cfRule>
  </conditionalFormatting>
  <conditionalFormatting sqref="B130">
    <cfRule type="expression" dxfId="3105" priority="219">
      <formula>$B130&lt;&gt;""</formula>
    </cfRule>
  </conditionalFormatting>
  <conditionalFormatting sqref="B133:B134 B136:B142">
    <cfRule type="expression" dxfId="3104" priority="168">
      <formula>$J133&gt;0</formula>
    </cfRule>
  </conditionalFormatting>
  <conditionalFormatting sqref="B143">
    <cfRule type="expression" dxfId="3103" priority="191">
      <formula>ISNUMBER(SEARCH("UV",$D133))</formula>
    </cfRule>
    <cfRule type="expression" dxfId="3102" priority="192">
      <formula>($D133="CANOPY TYPE")</formula>
    </cfRule>
  </conditionalFormatting>
  <conditionalFormatting sqref="B147">
    <cfRule type="expression" dxfId="3101" priority="164">
      <formula>$B147&lt;&gt;""</formula>
    </cfRule>
  </conditionalFormatting>
  <conditionalFormatting sqref="B150:B151 B153:B159">
    <cfRule type="expression" dxfId="3100" priority="113">
      <formula>$J150&gt;0</formula>
    </cfRule>
  </conditionalFormatting>
  <conditionalFormatting sqref="B160">
    <cfRule type="expression" dxfId="3099" priority="136">
      <formula>ISNUMBER(SEARCH("UV",$D150))</formula>
    </cfRule>
    <cfRule type="expression" dxfId="3098" priority="137">
      <formula>($D150="CANOPY TYPE")</formula>
    </cfRule>
  </conditionalFormatting>
  <conditionalFormatting sqref="B164">
    <cfRule type="expression" dxfId="3097" priority="109">
      <formula>$B164&lt;&gt;""</formula>
    </cfRule>
  </conditionalFormatting>
  <conditionalFormatting sqref="B167:B168 B170:B176">
    <cfRule type="expression" dxfId="3096" priority="58">
      <formula>$J167&gt;0</formula>
    </cfRule>
  </conditionalFormatting>
  <conditionalFormatting sqref="B177">
    <cfRule type="expression" dxfId="3095" priority="81">
      <formula>ISNUMBER(SEARCH("UV",$D167))</formula>
    </cfRule>
    <cfRule type="expression" dxfId="3094" priority="82">
      <formula>($D167="CANOPY TYPE")</formula>
    </cfRule>
  </conditionalFormatting>
  <conditionalFormatting sqref="B183:B197">
    <cfRule type="expression" dxfId="3093" priority="641">
      <formula>$C183&gt;0</formula>
    </cfRule>
  </conditionalFormatting>
  <conditionalFormatting sqref="C14">
    <cfRule type="containsText" dxfId="3092" priority="441" operator="containsText" text="CONFIG">
      <formula>NOT(ISERROR(SEARCH("CONFIG",C14)))</formula>
    </cfRule>
  </conditionalFormatting>
  <conditionalFormatting sqref="C15">
    <cfRule type="containsText" dxfId="3091" priority="446" operator="containsText" text="LIGHT SELECTION">
      <formula>NOT(ISERROR(SEARCH("LIGHT SELECTION",C15)))</formula>
    </cfRule>
  </conditionalFormatting>
  <conditionalFormatting sqref="C20:C21">
    <cfRule type="cellIs" dxfId="3088" priority="693" operator="lessThan">
      <formula>1</formula>
    </cfRule>
  </conditionalFormatting>
  <conditionalFormatting sqref="C22:C23">
    <cfRule type="expression" dxfId="3087" priority="421">
      <formula>D22="WW PODS"</formula>
    </cfRule>
  </conditionalFormatting>
  <conditionalFormatting sqref="C24">
    <cfRule type="expression" dxfId="3086" priority="710">
      <formula>ISNUMBER(SEARCH("UV",D14))</formula>
    </cfRule>
  </conditionalFormatting>
  <conditionalFormatting sqref="C25">
    <cfRule type="expression" dxfId="3085" priority="675">
      <formula>(ISNUMBER(SEARCH("CMW",D14)))=TRUE</formula>
    </cfRule>
  </conditionalFormatting>
  <conditionalFormatting sqref="C26">
    <cfRule type="expression" dxfId="3084" priority="674">
      <formula>(ISNUMBER(SEARCH("CMW",D14)))=TRUE</formula>
    </cfRule>
  </conditionalFormatting>
  <conditionalFormatting sqref="C27">
    <cfRule type="expression" dxfId="3083" priority="643">
      <formula>(ISNUMBER(SEARCH("CMW",$D14)))=TRUE</formula>
    </cfRule>
  </conditionalFormatting>
  <conditionalFormatting sqref="C31">
    <cfRule type="containsText" dxfId="3082" priority="618" operator="containsText" text="CONFIG">
      <formula>NOT(ISERROR(SEARCH("CONFIG",C31)))</formula>
    </cfRule>
  </conditionalFormatting>
  <conditionalFormatting sqref="C32">
    <cfRule type="containsText" dxfId="3081" priority="448" operator="containsText" text="LIGHT SELECTION">
      <formula>NOT(ISERROR(SEARCH("LIGHT SELECTION",C32)))</formula>
    </cfRule>
  </conditionalFormatting>
  <conditionalFormatting sqref="C37:C38">
    <cfRule type="cellIs" dxfId="3078" priority="617" operator="lessThan">
      <formula>1</formula>
    </cfRule>
  </conditionalFormatting>
  <conditionalFormatting sqref="C39:C40">
    <cfRule type="expression" dxfId="3077" priority="399">
      <formula>D39="WW PODS"</formula>
    </cfRule>
  </conditionalFormatting>
  <conditionalFormatting sqref="C41">
    <cfRule type="expression" dxfId="3076" priority="632">
      <formula>ISNUMBER(SEARCH("UV",D31))</formula>
    </cfRule>
  </conditionalFormatting>
  <conditionalFormatting sqref="C42">
    <cfRule type="expression" dxfId="3075" priority="615">
      <formula>(ISNUMBER(SEARCH("CMW",D31)))=TRUE</formula>
    </cfRule>
  </conditionalFormatting>
  <conditionalFormatting sqref="C43">
    <cfRule type="expression" dxfId="3074" priority="480">
      <formula>(ISNUMBER(SEARCH("CMW",D31)))=TRUE</formula>
    </cfRule>
  </conditionalFormatting>
  <conditionalFormatting sqref="C44">
    <cfRule type="expression" dxfId="3073" priority="610">
      <formula>(ISNUMBER(SEARCH("CMW",$D31)))=TRUE</formula>
    </cfRule>
  </conditionalFormatting>
  <conditionalFormatting sqref="C48">
    <cfRule type="containsText" dxfId="3072" priority="587" operator="containsText" text="CONFIG">
      <formula>NOT(ISERROR(SEARCH("CONFIG",C48)))</formula>
    </cfRule>
  </conditionalFormatting>
  <conditionalFormatting sqref="C49">
    <cfRule type="containsText" dxfId="3071" priority="445" operator="containsText" text="LIGHT SELECTION">
      <formula>NOT(ISERROR(SEARCH("LIGHT SELECTION",C49)))</formula>
    </cfRule>
  </conditionalFormatting>
  <conditionalFormatting sqref="C54:C55">
    <cfRule type="cellIs" dxfId="3068" priority="586" operator="lessThan">
      <formula>1</formula>
    </cfRule>
  </conditionalFormatting>
  <conditionalFormatting sqref="C56:C57">
    <cfRule type="expression" dxfId="3067" priority="373">
      <formula>D56="WW PODS"</formula>
    </cfRule>
  </conditionalFormatting>
  <conditionalFormatting sqref="C58">
    <cfRule type="expression" dxfId="3066" priority="600">
      <formula>ISNUMBER(SEARCH("UV",D48))</formula>
    </cfRule>
  </conditionalFormatting>
  <conditionalFormatting sqref="C59">
    <cfRule type="expression" dxfId="3065" priority="584">
      <formula>(ISNUMBER(SEARCH("CMW",D48)))=TRUE</formula>
    </cfRule>
  </conditionalFormatting>
  <conditionalFormatting sqref="C60">
    <cfRule type="expression" dxfId="3064" priority="479">
      <formula>(ISNUMBER(SEARCH("CMW",D48)))=TRUE</formula>
    </cfRule>
  </conditionalFormatting>
  <conditionalFormatting sqref="C61">
    <cfRule type="expression" dxfId="3063" priority="579">
      <formula>(ISNUMBER(SEARCH("CMW",$D48)))=TRUE</formula>
    </cfRule>
  </conditionalFormatting>
  <conditionalFormatting sqref="C65">
    <cfRule type="containsText" dxfId="3062" priority="557" operator="containsText" text="CONFIG">
      <formula>NOT(ISERROR(SEARCH("CONFIG",C65)))</formula>
    </cfRule>
  </conditionalFormatting>
  <conditionalFormatting sqref="C66">
    <cfRule type="containsText" dxfId="3061" priority="444" operator="containsText" text="LIGHT SELECTION">
      <formula>NOT(ISERROR(SEARCH("LIGHT SELECTION",C66)))</formula>
    </cfRule>
  </conditionalFormatting>
  <conditionalFormatting sqref="C71:C72">
    <cfRule type="cellIs" dxfId="3058" priority="556" operator="lessThan">
      <formula>1</formula>
    </cfRule>
  </conditionalFormatting>
  <conditionalFormatting sqref="C73:C74">
    <cfRule type="expression" dxfId="3057" priority="347">
      <formula>D73="WW PODS"</formula>
    </cfRule>
  </conditionalFormatting>
  <conditionalFormatting sqref="C75">
    <cfRule type="expression" dxfId="3056" priority="570">
      <formula>ISNUMBER(SEARCH("UV",D65))</formula>
    </cfRule>
  </conditionalFormatting>
  <conditionalFormatting sqref="C76">
    <cfRule type="expression" dxfId="3055" priority="553">
      <formula>(ISNUMBER(SEARCH("CMW",D65)))=TRUE</formula>
    </cfRule>
  </conditionalFormatting>
  <conditionalFormatting sqref="C77">
    <cfRule type="expression" dxfId="3054" priority="478">
      <formula>(ISNUMBER(SEARCH("CMW",D65)))=TRUE</formula>
    </cfRule>
  </conditionalFormatting>
  <conditionalFormatting sqref="C78">
    <cfRule type="expression" dxfId="3053" priority="548">
      <formula>(ISNUMBER(SEARCH("CMW",$D65)))=TRUE</formula>
    </cfRule>
  </conditionalFormatting>
  <conditionalFormatting sqref="C82">
    <cfRule type="containsText" dxfId="3052" priority="525" operator="containsText" text="CONFIG">
      <formula>NOT(ISERROR(SEARCH("CONFIG",C82)))</formula>
    </cfRule>
  </conditionalFormatting>
  <conditionalFormatting sqref="C83">
    <cfRule type="containsText" dxfId="3051" priority="443" operator="containsText" text="LIGHT SELECTION">
      <formula>NOT(ISERROR(SEARCH("LIGHT SELECTION",C83)))</formula>
    </cfRule>
  </conditionalFormatting>
  <conditionalFormatting sqref="C88:C89">
    <cfRule type="cellIs" dxfId="3048" priority="524" operator="lessThan">
      <formula>1</formula>
    </cfRule>
  </conditionalFormatting>
  <conditionalFormatting sqref="C90:C91">
    <cfRule type="expression" dxfId="3047" priority="321">
      <formula>D90="WW PODS"</formula>
    </cfRule>
  </conditionalFormatting>
  <conditionalFormatting sqref="C92">
    <cfRule type="expression" dxfId="3046" priority="539">
      <formula>ISNUMBER(SEARCH("UV",D82))</formula>
    </cfRule>
  </conditionalFormatting>
  <conditionalFormatting sqref="C93">
    <cfRule type="expression" dxfId="3045" priority="521">
      <formula>(ISNUMBER(SEARCH("CMW",D82)))=TRUE</formula>
    </cfRule>
  </conditionalFormatting>
  <conditionalFormatting sqref="C94">
    <cfRule type="expression" dxfId="3044" priority="477">
      <formula>(ISNUMBER(SEARCH("CMW",D82)))=TRUE</formula>
    </cfRule>
  </conditionalFormatting>
  <conditionalFormatting sqref="C95">
    <cfRule type="expression" dxfId="3043" priority="516">
      <formula>(ISNUMBER(SEARCH("CMW",$D82)))=TRUE</formula>
    </cfRule>
  </conditionalFormatting>
  <conditionalFormatting sqref="C99">
    <cfRule type="containsText" dxfId="3042" priority="493" operator="containsText" text="CONFIG">
      <formula>NOT(ISERROR(SEARCH("CONFIG",C99)))</formula>
    </cfRule>
  </conditionalFormatting>
  <conditionalFormatting sqref="C100">
    <cfRule type="containsText" dxfId="3041" priority="442" operator="containsText" text="LIGHT SELECTION">
      <formula>NOT(ISERROR(SEARCH("LIGHT SELECTION",C100)))</formula>
    </cfRule>
  </conditionalFormatting>
  <conditionalFormatting sqref="C105:C106">
    <cfRule type="cellIs" dxfId="3038" priority="492" operator="lessThan">
      <formula>1</formula>
    </cfRule>
  </conditionalFormatting>
  <conditionalFormatting sqref="C107:C108">
    <cfRule type="expression" dxfId="3037" priority="295">
      <formula>D107="WW PODS"</formula>
    </cfRule>
  </conditionalFormatting>
  <conditionalFormatting sqref="C109">
    <cfRule type="expression" dxfId="3036" priority="507">
      <formula>ISNUMBER(SEARCH("UV",D99))</formula>
    </cfRule>
  </conditionalFormatting>
  <conditionalFormatting sqref="C110">
    <cfRule type="expression" dxfId="3035" priority="490">
      <formula>(ISNUMBER(SEARCH("CMW",D99)))=TRUE</formula>
    </cfRule>
  </conditionalFormatting>
  <conditionalFormatting sqref="C111">
    <cfRule type="expression" dxfId="3034" priority="476">
      <formula>(ISNUMBER(SEARCH("CMW",D99)))=TRUE</formula>
    </cfRule>
  </conditionalFormatting>
  <conditionalFormatting sqref="C112 C129 C146 C163 C180">
    <cfRule type="expression" dxfId="3033" priority="485">
      <formula>(ISNUMBER(SEARCH("CMW",$D99)))=TRUE</formula>
    </cfRule>
  </conditionalFormatting>
  <conditionalFormatting sqref="C116">
    <cfRule type="containsText" dxfId="3032" priority="269" operator="containsText" text="CONFIG">
      <formula>NOT(ISERROR(SEARCH("CONFIG",C116)))</formula>
    </cfRule>
  </conditionalFormatting>
  <conditionalFormatting sqref="C117">
    <cfRule type="containsText" dxfId="3031" priority="253" operator="containsText" text="LIGHT SELECTION">
      <formula>NOT(ISERROR(SEARCH("LIGHT SELECTION",C117)))</formula>
    </cfRule>
  </conditionalFormatting>
  <conditionalFormatting sqref="C122:C123">
    <cfRule type="cellIs" dxfId="3028" priority="268" operator="lessThan">
      <formula>1</formula>
    </cfRule>
  </conditionalFormatting>
  <conditionalFormatting sqref="C124:C125">
    <cfRule type="expression" dxfId="3027" priority="230">
      <formula>D124="WW PODS"</formula>
    </cfRule>
  </conditionalFormatting>
  <conditionalFormatting sqref="C126">
    <cfRule type="expression" dxfId="3026" priority="283">
      <formula>ISNUMBER(SEARCH("UV",D116))</formula>
    </cfRule>
  </conditionalFormatting>
  <conditionalFormatting sqref="C127">
    <cfRule type="expression" dxfId="3025" priority="266">
      <formula>(ISNUMBER(SEARCH("CMW",D116)))=TRUE</formula>
    </cfRule>
  </conditionalFormatting>
  <conditionalFormatting sqref="C128">
    <cfRule type="expression" dxfId="3024" priority="258">
      <formula>(ISNUMBER(SEARCH("CMW",D116)))=TRUE</formula>
    </cfRule>
  </conditionalFormatting>
  <conditionalFormatting sqref="C133">
    <cfRule type="containsText" dxfId="3023" priority="200" operator="containsText" text="CONFIG">
      <formula>NOT(ISERROR(SEARCH("CONFIG",C133)))</formula>
    </cfRule>
  </conditionalFormatting>
  <conditionalFormatting sqref="C134">
    <cfRule type="containsText" dxfId="3022" priority="184" operator="containsText" text="LIGHT SELECTION">
      <formula>NOT(ISERROR(SEARCH("LIGHT SELECTION",C134)))</formula>
    </cfRule>
  </conditionalFormatting>
  <conditionalFormatting sqref="C139:C140">
    <cfRule type="cellIs" dxfId="3019" priority="199" operator="lessThan">
      <formula>1</formula>
    </cfRule>
  </conditionalFormatting>
  <conditionalFormatting sqref="C141:C142">
    <cfRule type="expression" dxfId="3018" priority="167">
      <formula>D141="WW PODS"</formula>
    </cfRule>
  </conditionalFormatting>
  <conditionalFormatting sqref="C143">
    <cfRule type="expression" dxfId="3017" priority="214">
      <formula>ISNUMBER(SEARCH("UV",D133))</formula>
    </cfRule>
  </conditionalFormatting>
  <conditionalFormatting sqref="C144">
    <cfRule type="expression" dxfId="3016" priority="197">
      <formula>(ISNUMBER(SEARCH("CMW",D133)))=TRUE</formula>
    </cfRule>
  </conditionalFormatting>
  <conditionalFormatting sqref="C145">
    <cfRule type="expression" dxfId="3015" priority="189">
      <formula>(ISNUMBER(SEARCH("CMW",D133)))=TRUE</formula>
    </cfRule>
  </conditionalFormatting>
  <conditionalFormatting sqref="C150">
    <cfRule type="containsText" dxfId="3014" priority="145" operator="containsText" text="CONFIG">
      <formula>NOT(ISERROR(SEARCH("CONFIG",C150)))</formula>
    </cfRule>
  </conditionalFormatting>
  <conditionalFormatting sqref="C151">
    <cfRule type="containsText" dxfId="3013" priority="129" operator="containsText" text="LIGHT SELECTION">
      <formula>NOT(ISERROR(SEARCH("LIGHT SELECTION",C151)))</formula>
    </cfRule>
  </conditionalFormatting>
  <conditionalFormatting sqref="C156:C157">
    <cfRule type="cellIs" dxfId="3010" priority="144" operator="lessThan">
      <formula>1</formula>
    </cfRule>
  </conditionalFormatting>
  <conditionalFormatting sqref="C158:C159">
    <cfRule type="expression" dxfId="3009" priority="112">
      <formula>D158="WW PODS"</formula>
    </cfRule>
  </conditionalFormatting>
  <conditionalFormatting sqref="C160">
    <cfRule type="expression" dxfId="3008" priority="159">
      <formula>ISNUMBER(SEARCH("UV",D150))</formula>
    </cfRule>
  </conditionalFormatting>
  <conditionalFormatting sqref="C161">
    <cfRule type="expression" dxfId="3007" priority="142">
      <formula>(ISNUMBER(SEARCH("CMW",D150)))=TRUE</formula>
    </cfRule>
  </conditionalFormatting>
  <conditionalFormatting sqref="C162">
    <cfRule type="expression" dxfId="3006" priority="134">
      <formula>(ISNUMBER(SEARCH("CMW",D150)))=TRUE</formula>
    </cfRule>
  </conditionalFormatting>
  <conditionalFormatting sqref="C167">
    <cfRule type="containsText" dxfId="3005" priority="90" operator="containsText" text="CONFIG">
      <formula>NOT(ISERROR(SEARCH("CONFIG",C167)))</formula>
    </cfRule>
  </conditionalFormatting>
  <conditionalFormatting sqref="C168">
    <cfRule type="containsText" dxfId="3004" priority="74" operator="containsText" text="LIGHT SELECTION">
      <formula>NOT(ISERROR(SEARCH("LIGHT SELECTION",C168)))</formula>
    </cfRule>
  </conditionalFormatting>
  <conditionalFormatting sqref="C173:C174">
    <cfRule type="cellIs" dxfId="3001" priority="89" operator="lessThan">
      <formula>1</formula>
    </cfRule>
  </conditionalFormatting>
  <conditionalFormatting sqref="C175:C176">
    <cfRule type="expression" dxfId="3000" priority="57">
      <formula>D175="WW PODS"</formula>
    </cfRule>
  </conditionalFormatting>
  <conditionalFormatting sqref="C177">
    <cfRule type="expression" dxfId="2999" priority="104">
      <formula>ISNUMBER(SEARCH("UV",D167))</formula>
    </cfRule>
  </conditionalFormatting>
  <conditionalFormatting sqref="C178">
    <cfRule type="expression" dxfId="2998" priority="87">
      <formula>(ISNUMBER(SEARCH("CMW",D167)))=TRUE</formula>
    </cfRule>
  </conditionalFormatting>
  <conditionalFormatting sqref="C179">
    <cfRule type="expression" dxfId="2997" priority="79">
      <formula>(ISNUMBER(SEARCH("CMW",D167)))=TRUE</formula>
    </cfRule>
  </conditionalFormatting>
  <conditionalFormatting sqref="C183:C184">
    <cfRule type="cellIs" dxfId="2996" priority="695" operator="lessThan">
      <formula>1</formula>
    </cfRule>
  </conditionalFormatting>
  <conditionalFormatting sqref="C185">
    <cfRule type="cellIs" dxfId="2995" priority="684" operator="lessThan">
      <formula>1</formula>
    </cfRule>
  </conditionalFormatting>
  <conditionalFormatting sqref="C186:C197">
    <cfRule type="cellIs" dxfId="2994" priority="224" operator="lessThan">
      <formula>1</formula>
    </cfRule>
  </conditionalFormatting>
  <conditionalFormatting sqref="C9:D9">
    <cfRule type="cellIs" dxfId="2993" priority="685" operator="lessThan">
      <formula>0</formula>
    </cfRule>
    <cfRule type="cellIs" dxfId="2992" priority="686" operator="greaterThan">
      <formula>0</formula>
    </cfRule>
  </conditionalFormatting>
  <conditionalFormatting sqref="D14">
    <cfRule type="containsText" dxfId="2991" priority="696" operator="containsText" text="CANOPY TYPE">
      <formula>NOT(ISERROR(SEARCH("CANOPY TYPE",D14)))</formula>
    </cfRule>
  </conditionalFormatting>
  <conditionalFormatting sqref="D15">
    <cfRule type="expression" dxfId="2990" priority="437">
      <formula>(C15="LIGHT SELECTION")</formula>
    </cfRule>
  </conditionalFormatting>
  <conditionalFormatting sqref="D16:D18">
    <cfRule type="expression" dxfId="2989" priority="651">
      <formula>($C16="SELECT WORKS")</formula>
    </cfRule>
  </conditionalFormatting>
  <conditionalFormatting sqref="D19">
    <cfRule type="expression" dxfId="2988" priority="223">
      <formula>$C19="SELECT CLADDING"</formula>
    </cfRule>
  </conditionalFormatting>
  <conditionalFormatting sqref="D22:D23">
    <cfRule type="expression" dxfId="2987" priority="420">
      <formula>($D$14="CANOPY TYPE")</formula>
    </cfRule>
  </conditionalFormatting>
  <conditionalFormatting sqref="D24">
    <cfRule type="expression" dxfId="2986" priority="709">
      <formula>ISNUMBER(SEARCH("UV",D14))</formula>
    </cfRule>
  </conditionalFormatting>
  <conditionalFormatting sqref="D25">
    <cfRule type="expression" dxfId="2985" priority="637">
      <formula>($D$14="CANOPY TYPE")</formula>
    </cfRule>
  </conditionalFormatting>
  <conditionalFormatting sqref="D26">
    <cfRule type="expression" dxfId="2984" priority="659">
      <formula>(ISNUMBER(SEARCH("CMW",D14)))=TRUE</formula>
    </cfRule>
  </conditionalFormatting>
  <conditionalFormatting sqref="D31">
    <cfRule type="containsText" dxfId="2983" priority="619" operator="containsText" text="CANOPY TYPE">
      <formula>NOT(ISERROR(SEARCH("CANOPY TYPE",D31)))</formula>
    </cfRule>
  </conditionalFormatting>
  <conditionalFormatting sqref="D32">
    <cfRule type="expression" dxfId="2982" priority="450">
      <formula>(C32="LIGHT SELECTION")</formula>
    </cfRule>
  </conditionalFormatting>
  <conditionalFormatting sqref="D34:D35">
    <cfRule type="expression" dxfId="2981" priority="612">
      <formula>($C34="SELECT WORKS")</formula>
    </cfRule>
  </conditionalFormatting>
  <conditionalFormatting sqref="D36">
    <cfRule type="expression" dxfId="2980" priority="429">
      <formula>$C36="SELECT CLADDING"</formula>
    </cfRule>
  </conditionalFormatting>
  <conditionalFormatting sqref="D39:D40">
    <cfRule type="expression" dxfId="2979" priority="394">
      <formula>($D$14="CANOPY TYPE")</formula>
    </cfRule>
  </conditionalFormatting>
  <conditionalFormatting sqref="D41">
    <cfRule type="expression" dxfId="2978" priority="631">
      <formula>ISNUMBER(SEARCH("UV",D31))</formula>
    </cfRule>
  </conditionalFormatting>
  <conditionalFormatting sqref="D42">
    <cfRule type="expression" dxfId="2977" priority="605">
      <formula>($D$14="CANOPY TYPE")</formula>
    </cfRule>
  </conditionalFormatting>
  <conditionalFormatting sqref="D43">
    <cfRule type="expression" dxfId="2976" priority="614">
      <formula>(ISNUMBER(SEARCH("CMW",D31)))=TRUE</formula>
    </cfRule>
  </conditionalFormatting>
  <conditionalFormatting sqref="D48">
    <cfRule type="containsText" dxfId="2975" priority="432" operator="containsText" text="CANOPY TYPE">
      <formula>NOT(ISERROR(SEARCH("CANOPY TYPE",D48)))</formula>
    </cfRule>
  </conditionalFormatting>
  <conditionalFormatting sqref="D49">
    <cfRule type="expression" dxfId="2974" priority="447">
      <formula>(C15="LIGHT SELECTION")</formula>
    </cfRule>
  </conditionalFormatting>
  <conditionalFormatting sqref="D51:D52">
    <cfRule type="expression" dxfId="2973" priority="581">
      <formula>($C51="SELECT WORKS")</formula>
    </cfRule>
  </conditionalFormatting>
  <conditionalFormatting sqref="D53">
    <cfRule type="expression" dxfId="2972" priority="430">
      <formula>$C53="SELECT CLADDING"</formula>
    </cfRule>
  </conditionalFormatting>
  <conditionalFormatting sqref="D56:D57">
    <cfRule type="expression" dxfId="2971" priority="368">
      <formula>($D$14="CANOPY TYPE")</formula>
    </cfRule>
  </conditionalFormatting>
  <conditionalFormatting sqref="D58">
    <cfRule type="expression" dxfId="2970" priority="599">
      <formula>ISNUMBER(SEARCH("UV",D48))</formula>
    </cfRule>
  </conditionalFormatting>
  <conditionalFormatting sqref="D59">
    <cfRule type="expression" dxfId="2969" priority="575">
      <formula>($D$14="CANOPY TYPE")</formula>
    </cfRule>
  </conditionalFormatting>
  <conditionalFormatting sqref="D60">
    <cfRule type="expression" dxfId="2968" priority="583">
      <formula>(ISNUMBER(SEARCH("CMW",D48)))=TRUE</formula>
    </cfRule>
  </conditionalFormatting>
  <conditionalFormatting sqref="D65">
    <cfRule type="containsText" dxfId="2967" priority="431" operator="containsText" text="CANOPY TYPE">
      <formula>NOT(ISERROR(SEARCH("CANOPY TYPE",D65)))</formula>
    </cfRule>
  </conditionalFormatting>
  <conditionalFormatting sqref="D66">
    <cfRule type="expression" dxfId="2966" priority="440">
      <formula>(C66="LIGHT SELECTION")</formula>
    </cfRule>
  </conditionalFormatting>
  <conditionalFormatting sqref="D68:D69">
    <cfRule type="expression" dxfId="2965" priority="550">
      <formula>($C68="SELECT WORKS")</formula>
    </cfRule>
  </conditionalFormatting>
  <conditionalFormatting sqref="D70">
    <cfRule type="expression" dxfId="2964" priority="554">
      <formula>$C70="SELECT CLADDING"</formula>
    </cfRule>
  </conditionalFormatting>
  <conditionalFormatting sqref="D73:D74">
    <cfRule type="expression" dxfId="2963" priority="342">
      <formula>($D$14="CANOPY TYPE")</formula>
    </cfRule>
  </conditionalFormatting>
  <conditionalFormatting sqref="D75">
    <cfRule type="expression" dxfId="2962" priority="569">
      <formula>ISNUMBER(SEARCH("UV",D65))</formula>
    </cfRule>
  </conditionalFormatting>
  <conditionalFormatting sqref="D76">
    <cfRule type="expression" dxfId="2961" priority="544">
      <formula>($D$14="CANOPY TYPE")</formula>
    </cfRule>
  </conditionalFormatting>
  <conditionalFormatting sqref="D77">
    <cfRule type="expression" dxfId="2960" priority="552">
      <formula>(ISNUMBER(SEARCH("CMW",D65)))=TRUE</formula>
    </cfRule>
  </conditionalFormatting>
  <conditionalFormatting sqref="D82">
    <cfRule type="containsText" dxfId="2959" priority="526" operator="containsText" text="CANOPY TYPE">
      <formula>NOT(ISERROR(SEARCH("CANOPY TYPE",D82)))</formula>
    </cfRule>
  </conditionalFormatting>
  <conditionalFormatting sqref="D83">
    <cfRule type="expression" dxfId="2958" priority="439">
      <formula>(C83="LIGHT SELECTION")</formula>
    </cfRule>
  </conditionalFormatting>
  <conditionalFormatting sqref="D85:D86">
    <cfRule type="expression" dxfId="2957" priority="518">
      <formula>($C85="SELECT WORKS")</formula>
    </cfRule>
  </conditionalFormatting>
  <conditionalFormatting sqref="D87">
    <cfRule type="expression" dxfId="2956" priority="522">
      <formula>$C87="SELECT CLADDING"</formula>
    </cfRule>
  </conditionalFormatting>
  <conditionalFormatting sqref="D90:D91">
    <cfRule type="expression" dxfId="2955" priority="316">
      <formula>($D$14="CANOPY TYPE")</formula>
    </cfRule>
  </conditionalFormatting>
  <conditionalFormatting sqref="D92">
    <cfRule type="expression" dxfId="2954" priority="538">
      <formula>ISNUMBER(SEARCH("UV",D82))</formula>
    </cfRule>
  </conditionalFormatting>
  <conditionalFormatting sqref="D93">
    <cfRule type="expression" dxfId="2953" priority="512">
      <formula>($D$14="CANOPY TYPE")</formula>
    </cfRule>
  </conditionalFormatting>
  <conditionalFormatting sqref="D94">
    <cfRule type="expression" dxfId="2952" priority="520">
      <formula>(ISNUMBER(SEARCH("CMW",D82)))=TRUE</formula>
    </cfRule>
  </conditionalFormatting>
  <conditionalFormatting sqref="D99">
    <cfRule type="containsText" dxfId="2951" priority="494" operator="containsText" text="CANOPY TYPE">
      <formula>NOT(ISERROR(SEARCH("CANOPY TYPE",D99)))</formula>
    </cfRule>
  </conditionalFormatting>
  <conditionalFormatting sqref="D100">
    <cfRule type="expression" dxfId="2950" priority="438">
      <formula>(C100="LIGHT SELECTION")</formula>
    </cfRule>
  </conditionalFormatting>
  <conditionalFormatting sqref="D102:D103">
    <cfRule type="expression" dxfId="2949" priority="487">
      <formula>($C102="SELECT WORKS")</formula>
    </cfRule>
  </conditionalFormatting>
  <conditionalFormatting sqref="D104">
    <cfRule type="expression" dxfId="2948" priority="428">
      <formula>$C104="SELECT CLADDING"</formula>
    </cfRule>
  </conditionalFormatting>
  <conditionalFormatting sqref="D107:D108">
    <cfRule type="expression" dxfId="2947" priority="290">
      <formula>($D$14="CANOPY TYPE")</formula>
    </cfRule>
  </conditionalFormatting>
  <conditionalFormatting sqref="D109">
    <cfRule type="expression" dxfId="2946" priority="506">
      <formula>ISNUMBER(SEARCH("UV",D99))</formula>
    </cfRule>
  </conditionalFormatting>
  <conditionalFormatting sqref="D110">
    <cfRule type="expression" dxfId="2945" priority="481">
      <formula>($D$14="CANOPY TYPE")</formula>
    </cfRule>
  </conditionalFormatting>
  <conditionalFormatting sqref="D111">
    <cfRule type="expression" dxfId="2944" priority="489">
      <formula>(ISNUMBER(SEARCH("CMW",D99)))=TRUE</formula>
    </cfRule>
  </conditionalFormatting>
  <conditionalFormatting sqref="D116">
    <cfRule type="containsText" dxfId="2943" priority="270" operator="containsText" text="CANOPY TYPE">
      <formula>NOT(ISERROR(SEARCH("CANOPY TYPE",D116)))</formula>
    </cfRule>
  </conditionalFormatting>
  <conditionalFormatting sqref="D117">
    <cfRule type="expression" dxfId="2942" priority="252">
      <formula>(C117="LIGHT SELECTION")</formula>
    </cfRule>
  </conditionalFormatting>
  <conditionalFormatting sqref="D119:D120">
    <cfRule type="expression" dxfId="2941" priority="263">
      <formula>($C119="SELECT WORKS")</formula>
    </cfRule>
  </conditionalFormatting>
  <conditionalFormatting sqref="D121">
    <cfRule type="expression" dxfId="2940" priority="251">
      <formula>$C121="SELECT CLADDING"</formula>
    </cfRule>
  </conditionalFormatting>
  <conditionalFormatting sqref="D124:D125">
    <cfRule type="expression" dxfId="2939" priority="225">
      <formula>($D$14="CANOPY TYPE")</formula>
    </cfRule>
  </conditionalFormatting>
  <conditionalFormatting sqref="D126">
    <cfRule type="expression" dxfId="2938" priority="282">
      <formula>ISNUMBER(SEARCH("UV",D116))</formula>
    </cfRule>
  </conditionalFormatting>
  <conditionalFormatting sqref="D127">
    <cfRule type="expression" dxfId="2937" priority="259">
      <formula>($D$14="CANOPY TYPE")</formula>
    </cfRule>
  </conditionalFormatting>
  <conditionalFormatting sqref="D128">
    <cfRule type="expression" dxfId="2936" priority="265">
      <formula>(ISNUMBER(SEARCH("CMW",D116)))=TRUE</formula>
    </cfRule>
  </conditionalFormatting>
  <conditionalFormatting sqref="D133">
    <cfRule type="containsText" dxfId="2935" priority="201" operator="containsText" text="CANOPY TYPE">
      <formula>NOT(ISERROR(SEARCH("CANOPY TYPE",D133)))</formula>
    </cfRule>
  </conditionalFormatting>
  <conditionalFormatting sqref="D134">
    <cfRule type="expression" dxfId="2934" priority="183">
      <formula>(C134="LIGHT SELECTION")</formula>
    </cfRule>
  </conditionalFormatting>
  <conditionalFormatting sqref="D136:D137">
    <cfRule type="expression" dxfId="2933" priority="194">
      <formula>($C136="SELECT WORKS")</formula>
    </cfRule>
  </conditionalFormatting>
  <conditionalFormatting sqref="D138">
    <cfRule type="expression" dxfId="2932" priority="182">
      <formula>$C138="SELECT CLADDING"</formula>
    </cfRule>
  </conditionalFormatting>
  <conditionalFormatting sqref="D141:D142">
    <cfRule type="expression" dxfId="2931" priority="166">
      <formula>($D$14="CANOPY TYPE")</formula>
    </cfRule>
  </conditionalFormatting>
  <conditionalFormatting sqref="D143">
    <cfRule type="expression" dxfId="2930" priority="213">
      <formula>ISNUMBER(SEARCH("UV",D133))</formula>
    </cfRule>
  </conditionalFormatting>
  <conditionalFormatting sqref="D144">
    <cfRule type="expression" dxfId="2929" priority="190">
      <formula>($D$14="CANOPY TYPE")</formula>
    </cfRule>
  </conditionalFormatting>
  <conditionalFormatting sqref="D145">
    <cfRule type="expression" dxfId="2928" priority="196">
      <formula>(ISNUMBER(SEARCH("CMW",D133)))=TRUE</formula>
    </cfRule>
  </conditionalFormatting>
  <conditionalFormatting sqref="D150">
    <cfRule type="containsText" dxfId="2927" priority="146" operator="containsText" text="CANOPY TYPE">
      <formula>NOT(ISERROR(SEARCH("CANOPY TYPE",D150)))</formula>
    </cfRule>
  </conditionalFormatting>
  <conditionalFormatting sqref="D151">
    <cfRule type="expression" dxfId="2926" priority="128">
      <formula>(C151="LIGHT SELECTION")</formula>
    </cfRule>
  </conditionalFormatting>
  <conditionalFormatting sqref="D153:D154">
    <cfRule type="expression" dxfId="2925" priority="139">
      <formula>($C153="SELECT WORKS")</formula>
    </cfRule>
  </conditionalFormatting>
  <conditionalFormatting sqref="D155">
    <cfRule type="expression" dxfId="2924" priority="127">
      <formula>$C155="SELECT CLADDING"</formula>
    </cfRule>
  </conditionalFormatting>
  <conditionalFormatting sqref="D158:D159">
    <cfRule type="expression" dxfId="2923" priority="111">
      <formula>($D$14="CANOPY TYPE")</formula>
    </cfRule>
  </conditionalFormatting>
  <conditionalFormatting sqref="D160">
    <cfRule type="expression" dxfId="2922" priority="158">
      <formula>ISNUMBER(SEARCH("UV",D150))</formula>
    </cfRule>
  </conditionalFormatting>
  <conditionalFormatting sqref="D161">
    <cfRule type="expression" dxfId="2921" priority="135">
      <formula>($D$14="CANOPY TYPE")</formula>
    </cfRule>
  </conditionalFormatting>
  <conditionalFormatting sqref="D162">
    <cfRule type="expression" dxfId="2920" priority="141">
      <formula>(ISNUMBER(SEARCH("CMW",D150)))=TRUE</formula>
    </cfRule>
  </conditionalFormatting>
  <conditionalFormatting sqref="D167">
    <cfRule type="containsText" dxfId="2919" priority="91" operator="containsText" text="CANOPY TYPE">
      <formula>NOT(ISERROR(SEARCH("CANOPY TYPE",D167)))</formula>
    </cfRule>
  </conditionalFormatting>
  <conditionalFormatting sqref="D168">
    <cfRule type="expression" dxfId="2918" priority="73">
      <formula>(C168="LIGHT SELECTION")</formula>
    </cfRule>
  </conditionalFormatting>
  <conditionalFormatting sqref="D170:D171">
    <cfRule type="expression" dxfId="2917" priority="84">
      <formula>($C170="SELECT WORKS")</formula>
    </cfRule>
  </conditionalFormatting>
  <conditionalFormatting sqref="D172">
    <cfRule type="expression" dxfId="2916" priority="72">
      <formula>$C172="SELECT CLADDING"</formula>
    </cfRule>
  </conditionalFormatting>
  <conditionalFormatting sqref="D175:D176">
    <cfRule type="expression" dxfId="2915" priority="56">
      <formula>($D$14="CANOPY TYPE")</formula>
    </cfRule>
  </conditionalFormatting>
  <conditionalFormatting sqref="D177">
    <cfRule type="expression" dxfId="2914" priority="103">
      <formula>ISNUMBER(SEARCH("UV",D167))</formula>
    </cfRule>
  </conditionalFormatting>
  <conditionalFormatting sqref="D178">
    <cfRule type="expression" dxfId="2913" priority="80">
      <formula>($D$14="CANOPY TYPE")</formula>
    </cfRule>
  </conditionalFormatting>
  <conditionalFormatting sqref="D179">
    <cfRule type="expression" dxfId="2912" priority="86">
      <formula>(ISNUMBER(SEARCH("CMW",D167)))=TRUE</formula>
    </cfRule>
  </conditionalFormatting>
  <conditionalFormatting sqref="E12">
    <cfRule type="expression" dxfId="2911" priority="706">
      <formula>AND((ISNUMBER(SEARCH("I-MUAP",$D$14))),E12&lt;2500)</formula>
    </cfRule>
    <cfRule type="expression" dxfId="2910" priority="707">
      <formula>ISNUMBER(SEARCH("I-MUAP",$D$14))</formula>
    </cfRule>
    <cfRule type="cellIs" dxfId="2909" priority="708" operator="greaterThan">
      <formula>2000</formula>
    </cfRule>
  </conditionalFormatting>
  <conditionalFormatting sqref="E15">
    <cfRule type="expression" dxfId="2908" priority="435">
      <formula>(C15="LIGHT SELECTION")</formula>
    </cfRule>
  </conditionalFormatting>
  <conditionalFormatting sqref="E16:E18">
    <cfRule type="expression" dxfId="2907" priority="55">
      <formula>$C16="SELECT WORKS"</formula>
    </cfRule>
  </conditionalFormatting>
  <conditionalFormatting sqref="E22:E23">
    <cfRule type="expression" dxfId="2906" priority="689">
      <formula>D22="WW PODS"</formula>
    </cfRule>
    <cfRule type="expression" dxfId="2905" priority="690">
      <formula>D22="FILTER TYPE"</formula>
    </cfRule>
    <cfRule type="expression" dxfId="2904" priority="691">
      <formula>D22="KSA"</formula>
    </cfRule>
    <cfRule type="expression" dxfId="2903" priority="711">
      <formula>(D14="CANOPY TYPE")</formula>
    </cfRule>
  </conditionalFormatting>
  <conditionalFormatting sqref="E24">
    <cfRule type="containsText" dxfId="2902" priority="698" operator="containsText" text="LONG ">
      <formula>NOT(ISERROR(SEARCH("LONG ",E24)))</formula>
    </cfRule>
  </conditionalFormatting>
  <conditionalFormatting sqref="E29">
    <cfRule type="expression" dxfId="2901" priority="628">
      <formula>AND((ISNUMBER(SEARCH("I-MUAP",$D$14))),E29&lt;2500)</formula>
    </cfRule>
    <cfRule type="expression" dxfId="2900" priority="629">
      <formula>ISNUMBER(SEARCH("I-MUAP",$D$14))</formula>
    </cfRule>
    <cfRule type="cellIs" dxfId="2899" priority="630" operator="greaterThan">
      <formula>2000</formula>
    </cfRule>
  </conditionalFormatting>
  <conditionalFormatting sqref="E34">
    <cfRule type="expression" dxfId="2898" priority="611">
      <formula>$C34="SELECT WORKS"</formula>
    </cfRule>
  </conditionalFormatting>
  <conditionalFormatting sqref="E39:E40">
    <cfRule type="expression" dxfId="2897" priority="407">
      <formula>D39="WW PODS"</formula>
    </cfRule>
    <cfRule type="expression" dxfId="2896" priority="408">
      <formula>D39="FILTER TYPE"</formula>
    </cfRule>
    <cfRule type="expression" dxfId="2895" priority="409">
      <formula>D39="KSA"</formula>
    </cfRule>
    <cfRule type="expression" dxfId="2894" priority="410">
      <formula>(D31="CANOPY TYPE")</formula>
    </cfRule>
  </conditionalFormatting>
  <conditionalFormatting sqref="E41">
    <cfRule type="containsText" dxfId="2893" priority="621" operator="containsText" text="LONG ">
      <formula>NOT(ISERROR(SEARCH("LONG ",E41)))</formula>
    </cfRule>
  </conditionalFormatting>
  <conditionalFormatting sqref="E46">
    <cfRule type="expression" dxfId="2892" priority="596">
      <formula>AND((ISNUMBER(SEARCH("I-MUAP",$D$14))),E46&lt;2500)</formula>
    </cfRule>
    <cfRule type="expression" dxfId="2891" priority="597">
      <formula>ISNUMBER(SEARCH("I-MUAP",$D$14))</formula>
    </cfRule>
    <cfRule type="cellIs" dxfId="2890" priority="598" operator="greaterThan">
      <formula>2000</formula>
    </cfRule>
  </conditionalFormatting>
  <conditionalFormatting sqref="E49">
    <cfRule type="expression" dxfId="2889" priority="449">
      <formula>(C49="LIGHT SELECTION")</formula>
    </cfRule>
  </conditionalFormatting>
  <conditionalFormatting sqref="E51:E52">
    <cfRule type="expression" dxfId="2888" priority="580">
      <formula>$C51="SELECT WORKS"</formula>
    </cfRule>
  </conditionalFormatting>
  <conditionalFormatting sqref="E56:E57">
    <cfRule type="expression" dxfId="2887" priority="381">
      <formula>D56="WW PODS"</formula>
    </cfRule>
    <cfRule type="expression" dxfId="2886" priority="382">
      <formula>D56="FILTER TYPE"</formula>
    </cfRule>
    <cfRule type="expression" dxfId="2885" priority="383">
      <formula>D56="KSA"</formula>
    </cfRule>
    <cfRule type="expression" dxfId="2884" priority="384">
      <formula>(D48="CANOPY TYPE")</formula>
    </cfRule>
  </conditionalFormatting>
  <conditionalFormatting sqref="E58">
    <cfRule type="containsText" dxfId="2883" priority="589" operator="containsText" text="LONG ">
      <formula>NOT(ISERROR(SEARCH("LONG ",E58)))</formula>
    </cfRule>
  </conditionalFormatting>
  <conditionalFormatting sqref="E63">
    <cfRule type="expression" dxfId="2882" priority="566">
      <formula>AND((ISNUMBER(SEARCH("I-MUAP",$D$14))),E63&lt;2500)</formula>
    </cfRule>
    <cfRule type="expression" dxfId="2881" priority="567">
      <formula>ISNUMBER(SEARCH("I-MUAP",$D$14))</formula>
    </cfRule>
    <cfRule type="cellIs" dxfId="2880" priority="568" operator="greaterThan">
      <formula>2000</formula>
    </cfRule>
  </conditionalFormatting>
  <conditionalFormatting sqref="E68:E69">
    <cfRule type="expression" dxfId="2879" priority="549">
      <formula>$C68="SELECT WORKS"</formula>
    </cfRule>
  </conditionalFormatting>
  <conditionalFormatting sqref="E73:E74">
    <cfRule type="expression" dxfId="2878" priority="355">
      <formula>D73="WW PODS"</formula>
    </cfRule>
    <cfRule type="expression" dxfId="2877" priority="356">
      <formula>D73="FILTER TYPE"</formula>
    </cfRule>
    <cfRule type="expression" dxfId="2876" priority="357">
      <formula>D73="KSA"</formula>
    </cfRule>
    <cfRule type="expression" dxfId="2875" priority="358">
      <formula>(D65="CANOPY TYPE")</formula>
    </cfRule>
  </conditionalFormatting>
  <conditionalFormatting sqref="E75">
    <cfRule type="containsText" dxfId="2874" priority="559" operator="containsText" text="LONG ">
      <formula>NOT(ISERROR(SEARCH("LONG ",E75)))</formula>
    </cfRule>
  </conditionalFormatting>
  <conditionalFormatting sqref="E80">
    <cfRule type="expression" dxfId="2873" priority="535">
      <formula>AND((ISNUMBER(SEARCH("I-MUAP",$D$14))),E80&lt;2500)</formula>
    </cfRule>
    <cfRule type="expression" dxfId="2872" priority="536">
      <formula>ISNUMBER(SEARCH("I-MUAP",$D$14))</formula>
    </cfRule>
    <cfRule type="cellIs" dxfId="2871" priority="537" operator="greaterThan">
      <formula>2000</formula>
    </cfRule>
  </conditionalFormatting>
  <conditionalFormatting sqref="E85:E86">
    <cfRule type="expression" dxfId="2870" priority="517">
      <formula>$C85="SELECT WORKS"</formula>
    </cfRule>
  </conditionalFormatting>
  <conditionalFormatting sqref="E90:E91">
    <cfRule type="expression" dxfId="2869" priority="329">
      <formula>D90="WW PODS"</formula>
    </cfRule>
    <cfRule type="expression" dxfId="2868" priority="330">
      <formula>D90="FILTER TYPE"</formula>
    </cfRule>
    <cfRule type="expression" dxfId="2867" priority="331">
      <formula>D90="KSA"</formula>
    </cfRule>
    <cfRule type="expression" dxfId="2866" priority="332">
      <formula>(D82="CANOPY TYPE")</formula>
    </cfRule>
  </conditionalFormatting>
  <conditionalFormatting sqref="E92">
    <cfRule type="containsText" dxfId="2865" priority="528" operator="containsText" text="LONG ">
      <formula>NOT(ISERROR(SEARCH("LONG ",E92)))</formula>
    </cfRule>
  </conditionalFormatting>
  <conditionalFormatting sqref="E97">
    <cfRule type="expression" dxfId="2864" priority="503">
      <formula>AND((ISNUMBER(SEARCH("I-MUAP",$D$14))),E97&lt;2500)</formula>
    </cfRule>
    <cfRule type="expression" dxfId="2863" priority="504">
      <formula>ISNUMBER(SEARCH("I-MUAP",$D$14))</formula>
    </cfRule>
    <cfRule type="cellIs" dxfId="2862" priority="505" operator="greaterThan">
      <formula>2000</formula>
    </cfRule>
  </conditionalFormatting>
  <conditionalFormatting sqref="E102:E103">
    <cfRule type="expression" dxfId="2861" priority="486">
      <formula>$C102="SELECT WORKS"</formula>
    </cfRule>
  </conditionalFormatting>
  <conditionalFormatting sqref="E107:E108">
    <cfRule type="expression" dxfId="2860" priority="303">
      <formula>D107="WW PODS"</formula>
    </cfRule>
    <cfRule type="expression" dxfId="2859" priority="304">
      <formula>D107="FILTER TYPE"</formula>
    </cfRule>
    <cfRule type="expression" dxfId="2858" priority="305">
      <formula>D107="KSA"</formula>
    </cfRule>
    <cfRule type="expression" dxfId="2857" priority="306">
      <formula>(D99="CANOPY TYPE")</formula>
    </cfRule>
  </conditionalFormatting>
  <conditionalFormatting sqref="E109">
    <cfRule type="containsText" dxfId="2856" priority="496" operator="containsText" text="LONG ">
      <formula>NOT(ISERROR(SEARCH("LONG ",E109)))</formula>
    </cfRule>
  </conditionalFormatting>
  <conditionalFormatting sqref="E114">
    <cfRule type="expression" dxfId="2855" priority="279">
      <formula>AND((ISNUMBER(SEARCH("I-MUAP",$D$14))),E114&lt;2500)</formula>
    </cfRule>
    <cfRule type="expression" dxfId="2854" priority="280">
      <formula>ISNUMBER(SEARCH("I-MUAP",$D$14))</formula>
    </cfRule>
    <cfRule type="cellIs" dxfId="2853" priority="281" operator="greaterThan">
      <formula>2000</formula>
    </cfRule>
  </conditionalFormatting>
  <conditionalFormatting sqref="E119:E120">
    <cfRule type="expression" dxfId="2852" priority="262">
      <formula>$C119="SELECT WORKS"</formula>
    </cfRule>
  </conditionalFormatting>
  <conditionalFormatting sqref="E124:E125">
    <cfRule type="expression" dxfId="2851" priority="238">
      <formula>D124="WW PODS"</formula>
    </cfRule>
    <cfRule type="expression" dxfId="2850" priority="239">
      <formula>D124="FILTER TYPE"</formula>
    </cfRule>
    <cfRule type="expression" dxfId="2849" priority="240">
      <formula>D124="KSA"</formula>
    </cfRule>
    <cfRule type="expression" dxfId="2848" priority="241">
      <formula>(D116="CANOPY TYPE")</formula>
    </cfRule>
  </conditionalFormatting>
  <conditionalFormatting sqref="E126">
    <cfRule type="containsText" dxfId="2847" priority="272" operator="containsText" text="LONG ">
      <formula>NOT(ISERROR(SEARCH("LONG ",E126)))</formula>
    </cfRule>
  </conditionalFormatting>
  <conditionalFormatting sqref="E131">
    <cfRule type="expression" dxfId="2846" priority="210">
      <formula>AND((ISNUMBER(SEARCH("I-MUAP",$D$14))),E131&lt;2500)</formula>
    </cfRule>
    <cfRule type="expression" dxfId="2845" priority="211">
      <formula>ISNUMBER(SEARCH("I-MUAP",$D$14))</formula>
    </cfRule>
    <cfRule type="cellIs" dxfId="2844" priority="212" operator="greaterThan">
      <formula>2000</formula>
    </cfRule>
  </conditionalFormatting>
  <conditionalFormatting sqref="E136:E137">
    <cfRule type="expression" dxfId="2843" priority="193">
      <formula>$C136="SELECT WORKS"</formula>
    </cfRule>
  </conditionalFormatting>
  <conditionalFormatting sqref="E141:E142">
    <cfRule type="expression" dxfId="2842" priority="169">
      <formula>D141="WW PODS"</formula>
    </cfRule>
    <cfRule type="expression" dxfId="2841" priority="170">
      <formula>D141="FILTER TYPE"</formula>
    </cfRule>
    <cfRule type="expression" dxfId="2840" priority="171">
      <formula>D141="KSA"</formula>
    </cfRule>
    <cfRule type="expression" dxfId="2839" priority="172">
      <formula>(D133="CANOPY TYPE")</formula>
    </cfRule>
  </conditionalFormatting>
  <conditionalFormatting sqref="E143">
    <cfRule type="containsText" dxfId="2838" priority="203" operator="containsText" text="LONG ">
      <formula>NOT(ISERROR(SEARCH("LONG ",E143)))</formula>
    </cfRule>
  </conditionalFormatting>
  <conditionalFormatting sqref="E148">
    <cfRule type="expression" dxfId="2837" priority="155">
      <formula>AND((ISNUMBER(SEARCH("I-MUAP",$D$14))),E148&lt;2500)</formula>
    </cfRule>
    <cfRule type="expression" dxfId="2836" priority="156">
      <formula>ISNUMBER(SEARCH("I-MUAP",$D$14))</formula>
    </cfRule>
    <cfRule type="cellIs" dxfId="2835" priority="157" operator="greaterThan">
      <formula>2000</formula>
    </cfRule>
  </conditionalFormatting>
  <conditionalFormatting sqref="E153:E154">
    <cfRule type="expression" dxfId="2834" priority="138">
      <formula>$C153="SELECT WORKS"</formula>
    </cfRule>
  </conditionalFormatting>
  <conditionalFormatting sqref="E158:E159">
    <cfRule type="expression" dxfId="2833" priority="114">
      <formula>D158="WW PODS"</formula>
    </cfRule>
    <cfRule type="expression" dxfId="2832" priority="115">
      <formula>D158="FILTER TYPE"</formula>
    </cfRule>
    <cfRule type="expression" dxfId="2831" priority="116">
      <formula>D158="KSA"</formula>
    </cfRule>
    <cfRule type="expression" dxfId="2830" priority="117">
      <formula>(D150="CANOPY TYPE")</formula>
    </cfRule>
  </conditionalFormatting>
  <conditionalFormatting sqref="E160">
    <cfRule type="containsText" dxfId="2829" priority="148" operator="containsText" text="LONG ">
      <formula>NOT(ISERROR(SEARCH("LONG ",E160)))</formula>
    </cfRule>
  </conditionalFormatting>
  <conditionalFormatting sqref="E165">
    <cfRule type="expression" dxfId="2828" priority="100">
      <formula>AND((ISNUMBER(SEARCH("I-MUAP",$D$14))),E165&lt;2500)</formula>
    </cfRule>
    <cfRule type="expression" dxfId="2827" priority="101">
      <formula>ISNUMBER(SEARCH("I-MUAP",$D$14))</formula>
    </cfRule>
    <cfRule type="cellIs" dxfId="2826" priority="102" operator="greaterThan">
      <formula>2000</formula>
    </cfRule>
  </conditionalFormatting>
  <conditionalFormatting sqref="E170:E171">
    <cfRule type="expression" dxfId="2825" priority="83">
      <formula>$C170="SELECT WORKS"</formula>
    </cfRule>
  </conditionalFormatting>
  <conditionalFormatting sqref="E175:E176">
    <cfRule type="expression" dxfId="2824" priority="59">
      <formula>D175="WW PODS"</formula>
    </cfRule>
    <cfRule type="expression" dxfId="2823" priority="60">
      <formula>D175="FILTER TYPE"</formula>
    </cfRule>
    <cfRule type="expression" dxfId="2822" priority="61">
      <formula>D175="KSA"</formula>
    </cfRule>
    <cfRule type="expression" dxfId="2821" priority="62">
      <formula>(D167="CANOPY TYPE")</formula>
    </cfRule>
  </conditionalFormatting>
  <conditionalFormatting sqref="E177">
    <cfRule type="containsText" dxfId="2820" priority="93" operator="containsText" text="LONG ">
      <formula>NOT(ISERROR(SEARCH("LONG ",E177)))</formula>
    </cfRule>
  </conditionalFormatting>
  <conditionalFormatting sqref="E12:F12">
    <cfRule type="cellIs" dxfId="2819" priority="702" operator="lessThan">
      <formula>1000</formula>
    </cfRule>
  </conditionalFormatting>
  <conditionalFormatting sqref="E14:F14">
    <cfRule type="cellIs" dxfId="2818" priority="699" operator="lessThan">
      <formula>1000</formula>
    </cfRule>
  </conditionalFormatting>
  <conditionalFormatting sqref="E25:F27">
    <cfRule type="expression" dxfId="2817" priority="638">
      <formula>($D$14="CANOPY TYPE")</formula>
    </cfRule>
  </conditionalFormatting>
  <conditionalFormatting sqref="E29:F29">
    <cfRule type="cellIs" dxfId="2816" priority="625" operator="lessThan">
      <formula>1000</formula>
    </cfRule>
  </conditionalFormatting>
  <conditionalFormatting sqref="E31:F31">
    <cfRule type="cellIs" dxfId="2815" priority="622" operator="lessThan">
      <formula>1000</formula>
    </cfRule>
  </conditionalFormatting>
  <conditionalFormatting sqref="E32:F32">
    <cfRule type="expression" dxfId="2814" priority="473">
      <formula>(C32="LIGHT SELECTION")</formula>
    </cfRule>
  </conditionalFormatting>
  <conditionalFormatting sqref="E42:F44">
    <cfRule type="expression" dxfId="2813" priority="606">
      <formula>($D$14="CANOPY TYPE")</formula>
    </cfRule>
  </conditionalFormatting>
  <conditionalFormatting sqref="E46:F46">
    <cfRule type="cellIs" dxfId="2812" priority="593" operator="lessThan">
      <formula>1000</formula>
    </cfRule>
  </conditionalFormatting>
  <conditionalFormatting sqref="E48:F48">
    <cfRule type="cellIs" dxfId="2811" priority="590" operator="lessThan">
      <formula>1000</formula>
    </cfRule>
  </conditionalFormatting>
  <conditionalFormatting sqref="E59:F61">
    <cfRule type="expression" dxfId="2810" priority="576">
      <formula>($D$14="CANOPY TYPE")</formula>
    </cfRule>
  </conditionalFormatting>
  <conditionalFormatting sqref="E63:F63">
    <cfRule type="cellIs" dxfId="2809" priority="563" operator="lessThan">
      <formula>1000</formula>
    </cfRule>
  </conditionalFormatting>
  <conditionalFormatting sqref="E65:F65">
    <cfRule type="cellIs" dxfId="2808" priority="560" operator="lessThan">
      <formula>1000</formula>
    </cfRule>
  </conditionalFormatting>
  <conditionalFormatting sqref="E66:F66">
    <cfRule type="expression" dxfId="2807" priority="466">
      <formula>(C66="LIGHT SELECTION")</formula>
    </cfRule>
  </conditionalFormatting>
  <conditionalFormatting sqref="E76:F78">
    <cfRule type="expression" dxfId="2806" priority="545">
      <formula>($D$14="CANOPY TYPE")</formula>
    </cfRule>
  </conditionalFormatting>
  <conditionalFormatting sqref="E80:F80">
    <cfRule type="cellIs" dxfId="2805" priority="532" operator="lessThan">
      <formula>1000</formula>
    </cfRule>
  </conditionalFormatting>
  <conditionalFormatting sqref="E82:F82">
    <cfRule type="cellIs" dxfId="2804" priority="529" operator="lessThan">
      <formula>1000</formula>
    </cfRule>
  </conditionalFormatting>
  <conditionalFormatting sqref="E83:F83">
    <cfRule type="expression" dxfId="2803" priority="462">
      <formula>(C83="LIGHT SELECTION")</formula>
    </cfRule>
  </conditionalFormatting>
  <conditionalFormatting sqref="E93:F95">
    <cfRule type="expression" dxfId="2802" priority="513">
      <formula>($D$14="CANOPY TYPE")</formula>
    </cfRule>
  </conditionalFormatting>
  <conditionalFormatting sqref="E97:F97">
    <cfRule type="cellIs" dxfId="2801" priority="500" operator="lessThan">
      <formula>1000</formula>
    </cfRule>
  </conditionalFormatting>
  <conditionalFormatting sqref="E99:F99">
    <cfRule type="cellIs" dxfId="2800" priority="497" operator="lessThan">
      <formula>1000</formula>
    </cfRule>
  </conditionalFormatting>
  <conditionalFormatting sqref="E100:F100">
    <cfRule type="expression" dxfId="2799" priority="458">
      <formula>(C100="LIGHT SELECTION")</formula>
    </cfRule>
  </conditionalFormatting>
  <conditionalFormatting sqref="E110:F112 E127:F129 E144:F146 E161:F163 E178:F180">
    <cfRule type="expression" dxfId="2798" priority="482">
      <formula>($D$14="CANOPY TYPE")</formula>
    </cfRule>
  </conditionalFormatting>
  <conditionalFormatting sqref="E114:F114">
    <cfRule type="cellIs" dxfId="2797" priority="276" operator="lessThan">
      <formula>1000</formula>
    </cfRule>
  </conditionalFormatting>
  <conditionalFormatting sqref="E116:F116">
    <cfRule type="cellIs" dxfId="2796" priority="273" operator="lessThan">
      <formula>1000</formula>
    </cfRule>
  </conditionalFormatting>
  <conditionalFormatting sqref="E117:F117">
    <cfRule type="expression" dxfId="2795" priority="256">
      <formula>(C117="LIGHT SELECTION")</formula>
    </cfRule>
  </conditionalFormatting>
  <conditionalFormatting sqref="E131:F131">
    <cfRule type="cellIs" dxfId="2794" priority="207" operator="lessThan">
      <formula>1000</formula>
    </cfRule>
  </conditionalFormatting>
  <conditionalFormatting sqref="E133:F133">
    <cfRule type="cellIs" dxfId="2793" priority="204" operator="lessThan">
      <formula>1000</formula>
    </cfRule>
  </conditionalFormatting>
  <conditionalFormatting sqref="E134:F134">
    <cfRule type="expression" dxfId="2792" priority="187">
      <formula>(C134="LIGHT SELECTION")</formula>
    </cfRule>
  </conditionalFormatting>
  <conditionalFormatting sqref="E148:F148">
    <cfRule type="cellIs" dxfId="2791" priority="152" operator="lessThan">
      <formula>1000</formula>
    </cfRule>
  </conditionalFormatting>
  <conditionalFormatting sqref="E150:F150">
    <cfRule type="cellIs" dxfId="2790" priority="149" operator="lessThan">
      <formula>1000</formula>
    </cfRule>
  </conditionalFormatting>
  <conditionalFormatting sqref="E151:F151">
    <cfRule type="expression" dxfId="2789" priority="132">
      <formula>(C151="LIGHT SELECTION")</formula>
    </cfRule>
  </conditionalFormatting>
  <conditionalFormatting sqref="E165:F165">
    <cfRule type="cellIs" dxfId="2788" priority="97" operator="lessThan">
      <formula>1000</formula>
    </cfRule>
  </conditionalFormatting>
  <conditionalFormatting sqref="E167:F167">
    <cfRule type="cellIs" dxfId="2787" priority="94" operator="lessThan">
      <formula>1000</formula>
    </cfRule>
  </conditionalFormatting>
  <conditionalFormatting sqref="E168:F168">
    <cfRule type="expression" dxfId="2786" priority="77">
      <formula>(C168="LIGHT SELECTION")</formula>
    </cfRule>
  </conditionalFormatting>
  <conditionalFormatting sqref="F12">
    <cfRule type="cellIs" dxfId="2785" priority="703" operator="greaterThan">
      <formula>3001</formula>
    </cfRule>
  </conditionalFormatting>
  <conditionalFormatting sqref="F15">
    <cfRule type="expression" dxfId="2784" priority="475">
      <formula>(C15="LED STRIP")</formula>
    </cfRule>
    <cfRule type="expression" dxfId="2783" priority="692">
      <formula>(C15="LIGHT SELECTION")</formula>
    </cfRule>
    <cfRule type="expression" dxfId="2782" priority="694">
      <formula>(C15="FLO")</formula>
    </cfRule>
    <cfRule type="expression" dxfId="2781" priority="725">
      <formula>(D49="LIGHT SELECTION")</formula>
    </cfRule>
  </conditionalFormatting>
  <conditionalFormatting sqref="F22:F23">
    <cfRule type="expression" dxfId="2780" priority="716">
      <formula>D22="NF"</formula>
    </cfRule>
    <cfRule type="expression" dxfId="2779" priority="717">
      <formula>D22="WW PODS"</formula>
    </cfRule>
    <cfRule type="expression" dxfId="2778" priority="718">
      <formula>D22="GRILLE"</formula>
    </cfRule>
    <cfRule type="expression" dxfId="2777" priority="719">
      <formula>D22="CENTREX"</formula>
    </cfRule>
    <cfRule type="expression" dxfId="2776" priority="720" stopIfTrue="1">
      <formula>D14="canopy type"</formula>
    </cfRule>
    <cfRule type="expression" dxfId="2775" priority="721">
      <formula>(((I14*3600)/(C22*I11))^2+20)&gt;300</formula>
    </cfRule>
    <cfRule type="expression" dxfId="2774" priority="722" stopIfTrue="1">
      <formula>(ISNUMBER(SEARCH("UV",D14)))</formula>
    </cfRule>
    <cfRule type="expression" dxfId="2773" priority="723">
      <formula>(((I14*3600)/(C22*I11))^2+20)&gt;180</formula>
    </cfRule>
    <cfRule type="expression" dxfId="2772" priority="724">
      <formula>D22="KSA"</formula>
    </cfRule>
  </conditionalFormatting>
  <conditionalFormatting sqref="F24">
    <cfRule type="cellIs" dxfId="2771" priority="697" operator="lessThan">
      <formula>2100</formula>
    </cfRule>
  </conditionalFormatting>
  <conditionalFormatting sqref="F29">
    <cfRule type="cellIs" dxfId="2770" priority="626" operator="greaterThan">
      <formula>3001</formula>
    </cfRule>
  </conditionalFormatting>
  <conditionalFormatting sqref="F32">
    <cfRule type="expression" dxfId="2769" priority="471">
      <formula>(C32="LED STRIP")</formula>
    </cfRule>
    <cfRule type="expression" dxfId="2768" priority="472">
      <formula>(C32="LIGHT SELECTION")</formula>
    </cfRule>
    <cfRule type="expression" dxfId="2767" priority="474">
      <formula>(C32="FLO")</formula>
    </cfRule>
  </conditionalFormatting>
  <conditionalFormatting sqref="F39:F40">
    <cfRule type="expression" dxfId="2766" priority="411">
      <formula>D39="NF"</formula>
    </cfRule>
    <cfRule type="expression" dxfId="2765" priority="412">
      <formula>D39="WW PODS"</formula>
    </cfRule>
    <cfRule type="expression" dxfId="2764" priority="413">
      <formula>D39="GRILLE"</formula>
    </cfRule>
    <cfRule type="expression" dxfId="2763" priority="414">
      <formula>D39="CENTREX"</formula>
    </cfRule>
    <cfRule type="expression" dxfId="2762" priority="415" stopIfTrue="1">
      <formula>D31="canopy type"</formula>
    </cfRule>
    <cfRule type="expression" dxfId="2761" priority="416">
      <formula>(((I31*3600)/(C39*I28))^2+20)&gt;300</formula>
    </cfRule>
    <cfRule type="expression" dxfId="2760" priority="417" stopIfTrue="1">
      <formula>(ISNUMBER(SEARCH("UV",D31)))</formula>
    </cfRule>
    <cfRule type="expression" dxfId="2759" priority="418">
      <formula>(((I31*3600)/(C39*I28))^2+20)&gt;180</formula>
    </cfRule>
    <cfRule type="expression" dxfId="2758" priority="419">
      <formula>D39="KSA"</formula>
    </cfRule>
  </conditionalFormatting>
  <conditionalFormatting sqref="F41">
    <cfRule type="cellIs" dxfId="2757" priority="620" operator="lessThan">
      <formula>2100</formula>
    </cfRule>
  </conditionalFormatting>
  <conditionalFormatting sqref="F46">
    <cfRule type="cellIs" dxfId="2756" priority="594" operator="greaterThan">
      <formula>3001</formula>
    </cfRule>
  </conditionalFormatting>
  <conditionalFormatting sqref="F49">
    <cfRule type="expression" dxfId="2755" priority="468">
      <formula>(C49="LED STRIP")</formula>
    </cfRule>
    <cfRule type="expression" dxfId="2754" priority="469">
      <formula>(C49="LIGHT SELECTION")</formula>
    </cfRule>
    <cfRule type="expression" dxfId="2753" priority="470">
      <formula>(C49="FLO")</formula>
    </cfRule>
    <cfRule type="expression" dxfId="2752" priority="726">
      <formula>(#REF!="LIGHT SELECTION")</formula>
    </cfRule>
  </conditionalFormatting>
  <conditionalFormatting sqref="F56:F57">
    <cfRule type="expression" dxfId="2751" priority="385">
      <formula>D56="NF"</formula>
    </cfRule>
    <cfRule type="expression" dxfId="2750" priority="386">
      <formula>D56="WW PODS"</formula>
    </cfRule>
    <cfRule type="expression" dxfId="2749" priority="387">
      <formula>D56="GRILLE"</formula>
    </cfRule>
    <cfRule type="expression" dxfId="2748" priority="388">
      <formula>D56="CENTREX"</formula>
    </cfRule>
    <cfRule type="expression" dxfId="2747" priority="389" stopIfTrue="1">
      <formula>D48="canopy type"</formula>
    </cfRule>
    <cfRule type="expression" dxfId="2746" priority="390">
      <formula>(((I48*3600)/(C56*I45))^2+20)&gt;300</formula>
    </cfRule>
    <cfRule type="expression" dxfId="2745" priority="391" stopIfTrue="1">
      <formula>(ISNUMBER(SEARCH("UV",D48)))</formula>
    </cfRule>
    <cfRule type="expression" dxfId="2744" priority="392">
      <formula>(((I48*3600)/(C56*I45))^2+20)&gt;180</formula>
    </cfRule>
    <cfRule type="expression" dxfId="2743" priority="393">
      <formula>D56="KSA"</formula>
    </cfRule>
  </conditionalFormatting>
  <conditionalFormatting sqref="F58">
    <cfRule type="cellIs" dxfId="2742" priority="588" operator="lessThan">
      <formula>2100</formula>
    </cfRule>
  </conditionalFormatting>
  <conditionalFormatting sqref="F63">
    <cfRule type="cellIs" dxfId="2741" priority="564" operator="greaterThan">
      <formula>3001</formula>
    </cfRule>
  </conditionalFormatting>
  <conditionalFormatting sqref="F66">
    <cfRule type="expression" dxfId="2740" priority="464">
      <formula>(C66="LED STRIP")</formula>
    </cfRule>
    <cfRule type="expression" dxfId="2739" priority="465">
      <formula>(C66="LIGHT SELECTION")</formula>
    </cfRule>
    <cfRule type="expression" dxfId="2738" priority="467">
      <formula>(C66="FLO")</formula>
    </cfRule>
  </conditionalFormatting>
  <conditionalFormatting sqref="F73:F74">
    <cfRule type="expression" dxfId="2737" priority="359">
      <formula>D73="NF"</formula>
    </cfRule>
    <cfRule type="expression" dxfId="2736" priority="360">
      <formula>D73="WW PODS"</formula>
    </cfRule>
    <cfRule type="expression" dxfId="2735" priority="361">
      <formula>D73="GRILLE"</formula>
    </cfRule>
    <cfRule type="expression" dxfId="2734" priority="362">
      <formula>D73="CENTREX"</formula>
    </cfRule>
    <cfRule type="expression" dxfId="2733" priority="363" stopIfTrue="1">
      <formula>D65="canopy type"</formula>
    </cfRule>
    <cfRule type="expression" dxfId="2732" priority="364">
      <formula>(((I65*3600)/(C73*I62))^2+20)&gt;300</formula>
    </cfRule>
    <cfRule type="expression" dxfId="2731" priority="365" stopIfTrue="1">
      <formula>(ISNUMBER(SEARCH("UV",D65)))</formula>
    </cfRule>
    <cfRule type="expression" dxfId="2730" priority="366">
      <formula>(((I65*3600)/(C73*I62))^2+20)&gt;180</formula>
    </cfRule>
    <cfRule type="expression" dxfId="2729" priority="367">
      <formula>D73="KSA"</formula>
    </cfRule>
  </conditionalFormatting>
  <conditionalFormatting sqref="F75">
    <cfRule type="cellIs" dxfId="2728" priority="558" operator="lessThan">
      <formula>2100</formula>
    </cfRule>
  </conditionalFormatting>
  <conditionalFormatting sqref="F80">
    <cfRule type="cellIs" dxfId="2727" priority="533" operator="greaterThan">
      <formula>3001</formula>
    </cfRule>
  </conditionalFormatting>
  <conditionalFormatting sqref="F83">
    <cfRule type="expression" dxfId="2726" priority="460">
      <formula>(C83="LED STRIP")</formula>
    </cfRule>
    <cfRule type="expression" dxfId="2725" priority="461">
      <formula>(C83="LIGHT SELECTION")</formula>
    </cfRule>
    <cfRule type="expression" dxfId="2724" priority="463">
      <formula>(C83="FLO")</formula>
    </cfRule>
  </conditionalFormatting>
  <conditionalFormatting sqref="F90:F91">
    <cfRule type="expression" dxfId="2723" priority="333">
      <formula>D90="NF"</formula>
    </cfRule>
    <cfRule type="expression" dxfId="2722" priority="334">
      <formula>D90="WW PODS"</formula>
    </cfRule>
    <cfRule type="expression" dxfId="2721" priority="335">
      <formula>D90="GRILLE"</formula>
    </cfRule>
    <cfRule type="expression" dxfId="2720" priority="336">
      <formula>D90="CENTREX"</formula>
    </cfRule>
    <cfRule type="expression" dxfId="2719" priority="337" stopIfTrue="1">
      <formula>D82="canopy type"</formula>
    </cfRule>
    <cfRule type="expression" dxfId="2718" priority="338">
      <formula>(((I82*3600)/(C90*I79))^2+20)&gt;300</formula>
    </cfRule>
    <cfRule type="expression" dxfId="2717" priority="339" stopIfTrue="1">
      <formula>(ISNUMBER(SEARCH("UV",D82)))</formula>
    </cfRule>
    <cfRule type="expression" dxfId="2716" priority="340">
      <formula>(((I82*3600)/(C90*I79))^2+20)&gt;180</formula>
    </cfRule>
    <cfRule type="expression" dxfId="2715" priority="341">
      <formula>D90="KSA"</formula>
    </cfRule>
  </conditionalFormatting>
  <conditionalFormatting sqref="F92">
    <cfRule type="cellIs" dxfId="2714" priority="527" operator="lessThan">
      <formula>2100</formula>
    </cfRule>
  </conditionalFormatting>
  <conditionalFormatting sqref="F97">
    <cfRule type="cellIs" dxfId="2713" priority="501" operator="greaterThan">
      <formula>3001</formula>
    </cfRule>
  </conditionalFormatting>
  <conditionalFormatting sqref="F100">
    <cfRule type="expression" dxfId="2712" priority="456">
      <formula>(C100="LED STRIP")</formula>
    </cfRule>
    <cfRule type="expression" dxfId="2711" priority="457">
      <formula>(C100="LIGHT SELECTION")</formula>
    </cfRule>
    <cfRule type="expression" dxfId="2710" priority="459">
      <formula>(C100="FLO")</formula>
    </cfRule>
  </conditionalFormatting>
  <conditionalFormatting sqref="F107:F108">
    <cfRule type="expression" dxfId="2709" priority="307">
      <formula>D107="NF"</formula>
    </cfRule>
    <cfRule type="expression" dxfId="2708" priority="308">
      <formula>D107="WW PODS"</formula>
    </cfRule>
    <cfRule type="expression" dxfId="2707" priority="309">
      <formula>D107="GRILLE"</formula>
    </cfRule>
    <cfRule type="expression" dxfId="2706" priority="310">
      <formula>D107="CENTREX"</formula>
    </cfRule>
    <cfRule type="expression" dxfId="2705" priority="311" stopIfTrue="1">
      <formula>D99="canopy type"</formula>
    </cfRule>
    <cfRule type="expression" dxfId="2704" priority="312">
      <formula>(((I99*3600)/(C107*I96))^2+20)&gt;300</formula>
    </cfRule>
    <cfRule type="expression" dxfId="2703" priority="313" stopIfTrue="1">
      <formula>(ISNUMBER(SEARCH("UV",D99)))</formula>
    </cfRule>
    <cfRule type="expression" dxfId="2702" priority="314">
      <formula>(((I99*3600)/(C107*I96))^2+20)&gt;180</formula>
    </cfRule>
    <cfRule type="expression" dxfId="2701" priority="315">
      <formula>D107="KSA"</formula>
    </cfRule>
  </conditionalFormatting>
  <conditionalFormatting sqref="F109">
    <cfRule type="cellIs" dxfId="2700" priority="495" operator="lessThan">
      <formula>2100</formula>
    </cfRule>
  </conditionalFormatting>
  <conditionalFormatting sqref="F114">
    <cfRule type="cellIs" dxfId="2699" priority="277" operator="greaterThan">
      <formula>3001</formula>
    </cfRule>
  </conditionalFormatting>
  <conditionalFormatting sqref="F117">
    <cfRule type="expression" dxfId="2698" priority="254">
      <formula>(C117="LED STRIP")</formula>
    </cfRule>
    <cfRule type="expression" dxfId="2697" priority="255">
      <formula>(C117="LIGHT SELECTION")</formula>
    </cfRule>
    <cfRule type="expression" dxfId="2696" priority="257">
      <formula>(C117="FLO")</formula>
    </cfRule>
  </conditionalFormatting>
  <conditionalFormatting sqref="F124:F125">
    <cfRule type="expression" dxfId="2695" priority="242">
      <formula>D124="NF"</formula>
    </cfRule>
    <cfRule type="expression" dxfId="2694" priority="243">
      <formula>D124="WW PODS"</formula>
    </cfRule>
    <cfRule type="expression" dxfId="2693" priority="244">
      <formula>D124="GRILLE"</formula>
    </cfRule>
    <cfRule type="expression" dxfId="2692" priority="245">
      <formula>D124="CENTREX"</formula>
    </cfRule>
    <cfRule type="expression" dxfId="2691" priority="246" stopIfTrue="1">
      <formula>D116="canopy type"</formula>
    </cfRule>
    <cfRule type="expression" dxfId="2690" priority="247">
      <formula>(((I116*3600)/(C124*I113))^2+20)&gt;300</formula>
    </cfRule>
    <cfRule type="expression" dxfId="2689" priority="248" stopIfTrue="1">
      <formula>(ISNUMBER(SEARCH("UV",D116)))</formula>
    </cfRule>
    <cfRule type="expression" dxfId="2688" priority="249">
      <formula>(((I116*3600)/(C124*I113))^2+20)&gt;180</formula>
    </cfRule>
    <cfRule type="expression" dxfId="2687" priority="250">
      <formula>D124="KSA"</formula>
    </cfRule>
  </conditionalFormatting>
  <conditionalFormatting sqref="F126">
    <cfRule type="cellIs" dxfId="2686" priority="271" operator="lessThan">
      <formula>2100</formula>
    </cfRule>
  </conditionalFormatting>
  <conditionalFormatting sqref="F131">
    <cfRule type="cellIs" dxfId="2685" priority="208" operator="greaterThan">
      <formula>3001</formula>
    </cfRule>
  </conditionalFormatting>
  <conditionalFormatting sqref="F134">
    <cfRule type="expression" dxfId="2684" priority="185">
      <formula>(C134="LED STRIP")</formula>
    </cfRule>
    <cfRule type="expression" dxfId="2683" priority="186">
      <formula>(C134="LIGHT SELECTION")</formula>
    </cfRule>
    <cfRule type="expression" dxfId="2682" priority="188">
      <formula>(C134="FLO")</formula>
    </cfRule>
  </conditionalFormatting>
  <conditionalFormatting sqref="F141:F142">
    <cfRule type="expression" dxfId="2681" priority="173">
      <formula>D141="NF"</formula>
    </cfRule>
    <cfRule type="expression" dxfId="2680" priority="174">
      <formula>D141="WW PODS"</formula>
    </cfRule>
    <cfRule type="expression" dxfId="2679" priority="175">
      <formula>D141="GRILLE"</formula>
    </cfRule>
    <cfRule type="expression" dxfId="2678" priority="176">
      <formula>D141="CENTREX"</formula>
    </cfRule>
    <cfRule type="expression" dxfId="2677" priority="177" stopIfTrue="1">
      <formula>D133="canopy type"</formula>
    </cfRule>
    <cfRule type="expression" dxfId="2676" priority="178">
      <formula>(((I133*3600)/(C141*I130))^2+20)&gt;300</formula>
    </cfRule>
    <cfRule type="expression" dxfId="2675" priority="179" stopIfTrue="1">
      <formula>(ISNUMBER(SEARCH("UV",D133)))</formula>
    </cfRule>
    <cfRule type="expression" dxfId="2674" priority="180">
      <formula>(((I133*3600)/(C141*I130))^2+20)&gt;180</formula>
    </cfRule>
    <cfRule type="expression" dxfId="2673" priority="181">
      <formula>D141="KSA"</formula>
    </cfRule>
  </conditionalFormatting>
  <conditionalFormatting sqref="F143">
    <cfRule type="cellIs" dxfId="2672" priority="202" operator="lessThan">
      <formula>2100</formula>
    </cfRule>
  </conditionalFormatting>
  <conditionalFormatting sqref="F148">
    <cfRule type="cellIs" dxfId="2671" priority="153" operator="greaterThan">
      <formula>3001</formula>
    </cfRule>
  </conditionalFormatting>
  <conditionalFormatting sqref="F151">
    <cfRule type="expression" dxfId="2670" priority="130">
      <formula>(C151="LED STRIP")</formula>
    </cfRule>
    <cfRule type="expression" dxfId="2669" priority="131">
      <formula>(C151="LIGHT SELECTION")</formula>
    </cfRule>
    <cfRule type="expression" dxfId="2668" priority="133">
      <formula>(C151="FLO")</formula>
    </cfRule>
  </conditionalFormatting>
  <conditionalFormatting sqref="F158:F159">
    <cfRule type="expression" dxfId="2667" priority="118">
      <formula>D158="NF"</formula>
    </cfRule>
    <cfRule type="expression" dxfId="2666" priority="119">
      <formula>D158="WW PODS"</formula>
    </cfRule>
    <cfRule type="expression" dxfId="2665" priority="120">
      <formula>D158="GRILLE"</formula>
    </cfRule>
    <cfRule type="expression" dxfId="2664" priority="121">
      <formula>D158="CENTREX"</formula>
    </cfRule>
    <cfRule type="expression" dxfId="2663" priority="122" stopIfTrue="1">
      <formula>D150="canopy type"</formula>
    </cfRule>
    <cfRule type="expression" dxfId="2662" priority="123">
      <formula>(((I150*3600)/(C158*I147))^2+20)&gt;300</formula>
    </cfRule>
    <cfRule type="expression" dxfId="2661" priority="124" stopIfTrue="1">
      <formula>(ISNUMBER(SEARCH("UV",D150)))</formula>
    </cfRule>
    <cfRule type="expression" dxfId="2660" priority="125">
      <formula>(((I150*3600)/(C158*I147))^2+20)&gt;180</formula>
    </cfRule>
    <cfRule type="expression" dxfId="2659" priority="126">
      <formula>D158="KSA"</formula>
    </cfRule>
  </conditionalFormatting>
  <conditionalFormatting sqref="F160">
    <cfRule type="cellIs" dxfId="2658" priority="147" operator="lessThan">
      <formula>2100</formula>
    </cfRule>
  </conditionalFormatting>
  <conditionalFormatting sqref="F165">
    <cfRule type="cellIs" dxfId="2657" priority="98" operator="greaterThan">
      <formula>3001</formula>
    </cfRule>
  </conditionalFormatting>
  <conditionalFormatting sqref="F168">
    <cfRule type="expression" dxfId="2656" priority="75">
      <formula>(C168="LED STRIP")</formula>
    </cfRule>
    <cfRule type="expression" dxfId="2655" priority="76">
      <formula>(C168="LIGHT SELECTION")</formula>
    </cfRule>
    <cfRule type="expression" dxfId="2654" priority="78">
      <formula>(C168="FLO")</formula>
    </cfRule>
  </conditionalFormatting>
  <conditionalFormatting sqref="F175:F176">
    <cfRule type="expression" dxfId="2653" priority="63">
      <formula>D175="NF"</formula>
    </cfRule>
    <cfRule type="expression" dxfId="2652" priority="64">
      <formula>D175="WW PODS"</formula>
    </cfRule>
    <cfRule type="expression" dxfId="2651" priority="65">
      <formula>D175="GRILLE"</formula>
    </cfRule>
    <cfRule type="expression" dxfId="2650" priority="66">
      <formula>D175="CENTREX"</formula>
    </cfRule>
    <cfRule type="expression" dxfId="2649" priority="67" stopIfTrue="1">
      <formula>D167="canopy type"</formula>
    </cfRule>
    <cfRule type="expression" dxfId="2648" priority="68">
      <formula>(((I167*3600)/(C175*I164))^2+20)&gt;300</formula>
    </cfRule>
    <cfRule type="expression" dxfId="2647" priority="69" stopIfTrue="1">
      <formula>(ISNUMBER(SEARCH("UV",D167)))</formula>
    </cfRule>
    <cfRule type="expression" dxfId="2646" priority="70">
      <formula>(((I167*3600)/(C175*I164))^2+20)&gt;180</formula>
    </cfRule>
    <cfRule type="expression" dxfId="2645" priority="71">
      <formula>D175="KSA"</formula>
    </cfRule>
  </conditionalFormatting>
  <conditionalFormatting sqref="F177">
    <cfRule type="cellIs" dxfId="2644" priority="92" operator="lessThan">
      <formula>2100</formula>
    </cfRule>
  </conditionalFormatting>
  <conditionalFormatting sqref="G11">
    <cfRule type="expression" dxfId="2643" priority="705">
      <formula>((F14-50)/H14)&lt;950</formula>
    </cfRule>
  </conditionalFormatting>
  <conditionalFormatting sqref="G12">
    <cfRule type="expression" dxfId="2642" priority="704">
      <formula>((F14-50)/H14)&lt;950</formula>
    </cfRule>
  </conditionalFormatting>
  <conditionalFormatting sqref="G14">
    <cfRule type="cellIs" dxfId="2641" priority="700" operator="lessThan">
      <formula>400</formula>
    </cfRule>
  </conditionalFormatting>
  <conditionalFormatting sqref="G28">
    <cfRule type="expression" dxfId="2640" priority="649">
      <formula>((F31-50)/H31)&lt;950</formula>
    </cfRule>
  </conditionalFormatting>
  <conditionalFormatting sqref="G29">
    <cfRule type="expression" dxfId="2639" priority="627">
      <formula>((F31-50)/H31)&lt;950</formula>
    </cfRule>
  </conditionalFormatting>
  <conditionalFormatting sqref="G31">
    <cfRule type="cellIs" dxfId="2638" priority="623" operator="lessThan">
      <formula>400</formula>
    </cfRule>
  </conditionalFormatting>
  <conditionalFormatting sqref="G45">
    <cfRule type="expression" dxfId="2637" priority="665">
      <formula>((F48-50)/H48)&lt;950</formula>
    </cfRule>
  </conditionalFormatting>
  <conditionalFormatting sqref="G46">
    <cfRule type="expression" dxfId="2636" priority="595">
      <formula>((F48-50)/H48)&lt;950</formula>
    </cfRule>
  </conditionalFormatting>
  <conditionalFormatting sqref="G48">
    <cfRule type="cellIs" dxfId="2635" priority="591" operator="lessThan">
      <formula>400</formula>
    </cfRule>
  </conditionalFormatting>
  <conditionalFormatting sqref="G62">
    <cfRule type="expression" dxfId="2634" priority="666">
      <formula>((F65-50)/H65)&lt;950</formula>
    </cfRule>
  </conditionalFormatting>
  <conditionalFormatting sqref="G63">
    <cfRule type="expression" dxfId="2633" priority="565">
      <formula>((F65-50)/H65)&lt;950</formula>
    </cfRule>
  </conditionalFormatting>
  <conditionalFormatting sqref="G65">
    <cfRule type="cellIs" dxfId="2632" priority="561" operator="lessThan">
      <formula>400</formula>
    </cfRule>
  </conditionalFormatting>
  <conditionalFormatting sqref="G79">
    <cfRule type="expression" dxfId="2631" priority="667">
      <formula>((F82-50)/H82)&lt;950</formula>
    </cfRule>
  </conditionalFormatting>
  <conditionalFormatting sqref="G80">
    <cfRule type="expression" dxfId="2630" priority="534">
      <formula>((F82-50)/H82)&lt;950</formula>
    </cfRule>
  </conditionalFormatting>
  <conditionalFormatting sqref="G82">
    <cfRule type="cellIs" dxfId="2629" priority="530" operator="lessThan">
      <formula>400</formula>
    </cfRule>
  </conditionalFormatting>
  <conditionalFormatting sqref="G96">
    <cfRule type="expression" dxfId="2628" priority="677">
      <formula>((F99-50)/H99)&lt;950</formula>
    </cfRule>
  </conditionalFormatting>
  <conditionalFormatting sqref="G97">
    <cfRule type="expression" dxfId="2627" priority="502">
      <formula>((F99-50)/H99)&lt;950</formula>
    </cfRule>
  </conditionalFormatting>
  <conditionalFormatting sqref="G99">
    <cfRule type="cellIs" dxfId="2626" priority="498" operator="lessThan">
      <formula>400</formula>
    </cfRule>
  </conditionalFormatting>
  <conditionalFormatting sqref="G113">
    <cfRule type="expression" dxfId="2625" priority="289">
      <formula>((F116-50)/H116)&lt;950</formula>
    </cfRule>
  </conditionalFormatting>
  <conditionalFormatting sqref="G114">
    <cfRule type="expression" dxfId="2624" priority="278">
      <formula>((F116-50)/H116)&lt;950</formula>
    </cfRule>
  </conditionalFormatting>
  <conditionalFormatting sqref="G116">
    <cfRule type="cellIs" dxfId="2623" priority="274" operator="lessThan">
      <formula>400</formula>
    </cfRule>
  </conditionalFormatting>
  <conditionalFormatting sqref="G130">
    <cfRule type="expression" dxfId="2622" priority="220">
      <formula>((F133-50)/H133)&lt;950</formula>
    </cfRule>
  </conditionalFormatting>
  <conditionalFormatting sqref="G131">
    <cfRule type="expression" dxfId="2621" priority="209">
      <formula>((F133-50)/H133)&lt;950</formula>
    </cfRule>
  </conditionalFormatting>
  <conditionalFormatting sqref="G133">
    <cfRule type="cellIs" dxfId="2620" priority="205" operator="lessThan">
      <formula>400</formula>
    </cfRule>
  </conditionalFormatting>
  <conditionalFormatting sqref="G147">
    <cfRule type="expression" dxfId="2619" priority="165">
      <formula>((F150-50)/H150)&lt;950</formula>
    </cfRule>
  </conditionalFormatting>
  <conditionalFormatting sqref="G148">
    <cfRule type="expression" dxfId="2618" priority="154">
      <formula>((F150-50)/H150)&lt;950</formula>
    </cfRule>
  </conditionalFormatting>
  <conditionalFormatting sqref="G150">
    <cfRule type="cellIs" dxfId="2617" priority="150" operator="lessThan">
      <formula>400</formula>
    </cfRule>
  </conditionalFormatting>
  <conditionalFormatting sqref="G164">
    <cfRule type="expression" dxfId="2616" priority="110">
      <formula>((F167-50)/H167)&lt;950</formula>
    </cfRule>
  </conditionalFormatting>
  <conditionalFormatting sqref="G165">
    <cfRule type="expression" dxfId="2615" priority="99">
      <formula>((F167-50)/H167)&lt;950</formula>
    </cfRule>
  </conditionalFormatting>
  <conditionalFormatting sqref="G167">
    <cfRule type="cellIs" dxfId="2614" priority="95" operator="lessThan">
      <formula>400</formula>
    </cfRule>
  </conditionalFormatting>
  <conditionalFormatting sqref="I14">
    <cfRule type="cellIs" dxfId="2613" priority="701" operator="lessThan">
      <formula>0.1</formula>
    </cfRule>
  </conditionalFormatting>
  <conditionalFormatting sqref="I31">
    <cfRule type="cellIs" dxfId="2612" priority="624" operator="lessThan">
      <formula>0.1</formula>
    </cfRule>
  </conditionalFormatting>
  <conditionalFormatting sqref="I48">
    <cfRule type="cellIs" dxfId="2611" priority="592" operator="lessThan">
      <formula>0.1</formula>
    </cfRule>
  </conditionalFormatting>
  <conditionalFormatting sqref="I65">
    <cfRule type="cellIs" dxfId="2610" priority="562" operator="lessThan">
      <formula>0.1</formula>
    </cfRule>
  </conditionalFormatting>
  <conditionalFormatting sqref="I82">
    <cfRule type="cellIs" dxfId="2609" priority="531" operator="lessThan">
      <formula>0.1</formula>
    </cfRule>
  </conditionalFormatting>
  <conditionalFormatting sqref="I99">
    <cfRule type="cellIs" dxfId="2608" priority="499" operator="lessThan">
      <formula>0.1</formula>
    </cfRule>
  </conditionalFormatting>
  <conditionalFormatting sqref="I116">
    <cfRule type="cellIs" dxfId="2607" priority="275" operator="lessThan">
      <formula>0.1</formula>
    </cfRule>
  </conditionalFormatting>
  <conditionalFormatting sqref="I133">
    <cfRule type="cellIs" dxfId="2606" priority="206" operator="lessThan">
      <formula>0.1</formula>
    </cfRule>
  </conditionalFormatting>
  <conditionalFormatting sqref="I150">
    <cfRule type="cellIs" dxfId="2605" priority="151" operator="lessThan">
      <formula>0.1</formula>
    </cfRule>
  </conditionalFormatting>
  <conditionalFormatting sqref="I167">
    <cfRule type="cellIs" dxfId="2604" priority="96" operator="lessThan">
      <formula>0.1</formula>
    </cfRule>
  </conditionalFormatting>
  <conditionalFormatting sqref="J14:J27">
    <cfRule type="cellIs" dxfId="2603" priority="422" operator="greaterThan">
      <formula>0</formula>
    </cfRule>
  </conditionalFormatting>
  <conditionalFormatting sqref="J31:J32 J34:J44">
    <cfRule type="cellIs" dxfId="2602" priority="395" operator="greaterThan">
      <formula>0</formula>
    </cfRule>
  </conditionalFormatting>
  <conditionalFormatting sqref="J48:J49 J51:J61">
    <cfRule type="cellIs" dxfId="2601" priority="369" operator="greaterThan">
      <formula>0</formula>
    </cfRule>
  </conditionalFormatting>
  <conditionalFormatting sqref="J65:J66 J68:J78">
    <cfRule type="cellIs" dxfId="2600" priority="343" operator="greaterThan">
      <formula>0</formula>
    </cfRule>
  </conditionalFormatting>
  <conditionalFormatting sqref="J82:J83 J85:J95">
    <cfRule type="cellIs" dxfId="2599" priority="317" operator="greaterThan">
      <formula>0</formula>
    </cfRule>
  </conditionalFormatting>
  <conditionalFormatting sqref="J99:J100 J102:J112">
    <cfRule type="cellIs" dxfId="2598" priority="291" operator="greaterThan">
      <formula>0</formula>
    </cfRule>
  </conditionalFormatting>
  <conditionalFormatting sqref="J116:J117 J133:J134 J150:J151 J167:J168 J119:J129 J136:J146 J153:J163 J170:J180">
    <cfRule type="cellIs" dxfId="2597" priority="226" operator="greaterThan">
      <formula>0</formula>
    </cfRule>
  </conditionalFormatting>
  <conditionalFormatting sqref="J183:J197">
    <cfRule type="expression" dxfId="2596" priority="221">
      <formula>C183&gt;0</formula>
    </cfRule>
  </conditionalFormatting>
  <conditionalFormatting sqref="J199">
    <cfRule type="expression" dxfId="2595" priority="682">
      <formula>#REF!="EURO"</formula>
    </cfRule>
  </conditionalFormatting>
  <conditionalFormatting sqref="K14:K27">
    <cfRule type="cellIs" dxfId="2594" priority="436" operator="greaterThan">
      <formula>0</formula>
    </cfRule>
  </conditionalFormatting>
  <conditionalFormatting sqref="K31:K32 K34:K44">
    <cfRule type="cellIs" dxfId="2593" priority="398" operator="greaterThan">
      <formula>0</formula>
    </cfRule>
  </conditionalFormatting>
  <conditionalFormatting sqref="K48:K49 K51:K61">
    <cfRule type="cellIs" dxfId="2592" priority="372" operator="greaterThan">
      <formula>0</formula>
    </cfRule>
  </conditionalFormatting>
  <conditionalFormatting sqref="K65:K66 K68:K78">
    <cfRule type="cellIs" dxfId="2591" priority="346" operator="greaterThan">
      <formula>0</formula>
    </cfRule>
  </conditionalFormatting>
  <conditionalFormatting sqref="K82:K83 K85:K95">
    <cfRule type="cellIs" dxfId="2590" priority="320" operator="greaterThan">
      <formula>0</formula>
    </cfRule>
  </conditionalFormatting>
  <conditionalFormatting sqref="K99:K100 K102:K112">
    <cfRule type="cellIs" dxfId="2589" priority="294" operator="greaterThan">
      <formula>0</formula>
    </cfRule>
  </conditionalFormatting>
  <conditionalFormatting sqref="K116:K117 K133:K134 K150:K151 K167:K168 K119:K129 K136:K146 K153:K163 K170:K180">
    <cfRule type="cellIs" dxfId="2588" priority="229" operator="greaterThan">
      <formula>0</formula>
    </cfRule>
  </conditionalFormatting>
  <conditionalFormatting sqref="K183:K197">
    <cfRule type="cellIs" dxfId="2587" priority="222" operator="greaterThan">
      <formula>0</formula>
    </cfRule>
  </conditionalFormatting>
  <conditionalFormatting sqref="K199">
    <cfRule type="expression" dxfId="2586" priority="678">
      <formula>$B$9="PLN"</formula>
    </cfRule>
    <cfRule type="expression" dxfId="2585" priority="679">
      <formula>$B$9="CZK"</formula>
    </cfRule>
    <cfRule type="expression" dxfId="2584" priority="680">
      <formula>$B$9="USD"</formula>
    </cfRule>
    <cfRule type="expression" dxfId="2583" priority="681">
      <formula>$B$9="EURO"</formula>
    </cfRule>
  </conditionalFormatting>
  <conditionalFormatting sqref="L14:L27">
    <cfRule type="expression" dxfId="2582" priority="433">
      <formula>$C$9&lt;0</formula>
    </cfRule>
    <cfRule type="expression" dxfId="2581" priority="434">
      <formula>$C$9&gt;0</formula>
    </cfRule>
  </conditionalFormatting>
  <conditionalFormatting sqref="L31:L44">
    <cfRule type="expression" dxfId="2580" priority="396">
      <formula>$C$9&lt;0</formula>
    </cfRule>
    <cfRule type="expression" dxfId="2579" priority="397">
      <formula>$C$9&gt;0</formula>
    </cfRule>
  </conditionalFormatting>
  <conditionalFormatting sqref="L48:L61">
    <cfRule type="expression" dxfId="2578" priority="370">
      <formula>$C$9&lt;0</formula>
    </cfRule>
    <cfRule type="expression" dxfId="2577" priority="371">
      <formula>$C$9&gt;0</formula>
    </cfRule>
  </conditionalFormatting>
  <conditionalFormatting sqref="L65:L78">
    <cfRule type="expression" dxfId="2576" priority="344">
      <formula>$C$9&lt;0</formula>
    </cfRule>
    <cfRule type="expression" dxfId="2575" priority="345">
      <formula>$C$9&gt;0</formula>
    </cfRule>
  </conditionalFormatting>
  <conditionalFormatting sqref="L82:L95">
    <cfRule type="expression" dxfId="2574" priority="318">
      <formula>$C$9&lt;0</formula>
    </cfRule>
    <cfRule type="expression" dxfId="2573" priority="319">
      <formula>$C$9&gt;0</formula>
    </cfRule>
  </conditionalFormatting>
  <conditionalFormatting sqref="L99:L112">
    <cfRule type="expression" dxfId="2572" priority="292">
      <formula>$C$9&lt;0</formula>
    </cfRule>
    <cfRule type="expression" dxfId="2571" priority="293">
      <formula>$C$9&gt;0</formula>
    </cfRule>
  </conditionalFormatting>
  <conditionalFormatting sqref="L116:L129 L133:L146 L150:L163 L167:L180">
    <cfRule type="expression" dxfId="2570" priority="227">
      <formula>$C$9&lt;0</formula>
    </cfRule>
    <cfRule type="expression" dxfId="2569" priority="228">
      <formula>$C$9&gt;0</formula>
    </cfRule>
  </conditionalFormatting>
  <conditionalFormatting sqref="L183:L197">
    <cfRule type="expression" dxfId="2568" priority="668">
      <formula>$C$9&lt;0</formula>
    </cfRule>
    <cfRule type="expression" dxfId="2567" priority="669">
      <formula>$C$9&gt;0</formula>
    </cfRule>
  </conditionalFormatting>
  <conditionalFormatting sqref="N9 N12">
    <cfRule type="expression" dxfId="2566" priority="712">
      <formula>$B$9="PLN"</formula>
    </cfRule>
    <cfRule type="expression" dxfId="2565" priority="713">
      <formula>$B$9="CZK"</formula>
    </cfRule>
    <cfRule type="expression" dxfId="2564" priority="714">
      <formula>$B$9="USD"</formula>
    </cfRule>
    <cfRule type="expression" dxfId="2563" priority="715">
      <formula>$B$9="EURO"</formula>
    </cfRule>
  </conditionalFormatting>
  <conditionalFormatting sqref="N14:N27">
    <cfRule type="cellIs" dxfId="2562" priority="652" operator="greaterThan">
      <formula>0</formula>
    </cfRule>
    <cfRule type="expression" dxfId="2561" priority="653">
      <formula>$B$9="EURO"</formula>
    </cfRule>
    <cfRule type="expression" dxfId="2560" priority="654">
      <formula>$B$9="USD"</formula>
    </cfRule>
    <cfRule type="expression" dxfId="2559" priority="655">
      <formula>$B$9="PLN"</formula>
    </cfRule>
    <cfRule type="expression" dxfId="2558" priority="656">
      <formula>$B$9="CZK"</formula>
    </cfRule>
  </conditionalFormatting>
  <conditionalFormatting sqref="N29">
    <cfRule type="expression" dxfId="2557" priority="633">
      <formula>$B$9="PLN"</formula>
    </cfRule>
    <cfRule type="expression" dxfId="2556" priority="634">
      <formula>$B$9="CZK"</formula>
    </cfRule>
    <cfRule type="expression" dxfId="2555" priority="635">
      <formula>$B$9="USD"</formula>
    </cfRule>
    <cfRule type="expression" dxfId="2554" priority="636">
      <formula>$B$9="EURO"</formula>
    </cfRule>
  </conditionalFormatting>
  <conditionalFormatting sqref="N31:N44">
    <cfRule type="cellIs" dxfId="2553" priority="401" operator="greaterThan">
      <formula>0</formula>
    </cfRule>
    <cfRule type="expression" dxfId="2552" priority="402">
      <formula>$B$9="EURO"</formula>
    </cfRule>
    <cfRule type="expression" dxfId="2551" priority="403">
      <formula>$B$9="USD"</formula>
    </cfRule>
    <cfRule type="expression" dxfId="2550" priority="404">
      <formula>$B$9="PLN"</formula>
    </cfRule>
    <cfRule type="expression" dxfId="2549" priority="405">
      <formula>$B$9="CZK"</formula>
    </cfRule>
  </conditionalFormatting>
  <conditionalFormatting sqref="N46">
    <cfRule type="expression" dxfId="2548" priority="601">
      <formula>$B$9="PLN"</formula>
    </cfRule>
    <cfRule type="expression" dxfId="2547" priority="602">
      <formula>$B$9="CZK"</formula>
    </cfRule>
    <cfRule type="expression" dxfId="2546" priority="603">
      <formula>$B$9="USD"</formula>
    </cfRule>
    <cfRule type="expression" dxfId="2545" priority="604">
      <formula>$B$9="EURO"</formula>
    </cfRule>
  </conditionalFormatting>
  <conditionalFormatting sqref="N48:N61">
    <cfRule type="cellIs" dxfId="2544" priority="375" operator="greaterThan">
      <formula>0</formula>
    </cfRule>
    <cfRule type="expression" dxfId="2543" priority="376">
      <formula>$B$9="EURO"</formula>
    </cfRule>
    <cfRule type="expression" dxfId="2542" priority="377">
      <formula>$B$9="USD"</formula>
    </cfRule>
    <cfRule type="expression" dxfId="2541" priority="378">
      <formula>$B$9="PLN"</formula>
    </cfRule>
    <cfRule type="expression" dxfId="2540" priority="379">
      <formula>$B$9="CZK"</formula>
    </cfRule>
  </conditionalFormatting>
  <conditionalFormatting sqref="N63">
    <cfRule type="expression" dxfId="2539" priority="571">
      <formula>$B$9="PLN"</formula>
    </cfRule>
    <cfRule type="expression" dxfId="2538" priority="572">
      <formula>$B$9="CZK"</formula>
    </cfRule>
    <cfRule type="expression" dxfId="2537" priority="573">
      <formula>$B$9="USD"</formula>
    </cfRule>
    <cfRule type="expression" dxfId="2536" priority="574">
      <formula>$B$9="EURO"</formula>
    </cfRule>
  </conditionalFormatting>
  <conditionalFormatting sqref="N65:N78">
    <cfRule type="cellIs" dxfId="2535" priority="349" operator="greaterThan">
      <formula>0</formula>
    </cfRule>
    <cfRule type="expression" dxfId="2534" priority="350">
      <formula>$B$9="EURO"</formula>
    </cfRule>
    <cfRule type="expression" dxfId="2533" priority="351">
      <formula>$B$9="USD"</formula>
    </cfRule>
    <cfRule type="expression" dxfId="2532" priority="352">
      <formula>$B$9="PLN"</formula>
    </cfRule>
    <cfRule type="expression" dxfId="2531" priority="353">
      <formula>$B$9="CZK"</formula>
    </cfRule>
  </conditionalFormatting>
  <conditionalFormatting sqref="N80">
    <cfRule type="expression" dxfId="2530" priority="540">
      <formula>$B$9="PLN"</formula>
    </cfRule>
    <cfRule type="expression" dxfId="2529" priority="541">
      <formula>$B$9="CZK"</formula>
    </cfRule>
    <cfRule type="expression" dxfId="2528" priority="542">
      <formula>$B$9="USD"</formula>
    </cfRule>
    <cfRule type="expression" dxfId="2527" priority="543">
      <formula>$B$9="EURO"</formula>
    </cfRule>
  </conditionalFormatting>
  <conditionalFormatting sqref="N82:N95">
    <cfRule type="cellIs" dxfId="2526" priority="323" operator="greaterThan">
      <formula>0</formula>
    </cfRule>
    <cfRule type="expression" dxfId="2525" priority="324">
      <formula>$B$9="EURO"</formula>
    </cfRule>
    <cfRule type="expression" dxfId="2524" priority="325">
      <formula>$B$9="USD"</formula>
    </cfRule>
    <cfRule type="expression" dxfId="2523" priority="326">
      <formula>$B$9="PLN"</formula>
    </cfRule>
    <cfRule type="expression" dxfId="2522" priority="327">
      <formula>$B$9="CZK"</formula>
    </cfRule>
  </conditionalFormatting>
  <conditionalFormatting sqref="N97">
    <cfRule type="expression" dxfId="2521" priority="508">
      <formula>$B$9="PLN"</formula>
    </cfRule>
    <cfRule type="expression" dxfId="2520" priority="509">
      <formula>$B$9="CZK"</formula>
    </cfRule>
    <cfRule type="expression" dxfId="2519" priority="510">
      <formula>$B$9="USD"</formula>
    </cfRule>
    <cfRule type="expression" dxfId="2518" priority="511">
      <formula>$B$9="EURO"</formula>
    </cfRule>
  </conditionalFormatting>
  <conditionalFormatting sqref="N99:N112">
    <cfRule type="cellIs" dxfId="2517" priority="297" operator="greaterThan">
      <formula>0</formula>
    </cfRule>
    <cfRule type="expression" dxfId="2516" priority="298">
      <formula>$B$9="EURO"</formula>
    </cfRule>
    <cfRule type="expression" dxfId="2515" priority="299">
      <formula>$B$9="USD"</formula>
    </cfRule>
    <cfRule type="expression" dxfId="2514" priority="300">
      <formula>$B$9="PLN"</formula>
    </cfRule>
    <cfRule type="expression" dxfId="2513" priority="301">
      <formula>$B$9="CZK"</formula>
    </cfRule>
  </conditionalFormatting>
  <conditionalFormatting sqref="N114">
    <cfRule type="expression" dxfId="2512" priority="284">
      <formula>$B$9="PLN"</formula>
    </cfRule>
    <cfRule type="expression" dxfId="2511" priority="285">
      <formula>$B$9="CZK"</formula>
    </cfRule>
    <cfRule type="expression" dxfId="2510" priority="286">
      <formula>$B$9="USD"</formula>
    </cfRule>
    <cfRule type="expression" dxfId="2509" priority="287">
      <formula>$B$9="EURO"</formula>
    </cfRule>
  </conditionalFormatting>
  <conditionalFormatting sqref="N116:N129 N133:N146 N150:N163 N167:N180">
    <cfRule type="cellIs" dxfId="2508" priority="232" operator="greaterThan">
      <formula>0</formula>
    </cfRule>
    <cfRule type="expression" dxfId="2507" priority="233">
      <formula>$B$9="EURO"</formula>
    </cfRule>
    <cfRule type="expression" dxfId="2506" priority="234">
      <formula>$B$9="USD"</formula>
    </cfRule>
    <cfRule type="expression" dxfId="2505" priority="235">
      <formula>$B$9="PLN"</formula>
    </cfRule>
    <cfRule type="expression" dxfId="2504" priority="236">
      <formula>$B$9="CZK"</formula>
    </cfRule>
  </conditionalFormatting>
  <conditionalFormatting sqref="N131">
    <cfRule type="expression" dxfId="2503" priority="215">
      <formula>$B$9="PLN"</formula>
    </cfRule>
    <cfRule type="expression" dxfId="2502" priority="216">
      <formula>$B$9="CZK"</formula>
    </cfRule>
    <cfRule type="expression" dxfId="2501" priority="217">
      <formula>$B$9="USD"</formula>
    </cfRule>
    <cfRule type="expression" dxfId="2500" priority="218">
      <formula>$B$9="EURO"</formula>
    </cfRule>
  </conditionalFormatting>
  <conditionalFormatting sqref="N148">
    <cfRule type="expression" dxfId="2499" priority="160">
      <formula>$B$9="PLN"</formula>
    </cfRule>
    <cfRule type="expression" dxfId="2498" priority="161">
      <formula>$B$9="CZK"</formula>
    </cfRule>
    <cfRule type="expression" dxfId="2497" priority="162">
      <formula>$B$9="USD"</formula>
    </cfRule>
    <cfRule type="expression" dxfId="2496" priority="163">
      <formula>$B$9="EURO"</formula>
    </cfRule>
  </conditionalFormatting>
  <conditionalFormatting sqref="N165">
    <cfRule type="expression" dxfId="2495" priority="105">
      <formula>$B$9="PLN"</formula>
    </cfRule>
    <cfRule type="expression" dxfId="2494" priority="106">
      <formula>$B$9="CZK"</formula>
    </cfRule>
    <cfRule type="expression" dxfId="2493" priority="107">
      <formula>$B$9="USD"</formula>
    </cfRule>
    <cfRule type="expression" dxfId="2492" priority="108">
      <formula>$B$9="EURO"</formula>
    </cfRule>
  </conditionalFormatting>
  <conditionalFormatting sqref="N183:N197">
    <cfRule type="cellIs" dxfId="2491" priority="660" operator="greaterThan">
      <formula>0</formula>
    </cfRule>
    <cfRule type="expression" dxfId="2490" priority="661">
      <formula>$B$9="EURO"</formula>
    </cfRule>
    <cfRule type="expression" dxfId="2489" priority="662">
      <formula>$B$9="USD"</formula>
    </cfRule>
    <cfRule type="expression" dxfId="2488" priority="663">
      <formula>$B$9="PLN"</formula>
    </cfRule>
    <cfRule type="expression" dxfId="2487" priority="664">
      <formula>$B$9="CZK"</formula>
    </cfRule>
  </conditionalFormatting>
  <conditionalFormatting sqref="N182:O182">
    <cfRule type="expression" dxfId="2486" priority="670">
      <formula>$B$9="PLN"</formula>
    </cfRule>
    <cfRule type="expression" dxfId="2485" priority="671">
      <formula>$B$9="CZK"</formula>
    </cfRule>
    <cfRule type="expression" dxfId="2484" priority="672">
      <formula>$B$9="USD"</formula>
    </cfRule>
    <cfRule type="expression" dxfId="2483" priority="673">
      <formula>$B$9="EURO"</formula>
    </cfRule>
  </conditionalFormatting>
  <conditionalFormatting sqref="O14:O27">
    <cfRule type="cellIs" dxfId="2482" priority="657" operator="greaterThan">
      <formula>0</formula>
    </cfRule>
  </conditionalFormatting>
  <conditionalFormatting sqref="O31:O44">
    <cfRule type="cellIs" dxfId="2481" priority="406" operator="greaterThan">
      <formula>0</formula>
    </cfRule>
  </conditionalFormatting>
  <conditionalFormatting sqref="O48:O61">
    <cfRule type="cellIs" dxfId="2480" priority="380" operator="greaterThan">
      <formula>0</formula>
    </cfRule>
  </conditionalFormatting>
  <conditionalFormatting sqref="O65:O78">
    <cfRule type="cellIs" dxfId="2479" priority="354" operator="greaterThan">
      <formula>0</formula>
    </cfRule>
  </conditionalFormatting>
  <conditionalFormatting sqref="O82:O95">
    <cfRule type="cellIs" dxfId="2478" priority="328" operator="greaterThan">
      <formula>0</formula>
    </cfRule>
  </conditionalFormatting>
  <conditionalFormatting sqref="O99:O112">
    <cfRule type="cellIs" dxfId="2477" priority="302" operator="greaterThan">
      <formula>0</formula>
    </cfRule>
  </conditionalFormatting>
  <conditionalFormatting sqref="O116:O129 O133:O146 O150:O163 O167:O180">
    <cfRule type="cellIs" dxfId="2476" priority="237" operator="greaterThan">
      <formula>0</formula>
    </cfRule>
  </conditionalFormatting>
  <conditionalFormatting sqref="O183:O197">
    <cfRule type="cellIs" dxfId="2475" priority="683" operator="greaterThan">
      <formula>0</formula>
    </cfRule>
  </conditionalFormatting>
  <conditionalFormatting sqref="Q16">
    <cfRule type="cellIs" dxfId="2474" priority="423" operator="greaterThan">
      <formula>0</formula>
    </cfRule>
    <cfRule type="expression" dxfId="2473" priority="424">
      <formula>$B$9="EURO"</formula>
    </cfRule>
    <cfRule type="expression" dxfId="2472" priority="425">
      <formula>$B$9="USD"</formula>
    </cfRule>
    <cfRule type="expression" dxfId="2471" priority="426">
      <formula>$B$9="PLN"</formula>
    </cfRule>
    <cfRule type="expression" dxfId="2470" priority="427">
      <formula>$B$9="CZK"</formula>
    </cfRule>
  </conditionalFormatting>
  <conditionalFormatting sqref="B33">
    <cfRule type="expression" dxfId="2469" priority="52">
      <formula>$J33&gt;0</formula>
    </cfRule>
  </conditionalFormatting>
  <conditionalFormatting sqref="D33">
    <cfRule type="expression" dxfId="2467" priority="53">
      <formula>($C33="SELECT WORKS")</formula>
    </cfRule>
  </conditionalFormatting>
  <conditionalFormatting sqref="E33">
    <cfRule type="expression" dxfId="2466" priority="49">
      <formula>$C33="SELECT WORKS"</formula>
    </cfRule>
  </conditionalFormatting>
  <conditionalFormatting sqref="J33">
    <cfRule type="cellIs" dxfId="2465" priority="50" operator="greaterThan">
      <formula>0</formula>
    </cfRule>
  </conditionalFormatting>
  <conditionalFormatting sqref="K33">
    <cfRule type="cellIs" dxfId="2464" priority="51" operator="greaterThan">
      <formula>0</formula>
    </cfRule>
  </conditionalFormatting>
  <conditionalFormatting sqref="B50">
    <cfRule type="expression" dxfId="2463" priority="46">
      <formula>$J50&gt;0</formula>
    </cfRule>
  </conditionalFormatting>
  <conditionalFormatting sqref="D50">
    <cfRule type="expression" dxfId="2461" priority="47">
      <formula>($C50="SELECT WORKS")</formula>
    </cfRule>
  </conditionalFormatting>
  <conditionalFormatting sqref="E50">
    <cfRule type="expression" dxfId="2460" priority="43">
      <formula>$C50="SELECT WORKS"</formula>
    </cfRule>
  </conditionalFormatting>
  <conditionalFormatting sqref="J50">
    <cfRule type="cellIs" dxfId="2459" priority="44" operator="greaterThan">
      <formula>0</formula>
    </cfRule>
  </conditionalFormatting>
  <conditionalFormatting sqref="K50">
    <cfRule type="cellIs" dxfId="2458" priority="45" operator="greaterThan">
      <formula>0</formula>
    </cfRule>
  </conditionalFormatting>
  <conditionalFormatting sqref="B67">
    <cfRule type="expression" dxfId="2457" priority="40">
      <formula>$J67&gt;0</formula>
    </cfRule>
  </conditionalFormatting>
  <conditionalFormatting sqref="D67">
    <cfRule type="expression" dxfId="2455" priority="41">
      <formula>($C67="SELECT WORKS")</formula>
    </cfRule>
  </conditionalFormatting>
  <conditionalFormatting sqref="E67">
    <cfRule type="expression" dxfId="2454" priority="37">
      <formula>$C67="SELECT WORKS"</formula>
    </cfRule>
  </conditionalFormatting>
  <conditionalFormatting sqref="J67">
    <cfRule type="cellIs" dxfId="2453" priority="38" operator="greaterThan">
      <formula>0</formula>
    </cfRule>
  </conditionalFormatting>
  <conditionalFormatting sqref="K67">
    <cfRule type="cellIs" dxfId="2452" priority="39" operator="greaterThan">
      <formula>0</formula>
    </cfRule>
  </conditionalFormatting>
  <conditionalFormatting sqref="B84">
    <cfRule type="expression" dxfId="2451" priority="34">
      <formula>$J84&gt;0</formula>
    </cfRule>
  </conditionalFormatting>
  <conditionalFormatting sqref="D84">
    <cfRule type="expression" dxfId="2449" priority="35">
      <formula>($C84="SELECT WORKS")</formula>
    </cfRule>
  </conditionalFormatting>
  <conditionalFormatting sqref="E84">
    <cfRule type="expression" dxfId="2448" priority="31">
      <formula>$C84="SELECT WORKS"</formula>
    </cfRule>
  </conditionalFormatting>
  <conditionalFormatting sqref="J84">
    <cfRule type="cellIs" dxfId="2447" priority="32" operator="greaterThan">
      <formula>0</formula>
    </cfRule>
  </conditionalFormatting>
  <conditionalFormatting sqref="K84">
    <cfRule type="cellIs" dxfId="2446" priority="33" operator="greaterThan">
      <formula>0</formula>
    </cfRule>
  </conditionalFormatting>
  <conditionalFormatting sqref="B101">
    <cfRule type="expression" dxfId="2445" priority="28">
      <formula>$J101&gt;0</formula>
    </cfRule>
  </conditionalFormatting>
  <conditionalFormatting sqref="D101">
    <cfRule type="expression" dxfId="2443" priority="29">
      <formula>($C101="SELECT WORKS")</formula>
    </cfRule>
  </conditionalFormatting>
  <conditionalFormatting sqref="E101">
    <cfRule type="expression" dxfId="2442" priority="25">
      <formula>$C101="SELECT WORKS"</formula>
    </cfRule>
  </conditionalFormatting>
  <conditionalFormatting sqref="J101">
    <cfRule type="cellIs" dxfId="2441" priority="26" operator="greaterThan">
      <formula>0</formula>
    </cfRule>
  </conditionalFormatting>
  <conditionalFormatting sqref="K101">
    <cfRule type="cellIs" dxfId="2440" priority="27" operator="greaterThan">
      <formula>0</formula>
    </cfRule>
  </conditionalFormatting>
  <conditionalFormatting sqref="B118">
    <cfRule type="expression" dxfId="2439" priority="22">
      <formula>$J118&gt;0</formula>
    </cfRule>
  </conditionalFormatting>
  <conditionalFormatting sqref="D118">
    <cfRule type="expression" dxfId="2437" priority="23">
      <formula>($C118="SELECT WORKS")</formula>
    </cfRule>
  </conditionalFormatting>
  <conditionalFormatting sqref="E118">
    <cfRule type="expression" dxfId="2436" priority="19">
      <formula>$C118="SELECT WORKS"</formula>
    </cfRule>
  </conditionalFormatting>
  <conditionalFormatting sqref="J118">
    <cfRule type="cellIs" dxfId="2435" priority="20" operator="greaterThan">
      <formula>0</formula>
    </cfRule>
  </conditionalFormatting>
  <conditionalFormatting sqref="K118">
    <cfRule type="cellIs" dxfId="2434" priority="21" operator="greaterThan">
      <formula>0</formula>
    </cfRule>
  </conditionalFormatting>
  <conditionalFormatting sqref="B135">
    <cfRule type="expression" dxfId="2433" priority="16">
      <formula>$J135&gt;0</formula>
    </cfRule>
  </conditionalFormatting>
  <conditionalFormatting sqref="D135">
    <cfRule type="expression" dxfId="2431" priority="17">
      <formula>($C135="SELECT WORKS")</formula>
    </cfRule>
  </conditionalFormatting>
  <conditionalFormatting sqref="E135">
    <cfRule type="expression" dxfId="2430" priority="13">
      <formula>$C135="SELECT WORKS"</formula>
    </cfRule>
  </conditionalFormatting>
  <conditionalFormatting sqref="J135">
    <cfRule type="cellIs" dxfId="2429" priority="14" operator="greaterThan">
      <formula>0</formula>
    </cfRule>
  </conditionalFormatting>
  <conditionalFormatting sqref="K135">
    <cfRule type="cellIs" dxfId="2428" priority="15" operator="greaterThan">
      <formula>0</formula>
    </cfRule>
  </conditionalFormatting>
  <conditionalFormatting sqref="B152">
    <cfRule type="expression" dxfId="2427" priority="10">
      <formula>$J152&gt;0</formula>
    </cfRule>
  </conditionalFormatting>
  <conditionalFormatting sqref="D152">
    <cfRule type="expression" dxfId="2425" priority="11">
      <formula>($C152="SELECT WORKS")</formula>
    </cfRule>
  </conditionalFormatting>
  <conditionalFormatting sqref="E152">
    <cfRule type="expression" dxfId="2424" priority="7">
      <formula>$C152="SELECT WORKS"</formula>
    </cfRule>
  </conditionalFormatting>
  <conditionalFormatting sqref="J152">
    <cfRule type="cellIs" dxfId="2423" priority="8" operator="greaterThan">
      <formula>0</formula>
    </cfRule>
  </conditionalFormatting>
  <conditionalFormatting sqref="K152">
    <cfRule type="cellIs" dxfId="2422" priority="9" operator="greaterThan">
      <formula>0</formula>
    </cfRule>
  </conditionalFormatting>
  <conditionalFormatting sqref="B169">
    <cfRule type="expression" dxfId="2421" priority="4">
      <formula>$J169&gt;0</formula>
    </cfRule>
  </conditionalFormatting>
  <conditionalFormatting sqref="D169">
    <cfRule type="expression" dxfId="2419" priority="5">
      <formula>($C169="SELECT WORKS")</formula>
    </cfRule>
  </conditionalFormatting>
  <conditionalFormatting sqref="E169">
    <cfRule type="expression" dxfId="2418" priority="1">
      <formula>$C169="SELECT WORKS"</formula>
    </cfRule>
  </conditionalFormatting>
  <conditionalFormatting sqref="J169">
    <cfRule type="cellIs" dxfId="2417" priority="2" operator="greaterThan">
      <formula>0</formula>
    </cfRule>
  </conditionalFormatting>
  <conditionalFormatting sqref="K169">
    <cfRule type="cellIs" dxfId="2416" priority="3" operator="greaterThan">
      <formula>0</formula>
    </cfRule>
  </conditionalFormatting>
  <dataValidations count="7">
    <dataValidation type="list" allowBlank="1" showInputMessage="1" showErrorMessage="1" sqref="C27 C78 C95 C44 C61 C112 C129 C146 C163 C180" xr:uid="{CF9B9718-0C2D-2944-912B-31C6498BFB77}">
      <formula1>"0,0.5,1,1.5,2,2.5,3,3.5,4,4.5,5"</formula1>
    </dataValidation>
    <dataValidation type="list" allowBlank="1" showInputMessage="1" showErrorMessage="1" errorTitle="Minimum number of sections " error="Must be greater than zero" sqref="H14 H65 H48 H31 H82 H99 H116 H133 H150 H167" xr:uid="{F142D930-6563-7E47-8865-740A5F657804}">
      <formula1>"1,2,3,4,5,6,7,8,9,10"</formula1>
    </dataValidation>
    <dataValidation type="list" allowBlank="1" showInputMessage="1" showErrorMessage="1" sqref="C71:C72 C37:C38 C88:C89 C20:C21 C122:C123 C105:C106 C54:C55 C156:C157 C173:C174 C139:C140" xr:uid="{E731AAAB-F658-6D45-ACF1-839BB910F667}">
      <formula1>"0,1,2,3,4,5,6,7,8,9,10,11,12,13,14,15,16,17,18,19,20"</formula1>
    </dataValidation>
    <dataValidation operator="greaterThan" allowBlank="1" showInputMessage="1" showErrorMessage="1" sqref="E14 E65 E48 E31 E82 E99 E116 E133 E150 E167" xr:uid="{4319D679-BED0-E545-947B-2B081ACD11C3}"/>
    <dataValidation type="list" allowBlank="1" showInputMessage="1" showErrorMessage="1" sqref="C99 C31 C82 C65 C48 C14 C116 C133 C150 C167" xr:uid="{13208E99-A9A8-8A41-823C-B28B38EC6033}">
      <formula1>"WALL, ISLAND"</formula1>
    </dataValidation>
    <dataValidation type="list" allowBlank="1" showInputMessage="1" showErrorMessage="1" sqref="G181" xr:uid="{69A32C31-26EA-1A45-B798-02D7345EDAC7}">
      <formula1>#REF!</formula1>
    </dataValidation>
    <dataValidation type="list" allowBlank="1" showInputMessage="1" showErrorMessage="1" sqref="D26 D94 D77 D60 D43 D111 D128 D145 D162 D179" xr:uid="{C593BA5A-54C2-9F45-9534-3D822BFCB171}">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58" operator="containsText" id="{7B15909A-B84A-A141-A794-1BA54139C79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76" operator="containsText" id="{E416AE8A-935F-9B49-8FC2-DF1814275461}">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13" operator="containsText" id="{3AD3902C-7C45-9840-AB63-B4BF5D3A7161}">
            <xm:f>NOT(ISERROR(SEARCH("SELECT WORKS",C34)))</xm:f>
            <xm:f>"SELECT WORKS"</xm:f>
            <x14:dxf>
              <font>
                <b/>
                <i val="0"/>
                <color rgb="FFC00000"/>
              </font>
              <fill>
                <patternFill>
                  <bgColor theme="0"/>
                </patternFill>
              </fill>
            </x14:dxf>
          </x14:cfRule>
          <xm:sqref>C34:C35</xm:sqref>
        </x14:conditionalFormatting>
        <x14:conditionalFormatting xmlns:xm="http://schemas.microsoft.com/office/excel/2006/main">
          <x14:cfRule type="containsText" priority="616" operator="containsText" id="{856F27B3-9F54-564D-81E8-A31BA454E4DD}">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82" operator="containsText" id="{38F628AD-3473-0644-928A-387058F30B04}">
            <xm:f>NOT(ISERROR(SEARCH("SELECT WORKS",C51)))</xm:f>
            <xm:f>"SELECT WORKS"</xm:f>
            <x14:dxf>
              <font>
                <b/>
                <i val="0"/>
                <color rgb="FFC00000"/>
              </font>
              <fill>
                <patternFill>
                  <bgColor theme="0"/>
                </patternFill>
              </fill>
            </x14:dxf>
          </x14:cfRule>
          <xm:sqref>C51:C52</xm:sqref>
        </x14:conditionalFormatting>
        <x14:conditionalFormatting xmlns:xm="http://schemas.microsoft.com/office/excel/2006/main">
          <x14:cfRule type="containsText" priority="585" operator="containsText" id="{AEFEFC20-68B9-0A4C-BE07-08339D40C60F}">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51" operator="containsText" id="{ED1E32C1-CD39-0345-877F-3B6F04246016}">
            <xm:f>NOT(ISERROR(SEARCH("SELECT WORKS",C68)))</xm:f>
            <xm:f>"SELECT WORKS"</xm:f>
            <x14:dxf>
              <font>
                <b/>
                <i val="0"/>
                <color rgb="FFC00000"/>
              </font>
              <fill>
                <patternFill>
                  <bgColor theme="0"/>
                </patternFill>
              </fill>
            </x14:dxf>
          </x14:cfRule>
          <xm:sqref>C68:C69</xm:sqref>
        </x14:conditionalFormatting>
        <x14:conditionalFormatting xmlns:xm="http://schemas.microsoft.com/office/excel/2006/main">
          <x14:cfRule type="containsText" priority="555" operator="containsText" id="{010F6AD5-F930-644E-8F9A-32F5BFFA19E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19" operator="containsText" id="{01B5CE75-3316-A147-824F-FDE338A1AC83}">
            <xm:f>NOT(ISERROR(SEARCH("SELECT WORKS",C85)))</xm:f>
            <xm:f>"SELECT WORKS"</xm:f>
            <x14:dxf>
              <font>
                <b/>
                <i val="0"/>
                <color rgb="FFC00000"/>
              </font>
              <fill>
                <patternFill>
                  <bgColor theme="0"/>
                </patternFill>
              </fill>
            </x14:dxf>
          </x14:cfRule>
          <xm:sqref>C85:C86</xm:sqref>
        </x14:conditionalFormatting>
        <x14:conditionalFormatting xmlns:xm="http://schemas.microsoft.com/office/excel/2006/main">
          <x14:cfRule type="containsText" priority="523" operator="containsText" id="{15326AC3-C68B-7746-B1A4-B536E569EE1B}">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88" operator="containsText" id="{3870B587-6C4F-A34E-B391-05BE69B73903}">
            <xm:f>NOT(ISERROR(SEARCH("SELECT WORKS",C102)))</xm:f>
            <xm:f>"SELECT WORKS"</xm:f>
            <x14:dxf>
              <font>
                <b/>
                <i val="0"/>
                <color rgb="FFC00000"/>
              </font>
              <fill>
                <patternFill>
                  <bgColor theme="0"/>
                </patternFill>
              </fill>
            </x14:dxf>
          </x14:cfRule>
          <xm:sqref>C102:C103</xm:sqref>
        </x14:conditionalFormatting>
        <x14:conditionalFormatting xmlns:xm="http://schemas.microsoft.com/office/excel/2006/main">
          <x14:cfRule type="containsText" priority="491" operator="containsText" id="{9315E593-E357-B043-A11A-4A4D621C21A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264" operator="containsText" id="{3FC04619-0441-ED44-B741-1CC02DCD90FD}">
            <xm:f>NOT(ISERROR(SEARCH("SELECT WORKS",C119)))</xm:f>
            <xm:f>"SELECT WORKS"</xm:f>
            <x14:dxf>
              <font>
                <b/>
                <i val="0"/>
                <color rgb="FFC00000"/>
              </font>
              <fill>
                <patternFill>
                  <bgColor theme="0"/>
                </patternFill>
              </fill>
            </x14:dxf>
          </x14:cfRule>
          <xm:sqref>C119:C120</xm:sqref>
        </x14:conditionalFormatting>
        <x14:conditionalFormatting xmlns:xm="http://schemas.microsoft.com/office/excel/2006/main">
          <x14:cfRule type="containsText" priority="267" operator="containsText" id="{44BA63EF-6215-4848-8D6E-99D95AA89BD3}">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95" operator="containsText" id="{2D169EED-B299-A846-98F9-4C358B3EE34A}">
            <xm:f>NOT(ISERROR(SEARCH("SELECT WORKS",C136)))</xm:f>
            <xm:f>"SELECT WORKS"</xm:f>
            <x14:dxf>
              <font>
                <b/>
                <i val="0"/>
                <color rgb="FFC00000"/>
              </font>
              <fill>
                <patternFill>
                  <bgColor theme="0"/>
                </patternFill>
              </fill>
            </x14:dxf>
          </x14:cfRule>
          <xm:sqref>C136:C137</xm:sqref>
        </x14:conditionalFormatting>
        <x14:conditionalFormatting xmlns:xm="http://schemas.microsoft.com/office/excel/2006/main">
          <x14:cfRule type="containsText" priority="198" operator="containsText" id="{ADD634C5-DE63-E74D-B8A7-CF465D054DE9}">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40" operator="containsText" id="{DCA0ECF0-5C0D-9A4F-9C86-3E889E5E507F}">
            <xm:f>NOT(ISERROR(SEARCH("SELECT WORKS",C153)))</xm:f>
            <xm:f>"SELECT WORKS"</xm:f>
            <x14:dxf>
              <font>
                <b/>
                <i val="0"/>
                <color rgb="FFC00000"/>
              </font>
              <fill>
                <patternFill>
                  <bgColor theme="0"/>
                </patternFill>
              </fill>
            </x14:dxf>
          </x14:cfRule>
          <xm:sqref>C153:C154</xm:sqref>
        </x14:conditionalFormatting>
        <x14:conditionalFormatting xmlns:xm="http://schemas.microsoft.com/office/excel/2006/main">
          <x14:cfRule type="containsText" priority="143" operator="containsText" id="{65E7FD04-1723-DF44-822E-D43AB3BAFC7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85" operator="containsText" id="{DA664D22-318A-C542-B6E0-696F7330CDB3}">
            <xm:f>NOT(ISERROR(SEARCH("SELECT WORKS",C170)))</xm:f>
            <xm:f>"SELECT WORKS"</xm:f>
            <x14:dxf>
              <font>
                <b/>
                <i val="0"/>
                <color rgb="FFC00000"/>
              </font>
              <fill>
                <patternFill>
                  <bgColor theme="0"/>
                </patternFill>
              </fill>
            </x14:dxf>
          </x14:cfRule>
          <xm:sqref>C170:C171</xm:sqref>
        </x14:conditionalFormatting>
        <x14:conditionalFormatting xmlns:xm="http://schemas.microsoft.com/office/excel/2006/main">
          <x14:cfRule type="containsText" priority="88" operator="containsText" id="{E170B4F9-81DC-A84F-92DF-C7F9BC4A0563}">
            <xm:f>NOT(ISERROR(SEARCH("SELECT CLADDING",C172)))</xm:f>
            <xm:f>"SELECT CLADDING"</xm:f>
            <x14:dxf>
              <font>
                <b/>
                <i val="0"/>
                <color rgb="FFC00000"/>
              </font>
              <fill>
                <patternFill>
                  <bgColor theme="0"/>
                </patternFill>
              </fill>
            </x14:dxf>
          </x14:cfRule>
          <xm:sqref>C172</xm:sqref>
        </x14:conditionalFormatting>
        <x14:conditionalFormatting xmlns:xm="http://schemas.microsoft.com/office/excel/2006/main">
          <x14:cfRule type="containsText" priority="54" operator="containsText" id="{6F038BA0-03A7-D047-90A8-15BF92D030E3}">
            <xm:f>NOT(ISERROR(SEARCH("SELECT WORKS",C33)))</xm:f>
            <xm:f>"SELECT WORKS"</xm:f>
            <x14:dxf>
              <font>
                <b/>
                <i val="0"/>
                <color rgb="FFC00000"/>
              </font>
              <fill>
                <patternFill>
                  <bgColor theme="0"/>
                </patternFill>
              </fill>
            </x14:dxf>
          </x14:cfRule>
          <xm:sqref>C33</xm:sqref>
        </x14:conditionalFormatting>
        <x14:conditionalFormatting xmlns:xm="http://schemas.microsoft.com/office/excel/2006/main">
          <x14:cfRule type="containsText" priority="48" operator="containsText" id="{25A1EEDE-114D-3240-9524-C12C4330D2A1}">
            <xm:f>NOT(ISERROR(SEARCH("SELECT WORKS",C50)))</xm:f>
            <xm:f>"SELECT WORKS"</xm:f>
            <x14:dxf>
              <font>
                <b/>
                <i val="0"/>
                <color rgb="FFC00000"/>
              </font>
              <fill>
                <patternFill>
                  <bgColor theme="0"/>
                </patternFill>
              </fill>
            </x14:dxf>
          </x14:cfRule>
          <xm:sqref>C50</xm:sqref>
        </x14:conditionalFormatting>
        <x14:conditionalFormatting xmlns:xm="http://schemas.microsoft.com/office/excel/2006/main">
          <x14:cfRule type="containsText" priority="42" operator="containsText" id="{F808D853-4F43-9D49-BC27-FB2E6D33E813}">
            <xm:f>NOT(ISERROR(SEARCH("SELECT WORKS",C67)))</xm:f>
            <xm:f>"SELECT WORKS"</xm:f>
            <x14:dxf>
              <font>
                <b/>
                <i val="0"/>
                <color rgb="FFC00000"/>
              </font>
              <fill>
                <patternFill>
                  <bgColor theme="0"/>
                </patternFill>
              </fill>
            </x14:dxf>
          </x14:cfRule>
          <xm:sqref>C67</xm:sqref>
        </x14:conditionalFormatting>
        <x14:conditionalFormatting xmlns:xm="http://schemas.microsoft.com/office/excel/2006/main">
          <x14:cfRule type="containsText" priority="36" operator="containsText" id="{C3A3F4AB-CB0C-0F4C-8FD7-9BB087EBEFBB}">
            <xm:f>NOT(ISERROR(SEARCH("SELECT WORKS",C84)))</xm:f>
            <xm:f>"SELECT WORKS"</xm:f>
            <x14:dxf>
              <font>
                <b/>
                <i val="0"/>
                <color rgb="FFC00000"/>
              </font>
              <fill>
                <patternFill>
                  <bgColor theme="0"/>
                </patternFill>
              </fill>
            </x14:dxf>
          </x14:cfRule>
          <xm:sqref>C84</xm:sqref>
        </x14:conditionalFormatting>
        <x14:conditionalFormatting xmlns:xm="http://schemas.microsoft.com/office/excel/2006/main">
          <x14:cfRule type="containsText" priority="30" operator="containsText" id="{F77EAE89-BAF0-C84B-8A67-995A180BD668}">
            <xm:f>NOT(ISERROR(SEARCH("SELECT WORKS",C101)))</xm:f>
            <xm:f>"SELECT WORKS"</xm:f>
            <x14:dxf>
              <font>
                <b/>
                <i val="0"/>
                <color rgb="FFC00000"/>
              </font>
              <fill>
                <patternFill>
                  <bgColor theme="0"/>
                </patternFill>
              </fill>
            </x14:dxf>
          </x14:cfRule>
          <xm:sqref>C101</xm:sqref>
        </x14:conditionalFormatting>
        <x14:conditionalFormatting xmlns:xm="http://schemas.microsoft.com/office/excel/2006/main">
          <x14:cfRule type="containsText" priority="24" operator="containsText" id="{FB112868-2353-014B-A000-33D2D63F1479}">
            <xm:f>NOT(ISERROR(SEARCH("SELECT WORKS",C118)))</xm:f>
            <xm:f>"SELECT WORKS"</xm:f>
            <x14:dxf>
              <font>
                <b/>
                <i val="0"/>
                <color rgb="FFC00000"/>
              </font>
              <fill>
                <patternFill>
                  <bgColor theme="0"/>
                </patternFill>
              </fill>
            </x14:dxf>
          </x14:cfRule>
          <xm:sqref>C118</xm:sqref>
        </x14:conditionalFormatting>
        <x14:conditionalFormatting xmlns:xm="http://schemas.microsoft.com/office/excel/2006/main">
          <x14:cfRule type="containsText" priority="18" operator="containsText" id="{96909031-D66C-A74B-82AB-6E636A323F80}">
            <xm:f>NOT(ISERROR(SEARCH("SELECT WORKS",C135)))</xm:f>
            <xm:f>"SELECT WORKS"</xm:f>
            <x14:dxf>
              <font>
                <b/>
                <i val="0"/>
                <color rgb="FFC00000"/>
              </font>
              <fill>
                <patternFill>
                  <bgColor theme="0"/>
                </patternFill>
              </fill>
            </x14:dxf>
          </x14:cfRule>
          <xm:sqref>C135</xm:sqref>
        </x14:conditionalFormatting>
        <x14:conditionalFormatting xmlns:xm="http://schemas.microsoft.com/office/excel/2006/main">
          <x14:cfRule type="containsText" priority="12" operator="containsText" id="{215D8170-6222-2541-BA9D-EA61357D9479}">
            <xm:f>NOT(ISERROR(SEARCH("SELECT WORKS",C152)))</xm:f>
            <xm:f>"SELECT WORKS"</xm:f>
            <x14:dxf>
              <font>
                <b/>
                <i val="0"/>
                <color rgb="FFC00000"/>
              </font>
              <fill>
                <patternFill>
                  <bgColor theme="0"/>
                </patternFill>
              </fill>
            </x14:dxf>
          </x14:cfRule>
          <xm:sqref>C152</xm:sqref>
        </x14:conditionalFormatting>
        <x14:conditionalFormatting xmlns:xm="http://schemas.microsoft.com/office/excel/2006/main">
          <x14:cfRule type="containsText" priority="6" operator="containsText" id="{1B0701B3-B60E-F84E-B595-A597BC6042A8}">
            <xm:f>NOT(ISERROR(SEARCH("SELECT WORKS",C169)))</xm:f>
            <xm:f>"SELECT WORKS"</xm:f>
            <x14:dxf>
              <font>
                <b/>
                <i val="0"/>
                <color rgb="FFC00000"/>
              </font>
              <fill>
                <patternFill>
                  <bgColor theme="0"/>
                </patternFill>
              </fill>
            </x14:dxf>
          </x14:cfRule>
          <xm:sqref>C169</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7D5186B-28FF-6845-ADC5-9E6DB898EA31}">
          <x14:formula1>
            <xm:f>'Base Costs'!$M$4:$M$23</xm:f>
          </x14:formula1>
          <xm:sqref>C15</xm:sqref>
        </x14:dataValidation>
        <x14:dataValidation type="list" allowBlank="1" showInputMessage="1" showErrorMessage="1" xr:uid="{AC10B266-A816-1C4F-8F97-CC09C7F3E989}">
          <x14:formula1>
            <xm:f>'Base Costs'!$M$4:$M$21</xm:f>
          </x14:formula1>
          <xm:sqref>C32 C168 C151 C134 C100 C49 C66 C83 C117</xm:sqref>
        </x14:dataValidation>
        <x14:dataValidation type="list" allowBlank="1" showInputMessage="1" showErrorMessage="1" xr:uid="{15FFE18B-D42A-B54B-BCE1-8ABC463B803C}">
          <x14:formula1>
            <xm:f>'Base Costs'!$A$39:$A$53</xm:f>
          </x14:formula1>
          <xm:sqref>D14 D167 D150 D133 D31 D99 D48 D82 D65 D116</xm:sqref>
        </x14:dataValidation>
        <x14:dataValidation type="list" allowBlank="1" showInputMessage="1" showErrorMessage="1" xr:uid="{0BD9659C-EF05-E849-8208-F3C9176206F8}">
          <x14:formula1>
            <xm:f>CCBASE!$A$53:$A$73</xm:f>
          </x14:formula1>
          <xm:sqref>C67:C69 C84:C86 C33:C35 C50:C52 C16:C18 C101:C103 C118:C120 C135:C137 C152:C154 C169:C171</xm:sqref>
        </x14:dataValidation>
        <x14:dataValidation type="list" allowBlank="1" showInputMessage="1" showErrorMessage="1" xr:uid="{3497C5FA-137E-3147-9E0D-33A5CCA8BC0F}">
          <x14:formula1>
            <xm:f>CCBASE!$A$81:$A$85</xm:f>
          </x14:formula1>
          <xm:sqref>C25 C42 C93 C76 C59 C110 C127 C144 C161 C178</xm:sqref>
        </x14:dataValidation>
        <x14:dataValidation type="list" allowBlank="1" showInputMessage="1" showErrorMessage="1" xr:uid="{5542DFFE-2BE8-F04F-9638-4BF24B36CDAF}">
          <x14:formula1>
            <xm:f>'Base Costs'!$A$32:$A$37</xm:f>
          </x14:formula1>
          <xm:sqref>B9</xm:sqref>
        </x14:dataValidation>
        <x14:dataValidation type="list" allowBlank="1" showInputMessage="1" showErrorMessage="1" xr:uid="{4FFC3935-487C-644E-A882-E7E32BC502A6}">
          <x14:formula1>
            <xm:f>'Base Costs'!$E$4:$E$213</xm:f>
          </x14:formula1>
          <xm:sqref>D183 D186</xm:sqref>
        </x14:dataValidation>
        <x14:dataValidation type="list" allowBlank="1" showInputMessage="1" showErrorMessage="1" xr:uid="{64CE2854-A732-A344-9215-215F696D952C}">
          <x14:formula1>
            <xm:f>'Base Costs'!$A$4:$A$16</xm:f>
          </x14:formula1>
          <xm:sqref>D184:D185</xm:sqref>
        </x14:dataValidation>
        <x14:dataValidation type="list" allowBlank="1" showInputMessage="1" showErrorMessage="1" xr:uid="{1ED7733C-E1D3-C24E-9C0F-A199594D6C8B}">
          <x14:formula1>
            <xm:f>'Base Costs'!$A$19:$A$22</xm:f>
          </x14:formula1>
          <xm:sqref>C19 C172 C155 C138 C36 C87 C70 C53 C104 C121</xm:sqref>
        </x14:dataValidation>
        <x14:dataValidation type="list" allowBlank="1" showInputMessage="1" showErrorMessage="1" xr:uid="{14D80F99-3F8F-F743-875C-C8729F60FA22}">
          <x14:formula1>
            <xm:f>'Base Costs'!$Q$35:$Q$45</xm:f>
          </x14:formula1>
          <xm:sqref>C43 C179 C162 C145 C60 C77 C94 C111 C26 C128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F1CB4-1EFA-B546-83D1-C7E8FBE1DE7F}">
  <sheetPr>
    <tabColor theme="8" tint="0.79998168889431442"/>
    <pageSetUpPr fitToPage="1"/>
  </sheetPr>
  <dimension ref="A1:AB310"/>
  <sheetViews>
    <sheetView showGridLines="0" zoomScale="80" zoomScaleNormal="80" zoomScaleSheetLayoutView="50" workbookViewId="0">
      <selection activeCell="R29" sqref="R29"/>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e">
        <f>IF(#REF!="","",#REF!)</f>
        <v>#REF!</v>
      </c>
      <c r="D3" s="1113"/>
      <c r="F3" s="690" t="s">
        <v>78</v>
      </c>
      <c r="G3" s="1084" t="e">
        <f>IF(#REF!="","",#REF!)</f>
        <v>#REF!</v>
      </c>
      <c r="H3" s="1114"/>
      <c r="I3" s="1114" t="e">
        <f>IF(#REF!="","",#REF!)</f>
        <v>#REF!</v>
      </c>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e">
        <f>IF(#REF!="","",#REF!)</f>
        <v>#REF!</v>
      </c>
      <c r="D5" s="1083"/>
      <c r="F5" s="690" t="s">
        <v>77</v>
      </c>
      <c r="G5" s="1084" t="e">
        <f>IF(#REF!="","",#REF!)</f>
        <v>#REF!</v>
      </c>
      <c r="H5" s="1114"/>
      <c r="I5" s="1114" t="e">
        <f>IF(#REF!="","",#REF!)</f>
        <v>#REF!</v>
      </c>
      <c r="J5" s="1114"/>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e">
        <f>IF(#REF!="","",#REF!)</f>
        <v>#REF!</v>
      </c>
      <c r="D7" s="1113"/>
      <c r="F7" s="690" t="s">
        <v>76</v>
      </c>
      <c r="G7" s="1086" t="e">
        <f>IF(#REF!="","",#REF!)</f>
        <v>#REF!</v>
      </c>
      <c r="H7" s="1115"/>
      <c r="I7" s="1115" t="e">
        <f>IF(#REF!="","",#REF!)</f>
        <v>#REF!</v>
      </c>
      <c r="J7" s="1115"/>
      <c r="N7" s="699" t="s">
        <v>79</v>
      </c>
      <c r="O7" s="917" t="e">
        <f>IF(#REF!="","",#REF!)</f>
        <v>#REF!</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2"/>
      <c r="F9" s="1112"/>
      <c r="G9" s="1125"/>
      <c r="H9" s="1126"/>
      <c r="I9" s="1126"/>
      <c r="J9" s="1126"/>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7"/>
      <c r="F35" s="1108"/>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0" t="s">
        <v>1092</v>
      </c>
      <c r="F36" s="1108"/>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0" t="s">
        <v>1092</v>
      </c>
      <c r="F53" s="1108"/>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0" t="s">
        <v>1092</v>
      </c>
      <c r="F138" s="1108"/>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1027.2</v>
      </c>
      <c r="L182" s="704">
        <f>IF(K182=0,"-",O182/M182)</f>
        <v>0.39213566507684156</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7" t="s">
        <v>732</v>
      </c>
      <c r="F183" s="1108"/>
      <c r="G183" s="1109"/>
      <c r="H183" s="1109"/>
      <c r="I183" s="110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2" t="s">
        <v>892</v>
      </c>
      <c r="F185" s="1143"/>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4" t="s">
        <v>1412</v>
      </c>
      <c r="F186" s="1145"/>
      <c r="G186" s="1109"/>
      <c r="H186" s="1109"/>
      <c r="I186" s="110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0" t="s">
        <v>1414</v>
      </c>
      <c r="E189" s="1141"/>
      <c r="F189" s="1141"/>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0" t="s">
        <v>1416</v>
      </c>
      <c r="E190" s="1141"/>
      <c r="F190" s="1141"/>
      <c r="G190" s="1136" t="s">
        <v>1464</v>
      </c>
      <c r="H190" s="1136"/>
      <c r="I190" s="113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17"/>
      <c r="F193" s="111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E186:F186"/>
    <mergeCell ref="G186:I186"/>
    <mergeCell ref="D189:F189"/>
    <mergeCell ref="D190:F190"/>
    <mergeCell ref="G190:I190"/>
    <mergeCell ref="D193:F193"/>
    <mergeCell ref="H176:I176"/>
    <mergeCell ref="B182:G182"/>
    <mergeCell ref="E183:F183"/>
    <mergeCell ref="G183:I183"/>
    <mergeCell ref="E184:F184"/>
    <mergeCell ref="E185:F185"/>
    <mergeCell ref="H157:I157"/>
    <mergeCell ref="H158:I158"/>
    <mergeCell ref="H159:I159"/>
    <mergeCell ref="E172:F172"/>
    <mergeCell ref="H174:I174"/>
    <mergeCell ref="H175:I175"/>
    <mergeCell ref="H125:I125"/>
    <mergeCell ref="E138:F138"/>
    <mergeCell ref="H140:I140"/>
    <mergeCell ref="H141:I141"/>
    <mergeCell ref="H142:I142"/>
    <mergeCell ref="E155:F155"/>
    <mergeCell ref="H106:I106"/>
    <mergeCell ref="H107:I107"/>
    <mergeCell ref="H108:I108"/>
    <mergeCell ref="E121:F121"/>
    <mergeCell ref="H123:I123"/>
    <mergeCell ref="H124:I124"/>
    <mergeCell ref="H74:I74"/>
    <mergeCell ref="E87:F87"/>
    <mergeCell ref="H89:I89"/>
    <mergeCell ref="H90:I90"/>
    <mergeCell ref="H91:I91"/>
    <mergeCell ref="E104:F104"/>
    <mergeCell ref="H55:I55"/>
    <mergeCell ref="H56:I56"/>
    <mergeCell ref="H57:I57"/>
    <mergeCell ref="E70:F70"/>
    <mergeCell ref="H72:I72"/>
    <mergeCell ref="H73:I73"/>
    <mergeCell ref="E35:F35"/>
    <mergeCell ref="E36:F36"/>
    <mergeCell ref="H38:I38"/>
    <mergeCell ref="H39:I39"/>
    <mergeCell ref="H40:I40"/>
    <mergeCell ref="E53:F53"/>
    <mergeCell ref="E9:F9"/>
    <mergeCell ref="G9:J9"/>
    <mergeCell ref="E19:F19"/>
    <mergeCell ref="H21:I21"/>
    <mergeCell ref="H22:I22"/>
    <mergeCell ref="H23:I23"/>
    <mergeCell ref="B1:C1"/>
    <mergeCell ref="C3:D3"/>
    <mergeCell ref="G3:J3"/>
    <mergeCell ref="C5:D5"/>
    <mergeCell ref="G5:J5"/>
    <mergeCell ref="C7:D7"/>
    <mergeCell ref="G7:J7"/>
  </mergeCells>
  <conditionalFormatting sqref="B9">
    <cfRule type="containsText" dxfId="2415" priority="665" operator="containsText" text="SELECT">
      <formula>NOT(ISERROR(SEARCH("SELECT",B9)))</formula>
    </cfRule>
    <cfRule type="expression" dxfId="2414" priority="666">
      <formula>B9="CURRENCY"</formula>
    </cfRule>
  </conditionalFormatting>
  <conditionalFormatting sqref="B11">
    <cfRule type="expression" dxfId="2413" priority="627">
      <formula>$B11&lt;&gt;""</formula>
    </cfRule>
  </conditionalFormatting>
  <conditionalFormatting sqref="B14:B23">
    <cfRule type="expression" dxfId="2412" priority="619">
      <formula>$J14&gt;0</formula>
    </cfRule>
  </conditionalFormatting>
  <conditionalFormatting sqref="B24">
    <cfRule type="expression" dxfId="2411" priority="616">
      <formula>ISNUMBER(SEARCH("UV",$D14))</formula>
    </cfRule>
    <cfRule type="expression" dxfId="2410" priority="617">
      <formula>($D14="CANOPY TYPE")</formula>
    </cfRule>
  </conditionalFormatting>
  <conditionalFormatting sqref="B25:B27">
    <cfRule type="expression" dxfId="2409" priority="437">
      <formula>$J25&gt;0</formula>
    </cfRule>
  </conditionalFormatting>
  <conditionalFormatting sqref="B28">
    <cfRule type="expression" dxfId="2408" priority="625">
      <formula>$B28&lt;&gt;""</formula>
    </cfRule>
  </conditionalFormatting>
  <conditionalFormatting sqref="B31:B40">
    <cfRule type="expression" dxfId="2407" priority="263">
      <formula>$J31&gt;0</formula>
    </cfRule>
  </conditionalFormatting>
  <conditionalFormatting sqref="B41">
    <cfRule type="expression" dxfId="2406" priority="585">
      <formula>ISNUMBER(SEARCH("UV",$D31))</formula>
    </cfRule>
    <cfRule type="expression" dxfId="2405" priority="586">
      <formula>($D31="CANOPY TYPE")</formula>
    </cfRule>
  </conditionalFormatting>
  <conditionalFormatting sqref="B42:B44">
    <cfRule type="expression" dxfId="2404" priority="587">
      <formula>$J42&gt;0</formula>
    </cfRule>
  </conditionalFormatting>
  <conditionalFormatting sqref="B45">
    <cfRule type="expression" dxfId="2403" priority="624">
      <formula>$B45&lt;&gt;""</formula>
    </cfRule>
  </conditionalFormatting>
  <conditionalFormatting sqref="B48:B57">
    <cfRule type="expression" dxfId="2402" priority="252">
      <formula>$J48&gt;0</formula>
    </cfRule>
  </conditionalFormatting>
  <conditionalFormatting sqref="B58">
    <cfRule type="expression" dxfId="2401" priority="556">
      <formula>ISNUMBER(SEARCH("UV",$D48))</formula>
    </cfRule>
    <cfRule type="expression" dxfId="2400" priority="557">
      <formula>($D48="CANOPY TYPE")</formula>
    </cfRule>
  </conditionalFormatting>
  <conditionalFormatting sqref="B59:B61">
    <cfRule type="expression" dxfId="2399" priority="436">
      <formula>$J59&gt;0</formula>
    </cfRule>
  </conditionalFormatting>
  <conditionalFormatting sqref="B62">
    <cfRule type="expression" dxfId="2398" priority="623">
      <formula>$B62&lt;&gt;""</formula>
    </cfRule>
  </conditionalFormatting>
  <conditionalFormatting sqref="B65:B74">
    <cfRule type="expression" dxfId="2397" priority="241">
      <formula>$J65&gt;0</formula>
    </cfRule>
  </conditionalFormatting>
  <conditionalFormatting sqref="B75">
    <cfRule type="expression" dxfId="2396" priority="526">
      <formula>ISNUMBER(SEARCH("UV",$D65))</formula>
    </cfRule>
    <cfRule type="expression" dxfId="2395" priority="527">
      <formula>($D65="CANOPY TYPE")</formula>
    </cfRule>
  </conditionalFormatting>
  <conditionalFormatting sqref="B76:B78">
    <cfRule type="expression" dxfId="2394" priority="435">
      <formula>$J76&gt;0</formula>
    </cfRule>
  </conditionalFormatting>
  <conditionalFormatting sqref="B79">
    <cfRule type="expression" dxfId="2393" priority="622">
      <formula>$B79&lt;&gt;""</formula>
    </cfRule>
  </conditionalFormatting>
  <conditionalFormatting sqref="B82:B91">
    <cfRule type="expression" dxfId="2392" priority="230">
      <formula>$J82&gt;0</formula>
    </cfRule>
  </conditionalFormatting>
  <conditionalFormatting sqref="B92">
    <cfRule type="expression" dxfId="2391" priority="495">
      <formula>ISNUMBER(SEARCH("UV",$D82))</formula>
    </cfRule>
    <cfRule type="expression" dxfId="2390" priority="496">
      <formula>($D82="CANOPY TYPE")</formula>
    </cfRule>
  </conditionalFormatting>
  <conditionalFormatting sqref="B93:B95">
    <cfRule type="expression" dxfId="2389" priority="434">
      <formula>$J93&gt;0</formula>
    </cfRule>
  </conditionalFormatting>
  <conditionalFormatting sqref="B96">
    <cfRule type="expression" dxfId="2388" priority="621">
      <formula>$B96&lt;&gt;""</formula>
    </cfRule>
  </conditionalFormatting>
  <conditionalFormatting sqref="B99:B108">
    <cfRule type="expression" dxfId="2387" priority="219">
      <formula>$J99&gt;0</formula>
    </cfRule>
  </conditionalFormatting>
  <conditionalFormatting sqref="B109">
    <cfRule type="expression" dxfId="2386" priority="465">
      <formula>ISNUMBER(SEARCH("UV",$D99))</formula>
    </cfRule>
    <cfRule type="expression" dxfId="2385" priority="466">
      <formula>($D99="CANOPY TYPE")</formula>
    </cfRule>
  </conditionalFormatting>
  <conditionalFormatting sqref="B110:B112 B127:B129 B161:B163 B178:B180">
    <cfRule type="expression" dxfId="2384" priority="433">
      <formula>$J110&gt;0</formula>
    </cfRule>
  </conditionalFormatting>
  <conditionalFormatting sqref="B113">
    <cfRule type="expression" dxfId="2383" priority="325">
      <formula>$B113&lt;&gt;""</formula>
    </cfRule>
  </conditionalFormatting>
  <conditionalFormatting sqref="B116:B125">
    <cfRule type="expression" dxfId="2382" priority="208">
      <formula>$J116&gt;0</formula>
    </cfRule>
  </conditionalFormatting>
  <conditionalFormatting sqref="B126">
    <cfRule type="expression" dxfId="2381" priority="298">
      <formula>ISNUMBER(SEARCH("UV",$D116))</formula>
    </cfRule>
    <cfRule type="expression" dxfId="2380" priority="299">
      <formula>($D116="CANOPY TYPE")</formula>
    </cfRule>
  </conditionalFormatting>
  <conditionalFormatting sqref="B130">
    <cfRule type="expression" dxfId="2379" priority="189">
      <formula>$B130&lt;&gt;""</formula>
    </cfRule>
  </conditionalFormatting>
  <conditionalFormatting sqref="B133:B142">
    <cfRule type="expression" dxfId="2378" priority="21">
      <formula>$J133&gt;0</formula>
    </cfRule>
  </conditionalFormatting>
  <conditionalFormatting sqref="B143">
    <cfRule type="expression" dxfId="2377" priority="159">
      <formula>ISNUMBER(SEARCH("UV",$D133))</formula>
    </cfRule>
    <cfRule type="expression" dxfId="2376" priority="160">
      <formula>($D133="CANOPY TYPE")</formula>
    </cfRule>
  </conditionalFormatting>
  <conditionalFormatting sqref="B144:B146">
    <cfRule type="expression" dxfId="2375" priority="118">
      <formula>$J144&gt;0</formula>
    </cfRule>
  </conditionalFormatting>
  <conditionalFormatting sqref="B147">
    <cfRule type="expression" dxfId="2374" priority="188">
      <formula>$B147&lt;&gt;""</formula>
    </cfRule>
  </conditionalFormatting>
  <conditionalFormatting sqref="B150:B159">
    <cfRule type="expression" dxfId="2373" priority="10">
      <formula>$J150&gt;0</formula>
    </cfRule>
  </conditionalFormatting>
  <conditionalFormatting sqref="B160">
    <cfRule type="expression" dxfId="2372" priority="130">
      <formula>ISNUMBER(SEARCH("UV",$D150))</formula>
    </cfRule>
    <cfRule type="expression" dxfId="2371" priority="131">
      <formula>($D150="CANOPY TYPE")</formula>
    </cfRule>
  </conditionalFormatting>
  <conditionalFormatting sqref="B164">
    <cfRule type="expression" dxfId="2370" priority="81">
      <formula>$B164&lt;&gt;""</formula>
    </cfRule>
  </conditionalFormatting>
  <conditionalFormatting sqref="B167:B176">
    <cfRule type="expression" dxfId="2369" priority="5">
      <formula>$J167&gt;0</formula>
    </cfRule>
  </conditionalFormatting>
  <conditionalFormatting sqref="B177">
    <cfRule type="expression" dxfId="2368" priority="54">
      <formula>ISNUMBER(SEARCH("UV",$D167))</formula>
    </cfRule>
    <cfRule type="expression" dxfId="2367" priority="55">
      <formula>($D167="CANOPY TYPE")</formula>
    </cfRule>
  </conditionalFormatting>
  <conditionalFormatting sqref="B183:B197">
    <cfRule type="expression" dxfId="2366" priority="618">
      <formula>$C183&gt;0</formula>
    </cfRule>
  </conditionalFormatting>
  <conditionalFormatting sqref="C14">
    <cfRule type="containsText" dxfId="2365" priority="423" operator="containsText" text="CONFIG">
      <formula>NOT(ISERROR(SEARCH("CONFIG",C14)))</formula>
    </cfRule>
  </conditionalFormatting>
  <conditionalFormatting sqref="C15">
    <cfRule type="containsText" dxfId="2364" priority="428" operator="containsText" text="LIGHT SELECTION">
      <formula>NOT(ISERROR(SEARCH("LIGHT SELECTION",C15)))</formula>
    </cfRule>
  </conditionalFormatting>
  <conditionalFormatting sqref="C16:C17">
    <cfRule type="containsText" dxfId="2363" priority="674" operator="containsText" text="ANSUL SELECTION">
      <formula>NOT(ISERROR(SEARCH("ANSUL SELECTION",C16)))</formula>
    </cfRule>
  </conditionalFormatting>
  <conditionalFormatting sqref="C20:C21">
    <cfRule type="cellIs" dxfId="2360" priority="671" operator="lessThan">
      <formula>1</formula>
    </cfRule>
  </conditionalFormatting>
  <conditionalFormatting sqref="C22:C23">
    <cfRule type="expression" dxfId="2359" priority="403">
      <formula>D22="WW PODS"</formula>
    </cfRule>
  </conditionalFormatting>
  <conditionalFormatting sqref="C24">
    <cfRule type="expression" dxfId="2358" priority="689">
      <formula>ISNUMBER(SEARCH("UV",D14))</formula>
    </cfRule>
  </conditionalFormatting>
  <conditionalFormatting sqref="C25">
    <cfRule type="expression" dxfId="2357" priority="651">
      <formula>(ISNUMBER(SEARCH("CMW",D14)))=TRUE</formula>
    </cfRule>
  </conditionalFormatting>
  <conditionalFormatting sqref="C26">
    <cfRule type="expression" dxfId="2356" priority="650">
      <formula>(ISNUMBER(SEARCH("CMW",D14)))=TRUE</formula>
    </cfRule>
  </conditionalFormatting>
  <conditionalFormatting sqref="C27">
    <cfRule type="expression" dxfId="2355" priority="620">
      <formula>(ISNUMBER(SEARCH("CMW",$D14)))=TRUE</formula>
    </cfRule>
  </conditionalFormatting>
  <conditionalFormatting sqref="C31">
    <cfRule type="containsText" dxfId="2354" priority="595" operator="containsText" text="CONFIG">
      <formula>NOT(ISERROR(SEARCH("CONFIG",C31)))</formula>
    </cfRule>
  </conditionalFormatting>
  <conditionalFormatting sqref="C32">
    <cfRule type="containsText" dxfId="2353" priority="430" operator="containsText" text="LIGHT SELECTION">
      <formula>NOT(ISERROR(SEARCH("LIGHT SELECTION",C32)))</formula>
    </cfRule>
  </conditionalFormatting>
  <conditionalFormatting sqref="C33:C34">
    <cfRule type="containsText" dxfId="2352" priority="271" operator="containsText" text="ANSUL SELECTION">
      <formula>NOT(ISERROR(SEARCH("ANSUL SELECTION",C33)))</formula>
    </cfRule>
  </conditionalFormatting>
  <conditionalFormatting sqref="C37:C38">
    <cfRule type="cellIs" dxfId="2349" priority="594" operator="lessThan">
      <formula>1</formula>
    </cfRule>
  </conditionalFormatting>
  <conditionalFormatting sqref="C39:C40">
    <cfRule type="expression" dxfId="2348" priority="388">
      <formula>D39="WW PODS"</formula>
    </cfRule>
  </conditionalFormatting>
  <conditionalFormatting sqref="C41">
    <cfRule type="expression" dxfId="2347" priority="609">
      <formula>ISNUMBER(SEARCH("UV",D31))</formula>
    </cfRule>
  </conditionalFormatting>
  <conditionalFormatting sqref="C42">
    <cfRule type="expression" dxfId="2346" priority="592">
      <formula>(ISNUMBER(SEARCH("CMW",D31)))=TRUE</formula>
    </cfRule>
  </conditionalFormatting>
  <conditionalFormatting sqref="C43">
    <cfRule type="expression" dxfId="2345" priority="462">
      <formula>(ISNUMBER(SEARCH("CMW",D31)))=TRUE</formula>
    </cfRule>
  </conditionalFormatting>
  <conditionalFormatting sqref="C44">
    <cfRule type="expression" dxfId="2344" priority="588">
      <formula>(ISNUMBER(SEARCH("CMW",$D31)))=TRUE</formula>
    </cfRule>
  </conditionalFormatting>
  <conditionalFormatting sqref="C48">
    <cfRule type="containsText" dxfId="2343" priority="565" operator="containsText" text="CONFIG">
      <formula>NOT(ISERROR(SEARCH("CONFIG",C48)))</formula>
    </cfRule>
  </conditionalFormatting>
  <conditionalFormatting sqref="C49">
    <cfRule type="containsText" dxfId="2342" priority="427" operator="containsText" text="LIGHT SELECTION">
      <formula>NOT(ISERROR(SEARCH("LIGHT SELECTION",C49)))</formula>
    </cfRule>
  </conditionalFormatting>
  <conditionalFormatting sqref="C50:C51">
    <cfRule type="containsText" dxfId="2341" priority="260" operator="containsText" text="ANSUL SELECTION">
      <formula>NOT(ISERROR(SEARCH("ANSUL SELECTION",C50)))</formula>
    </cfRule>
  </conditionalFormatting>
  <conditionalFormatting sqref="C54:C55">
    <cfRule type="cellIs" dxfId="2338" priority="564" operator="lessThan">
      <formula>1</formula>
    </cfRule>
  </conditionalFormatting>
  <conditionalFormatting sqref="C56:C57">
    <cfRule type="expression" dxfId="2337" priority="373">
      <formula>D56="WW PODS"</formula>
    </cfRule>
  </conditionalFormatting>
  <conditionalFormatting sqref="C58">
    <cfRule type="expression" dxfId="2336" priority="578">
      <formula>ISNUMBER(SEARCH("UV",D48))</formula>
    </cfRule>
  </conditionalFormatting>
  <conditionalFormatting sqref="C59">
    <cfRule type="expression" dxfId="2335" priority="562">
      <formula>(ISNUMBER(SEARCH("CMW",D48)))=TRUE</formula>
    </cfRule>
  </conditionalFormatting>
  <conditionalFormatting sqref="C60">
    <cfRule type="expression" dxfId="2334" priority="461">
      <formula>(ISNUMBER(SEARCH("CMW",D48)))=TRUE</formula>
    </cfRule>
  </conditionalFormatting>
  <conditionalFormatting sqref="C61">
    <cfRule type="expression" dxfId="2333" priority="558">
      <formula>(ISNUMBER(SEARCH("CMW",$D48)))=TRUE</formula>
    </cfRule>
  </conditionalFormatting>
  <conditionalFormatting sqref="C65">
    <cfRule type="containsText" dxfId="2332" priority="536" operator="containsText" text="CONFIG">
      <formula>NOT(ISERROR(SEARCH("CONFIG",C65)))</formula>
    </cfRule>
  </conditionalFormatting>
  <conditionalFormatting sqref="C66">
    <cfRule type="containsText" dxfId="2331" priority="426" operator="containsText" text="LIGHT SELECTION">
      <formula>NOT(ISERROR(SEARCH("LIGHT SELECTION",C66)))</formula>
    </cfRule>
  </conditionalFormatting>
  <conditionalFormatting sqref="C67:C68">
    <cfRule type="containsText" dxfId="2330" priority="249" operator="containsText" text="ANSUL SELECTION">
      <formula>NOT(ISERROR(SEARCH("ANSUL SELECTION",C67)))</formula>
    </cfRule>
  </conditionalFormatting>
  <conditionalFormatting sqref="C71:C72">
    <cfRule type="cellIs" dxfId="2327" priority="535" operator="lessThan">
      <formula>1</formula>
    </cfRule>
  </conditionalFormatting>
  <conditionalFormatting sqref="C73:C74">
    <cfRule type="expression" dxfId="2326" priority="358">
      <formula>D73="WW PODS"</formula>
    </cfRule>
  </conditionalFormatting>
  <conditionalFormatting sqref="C75">
    <cfRule type="expression" dxfId="2325" priority="549">
      <formula>ISNUMBER(SEARCH("UV",D65))</formula>
    </cfRule>
  </conditionalFormatting>
  <conditionalFormatting sqref="C76">
    <cfRule type="expression" dxfId="2324" priority="532">
      <formula>(ISNUMBER(SEARCH("CMW",D65)))=TRUE</formula>
    </cfRule>
  </conditionalFormatting>
  <conditionalFormatting sqref="C77">
    <cfRule type="expression" dxfId="2323" priority="460">
      <formula>(ISNUMBER(SEARCH("CMW",D65)))=TRUE</formula>
    </cfRule>
  </conditionalFormatting>
  <conditionalFormatting sqref="C78">
    <cfRule type="expression" dxfId="2322" priority="528">
      <formula>(ISNUMBER(SEARCH("CMW",$D65)))=TRUE</formula>
    </cfRule>
  </conditionalFormatting>
  <conditionalFormatting sqref="C82">
    <cfRule type="containsText" dxfId="2321" priority="505" operator="containsText" text="CONFIG">
      <formula>NOT(ISERROR(SEARCH("CONFIG",C82)))</formula>
    </cfRule>
  </conditionalFormatting>
  <conditionalFormatting sqref="C83">
    <cfRule type="containsText" dxfId="2320" priority="425" operator="containsText" text="LIGHT SELECTION">
      <formula>NOT(ISERROR(SEARCH("LIGHT SELECTION",C83)))</formula>
    </cfRule>
  </conditionalFormatting>
  <conditionalFormatting sqref="C84:C85">
    <cfRule type="containsText" dxfId="2319" priority="238" operator="containsText" text="ANSUL SELECTION">
      <formula>NOT(ISERROR(SEARCH("ANSUL SELECTION",C84)))</formula>
    </cfRule>
  </conditionalFormatting>
  <conditionalFormatting sqref="C88:C89">
    <cfRule type="cellIs" dxfId="2316" priority="504" operator="lessThan">
      <formula>1</formula>
    </cfRule>
  </conditionalFormatting>
  <conditionalFormatting sqref="C90:C91">
    <cfRule type="expression" dxfId="2315" priority="343">
      <formula>D90="WW PODS"</formula>
    </cfRule>
  </conditionalFormatting>
  <conditionalFormatting sqref="C92">
    <cfRule type="expression" dxfId="2314" priority="519">
      <formula>ISNUMBER(SEARCH("UV",D82))</formula>
    </cfRule>
  </conditionalFormatting>
  <conditionalFormatting sqref="C93">
    <cfRule type="expression" dxfId="2313" priority="501">
      <formula>(ISNUMBER(SEARCH("CMW",D82)))=TRUE</formula>
    </cfRule>
  </conditionalFormatting>
  <conditionalFormatting sqref="C94">
    <cfRule type="expression" dxfId="2312" priority="459">
      <formula>(ISNUMBER(SEARCH("CMW",D82)))=TRUE</formula>
    </cfRule>
  </conditionalFormatting>
  <conditionalFormatting sqref="C95">
    <cfRule type="expression" dxfId="2311" priority="497">
      <formula>(ISNUMBER(SEARCH("CMW",$D82)))=TRUE</formula>
    </cfRule>
  </conditionalFormatting>
  <conditionalFormatting sqref="C99">
    <cfRule type="containsText" dxfId="2310" priority="474" operator="containsText" text="CONFIG">
      <formula>NOT(ISERROR(SEARCH("CONFIG",C99)))</formula>
    </cfRule>
  </conditionalFormatting>
  <conditionalFormatting sqref="C100">
    <cfRule type="containsText" dxfId="2309" priority="424" operator="containsText" text="LIGHT SELECTION">
      <formula>NOT(ISERROR(SEARCH("LIGHT SELECTION",C100)))</formula>
    </cfRule>
  </conditionalFormatting>
  <conditionalFormatting sqref="C101:C102">
    <cfRule type="containsText" dxfId="2308" priority="227" operator="containsText" text="ANSUL SELECTION">
      <formula>NOT(ISERROR(SEARCH("ANSUL SELECTION",C101)))</formula>
    </cfRule>
  </conditionalFormatting>
  <conditionalFormatting sqref="C105:C106">
    <cfRule type="cellIs" dxfId="2305" priority="473" operator="lessThan">
      <formula>1</formula>
    </cfRule>
  </conditionalFormatting>
  <conditionalFormatting sqref="C107:C108">
    <cfRule type="expression" dxfId="2304" priority="328">
      <formula>D107="WW PODS"</formula>
    </cfRule>
  </conditionalFormatting>
  <conditionalFormatting sqref="C109">
    <cfRule type="expression" dxfId="2303" priority="488">
      <formula>ISNUMBER(SEARCH("UV",D99))</formula>
    </cfRule>
  </conditionalFormatting>
  <conditionalFormatting sqref="C110">
    <cfRule type="expression" dxfId="2302" priority="471">
      <formula>(ISNUMBER(SEARCH("CMW",D99)))=TRUE</formula>
    </cfRule>
  </conditionalFormatting>
  <conditionalFormatting sqref="C111">
    <cfRule type="expression" dxfId="2301" priority="458">
      <formula>(ISNUMBER(SEARCH("CMW",D99)))=TRUE</formula>
    </cfRule>
  </conditionalFormatting>
  <conditionalFormatting sqref="C112 C129 C163 C180">
    <cfRule type="expression" dxfId="2300" priority="467">
      <formula>(ISNUMBER(SEARCH("CMW",$D99)))=TRUE</formula>
    </cfRule>
  </conditionalFormatting>
  <conditionalFormatting sqref="C116">
    <cfRule type="containsText" dxfId="2299" priority="306" operator="containsText" text="CONFIG">
      <formula>NOT(ISERROR(SEARCH("CONFIG",C116)))</formula>
    </cfRule>
  </conditionalFormatting>
  <conditionalFormatting sqref="C117">
    <cfRule type="containsText" dxfId="2298" priority="291" operator="containsText" text="LIGHT SELECTION">
      <formula>NOT(ISERROR(SEARCH("LIGHT SELECTION",C117)))</formula>
    </cfRule>
  </conditionalFormatting>
  <conditionalFormatting sqref="C118:C119">
    <cfRule type="containsText" dxfId="2297" priority="216" operator="containsText" text="ANSUL SELECTION">
      <formula>NOT(ISERROR(SEARCH("ANSUL SELECTION",C118)))</formula>
    </cfRule>
  </conditionalFormatting>
  <conditionalFormatting sqref="C122:C123">
    <cfRule type="cellIs" dxfId="2294" priority="305" operator="lessThan">
      <formula>1</formula>
    </cfRule>
  </conditionalFormatting>
  <conditionalFormatting sqref="C124:C125">
    <cfRule type="expression" dxfId="2293" priority="275">
      <formula>D124="WW PODS"</formula>
    </cfRule>
  </conditionalFormatting>
  <conditionalFormatting sqref="C126">
    <cfRule type="expression" dxfId="2292" priority="320">
      <formula>ISNUMBER(SEARCH("UV",D116))</formula>
    </cfRule>
  </conditionalFormatting>
  <conditionalFormatting sqref="C127">
    <cfRule type="expression" dxfId="2291" priority="303">
      <formula>(ISNUMBER(SEARCH("CMW",D116)))=TRUE</formula>
    </cfRule>
  </conditionalFormatting>
  <conditionalFormatting sqref="C128">
    <cfRule type="expression" dxfId="2290" priority="296">
      <formula>(ISNUMBER(SEARCH("CMW",D116)))=TRUE</formula>
    </cfRule>
  </conditionalFormatting>
  <conditionalFormatting sqref="C133">
    <cfRule type="containsText" dxfId="2289" priority="169" operator="containsText" text="CONFIG">
      <formula>NOT(ISERROR(SEARCH("CONFIG",C133)))</formula>
    </cfRule>
  </conditionalFormatting>
  <conditionalFormatting sqref="C134">
    <cfRule type="containsText" dxfId="2288" priority="117" operator="containsText" text="LIGHT SELECTION">
      <formula>NOT(ISERROR(SEARCH("LIGHT SELECTION",C134)))</formula>
    </cfRule>
  </conditionalFormatting>
  <conditionalFormatting sqref="C135:C136">
    <cfRule type="containsText" dxfId="2287" priority="29" operator="containsText" text="ANSUL SELECTION">
      <formula>NOT(ISERROR(SEARCH("ANSUL SELECTION",C135)))</formula>
    </cfRule>
  </conditionalFormatting>
  <conditionalFormatting sqref="C139:C140">
    <cfRule type="cellIs" dxfId="2284" priority="168" operator="lessThan">
      <formula>1</formula>
    </cfRule>
  </conditionalFormatting>
  <conditionalFormatting sqref="C141:C142">
    <cfRule type="expression" dxfId="2283" priority="99">
      <formula>D141="WW PODS"</formula>
    </cfRule>
  </conditionalFormatting>
  <conditionalFormatting sqref="C143">
    <cfRule type="expression" dxfId="2282" priority="183">
      <formula>ISNUMBER(SEARCH("UV",D133))</formula>
    </cfRule>
  </conditionalFormatting>
  <conditionalFormatting sqref="C144">
    <cfRule type="expression" dxfId="2281" priority="165">
      <formula>(ISNUMBER(SEARCH("CMW",D133)))=TRUE</formula>
    </cfRule>
  </conditionalFormatting>
  <conditionalFormatting sqref="C145">
    <cfRule type="expression" dxfId="2280" priority="128">
      <formula>(ISNUMBER(SEARCH("CMW",D133)))=TRUE</formula>
    </cfRule>
  </conditionalFormatting>
  <conditionalFormatting sqref="C146">
    <cfRule type="expression" dxfId="2279" priority="161">
      <formula>(ISNUMBER(SEARCH("CMW",$D133)))=TRUE</formula>
    </cfRule>
  </conditionalFormatting>
  <conditionalFormatting sqref="C150">
    <cfRule type="containsText" dxfId="2278" priority="138" operator="containsText" text="CONFIG">
      <formula>NOT(ISERROR(SEARCH("CONFIG",C150)))</formula>
    </cfRule>
  </conditionalFormatting>
  <conditionalFormatting sqref="C151">
    <cfRule type="containsText" dxfId="2277" priority="116" operator="containsText" text="LIGHT SELECTION">
      <formula>NOT(ISERROR(SEARCH("LIGHT SELECTION",C151)))</formula>
    </cfRule>
  </conditionalFormatting>
  <conditionalFormatting sqref="C152:C153">
    <cfRule type="containsText" dxfId="2276" priority="18" operator="containsText" text="ANSUL SELECTION">
      <formula>NOT(ISERROR(SEARCH("ANSUL SELECTION",C152)))</formula>
    </cfRule>
  </conditionalFormatting>
  <conditionalFormatting sqref="C156:C157">
    <cfRule type="cellIs" dxfId="2273" priority="137" operator="lessThan">
      <formula>1</formula>
    </cfRule>
  </conditionalFormatting>
  <conditionalFormatting sqref="C158:C159">
    <cfRule type="expression" dxfId="2272" priority="84">
      <formula>D158="WW PODS"</formula>
    </cfRule>
  </conditionalFormatting>
  <conditionalFormatting sqref="C160">
    <cfRule type="expression" dxfId="2271" priority="152">
      <formula>ISNUMBER(SEARCH("UV",D150))</formula>
    </cfRule>
  </conditionalFormatting>
  <conditionalFormatting sqref="C161">
    <cfRule type="expression" dxfId="2270" priority="135">
      <formula>(ISNUMBER(SEARCH("CMW",D150)))=TRUE</formula>
    </cfRule>
  </conditionalFormatting>
  <conditionalFormatting sqref="C162">
    <cfRule type="expression" dxfId="2269" priority="127">
      <formula>(ISNUMBER(SEARCH("CMW",D150)))=TRUE</formula>
    </cfRule>
  </conditionalFormatting>
  <conditionalFormatting sqref="C167">
    <cfRule type="containsText" dxfId="2268" priority="62" operator="containsText" text="CONFIG">
      <formula>NOT(ISERROR(SEARCH("CONFIG",C167)))</formula>
    </cfRule>
  </conditionalFormatting>
  <conditionalFormatting sqref="C168">
    <cfRule type="containsText" dxfId="2267" priority="47" operator="containsText" text="LIGHT SELECTION">
      <formula>NOT(ISERROR(SEARCH("LIGHT SELECTION",C168)))</formula>
    </cfRule>
  </conditionalFormatting>
  <conditionalFormatting sqref="C169:C170">
    <cfRule type="containsText" dxfId="2266" priority="7" operator="containsText" text="ANSUL SELECTION">
      <formula>NOT(ISERROR(SEARCH("ANSUL SELECTION",C169)))</formula>
    </cfRule>
  </conditionalFormatting>
  <conditionalFormatting sqref="C173:C174">
    <cfRule type="cellIs" dxfId="2263" priority="61" operator="lessThan">
      <formula>1</formula>
    </cfRule>
  </conditionalFormatting>
  <conditionalFormatting sqref="C175:C176">
    <cfRule type="expression" dxfId="2262" priority="31">
      <formula>D175="WW PODS"</formula>
    </cfRule>
  </conditionalFormatting>
  <conditionalFormatting sqref="C177">
    <cfRule type="expression" dxfId="2261" priority="76">
      <formula>ISNUMBER(SEARCH("UV",D167))</formula>
    </cfRule>
  </conditionalFormatting>
  <conditionalFormatting sqref="C178">
    <cfRule type="expression" dxfId="2260" priority="59">
      <formula>(ISNUMBER(SEARCH("CMW",D167)))=TRUE</formula>
    </cfRule>
  </conditionalFormatting>
  <conditionalFormatting sqref="C179">
    <cfRule type="expression" dxfId="2259" priority="52">
      <formula>(ISNUMBER(SEARCH("CMW",D167)))=TRUE</formula>
    </cfRule>
  </conditionalFormatting>
  <conditionalFormatting sqref="C183:C184">
    <cfRule type="cellIs" dxfId="2258" priority="673" operator="lessThan">
      <formula>1</formula>
    </cfRule>
  </conditionalFormatting>
  <conditionalFormatting sqref="C185:C186">
    <cfRule type="cellIs" dxfId="2257" priority="662" operator="lessThan">
      <formula>1</formula>
    </cfRule>
  </conditionalFormatting>
  <conditionalFormatting sqref="C187:C197">
    <cfRule type="cellIs" dxfId="2256" priority="273" operator="lessThan">
      <formula>1</formula>
    </cfRule>
  </conditionalFormatting>
  <conditionalFormatting sqref="C9:D9">
    <cfRule type="cellIs" dxfId="2255" priority="663" operator="lessThan">
      <formula>0</formula>
    </cfRule>
    <cfRule type="cellIs" dxfId="2254" priority="664" operator="greaterThan">
      <formula>0</formula>
    </cfRule>
  </conditionalFormatting>
  <conditionalFormatting sqref="D14">
    <cfRule type="containsText" dxfId="2253" priority="675" operator="containsText" text="CANOPY TYPE">
      <formula>NOT(ISERROR(SEARCH("CANOPY TYPE",D14)))</formula>
    </cfRule>
  </conditionalFormatting>
  <conditionalFormatting sqref="D15">
    <cfRule type="expression" dxfId="2252" priority="419">
      <formula>(C15="LIGHT SELECTION")</formula>
    </cfRule>
  </conditionalFormatting>
  <conditionalFormatting sqref="D18">
    <cfRule type="expression" dxfId="2251" priority="629">
      <formula>($C18="SELECT WORKS")</formula>
    </cfRule>
  </conditionalFormatting>
  <conditionalFormatting sqref="D19">
    <cfRule type="expression" dxfId="2250" priority="272">
      <formula>$C19="SELECT CLADDING"</formula>
    </cfRule>
  </conditionalFormatting>
  <conditionalFormatting sqref="D22:D23">
    <cfRule type="expression" dxfId="2249" priority="402">
      <formula>($D$14="CANOPY TYPE")</formula>
    </cfRule>
  </conditionalFormatting>
  <conditionalFormatting sqref="D24">
    <cfRule type="expression" dxfId="2248" priority="688">
      <formula>ISNUMBER(SEARCH("UV",D14))</formula>
    </cfRule>
  </conditionalFormatting>
  <conditionalFormatting sqref="D25">
    <cfRule type="expression" dxfId="2247" priority="614">
      <formula>($D$14="CANOPY TYPE")</formula>
    </cfRule>
  </conditionalFormatting>
  <conditionalFormatting sqref="D26">
    <cfRule type="expression" dxfId="2246" priority="637">
      <formula>(ISNUMBER(SEARCH("CMW",D14)))=TRUE</formula>
    </cfRule>
  </conditionalFormatting>
  <conditionalFormatting sqref="D31">
    <cfRule type="containsText" dxfId="2245" priority="596" operator="containsText" text="CANOPY TYPE">
      <formula>NOT(ISERROR(SEARCH("CANOPY TYPE",D31)))</formula>
    </cfRule>
  </conditionalFormatting>
  <conditionalFormatting sqref="D32">
    <cfRule type="expression" dxfId="2244" priority="432">
      <formula>(C32="LIGHT SELECTION")</formula>
    </cfRule>
  </conditionalFormatting>
  <conditionalFormatting sqref="D35">
    <cfRule type="expression" dxfId="2243" priority="589">
      <formula>($C35="SELECT WORKS")</formula>
    </cfRule>
  </conditionalFormatting>
  <conditionalFormatting sqref="D36">
    <cfRule type="expression" dxfId="2242" priority="411">
      <formula>$C36="SELECT CLADDING"</formula>
    </cfRule>
  </conditionalFormatting>
  <conditionalFormatting sqref="D39:D40">
    <cfRule type="expression" dxfId="2241" priority="387">
      <formula>($D$14="CANOPY TYPE")</formula>
    </cfRule>
  </conditionalFormatting>
  <conditionalFormatting sqref="D41">
    <cfRule type="expression" dxfId="2240" priority="608">
      <formula>ISNUMBER(SEARCH("UV",D31))</formula>
    </cfRule>
  </conditionalFormatting>
  <conditionalFormatting sqref="D42">
    <cfRule type="expression" dxfId="2239" priority="583">
      <formula>($D$14="CANOPY TYPE")</formula>
    </cfRule>
  </conditionalFormatting>
  <conditionalFormatting sqref="D43">
    <cfRule type="expression" dxfId="2238" priority="591">
      <formula>(ISNUMBER(SEARCH("CMW",D31)))=TRUE</formula>
    </cfRule>
  </conditionalFormatting>
  <conditionalFormatting sqref="D48">
    <cfRule type="containsText" dxfId="2237" priority="414" operator="containsText" text="CANOPY TYPE">
      <formula>NOT(ISERROR(SEARCH("CANOPY TYPE",D48)))</formula>
    </cfRule>
  </conditionalFormatting>
  <conditionalFormatting sqref="D49">
    <cfRule type="expression" dxfId="2236" priority="429">
      <formula>(C15="LIGHT SELECTION")</formula>
    </cfRule>
  </conditionalFormatting>
  <conditionalFormatting sqref="D52">
    <cfRule type="expression" dxfId="2235" priority="559">
      <formula>($C52="SELECT WORKS")</formula>
    </cfRule>
  </conditionalFormatting>
  <conditionalFormatting sqref="D53">
    <cfRule type="expression" dxfId="2234" priority="412">
      <formula>$C53="SELECT CLADDING"</formula>
    </cfRule>
  </conditionalFormatting>
  <conditionalFormatting sqref="D56:D57">
    <cfRule type="expression" dxfId="2233" priority="372">
      <formula>($D$14="CANOPY TYPE")</formula>
    </cfRule>
  </conditionalFormatting>
  <conditionalFormatting sqref="D58">
    <cfRule type="expression" dxfId="2232" priority="577">
      <formula>ISNUMBER(SEARCH("UV",D48))</formula>
    </cfRule>
  </conditionalFormatting>
  <conditionalFormatting sqref="D59">
    <cfRule type="expression" dxfId="2231" priority="554">
      <formula>($D$14="CANOPY TYPE")</formula>
    </cfRule>
  </conditionalFormatting>
  <conditionalFormatting sqref="D60">
    <cfRule type="expression" dxfId="2230" priority="561">
      <formula>(ISNUMBER(SEARCH("CMW",D48)))=TRUE</formula>
    </cfRule>
  </conditionalFormatting>
  <conditionalFormatting sqref="D65">
    <cfRule type="containsText" dxfId="2229" priority="413" operator="containsText" text="CANOPY TYPE">
      <formula>NOT(ISERROR(SEARCH("CANOPY TYPE",D65)))</formula>
    </cfRule>
  </conditionalFormatting>
  <conditionalFormatting sqref="D66">
    <cfRule type="expression" dxfId="2228" priority="422">
      <formula>(C66="LIGHT SELECTION")</formula>
    </cfRule>
  </conditionalFormatting>
  <conditionalFormatting sqref="D69">
    <cfRule type="expression" dxfId="2227" priority="529">
      <formula>($C69="SELECT WORKS")</formula>
    </cfRule>
  </conditionalFormatting>
  <conditionalFormatting sqref="D70">
    <cfRule type="expression" dxfId="2226" priority="533">
      <formula>$C70="SELECT CLADDING"</formula>
    </cfRule>
  </conditionalFormatting>
  <conditionalFormatting sqref="D73:D74">
    <cfRule type="expression" dxfId="2225" priority="357">
      <formula>($D$14="CANOPY TYPE")</formula>
    </cfRule>
  </conditionalFormatting>
  <conditionalFormatting sqref="D75">
    <cfRule type="expression" dxfId="2224" priority="548">
      <formula>ISNUMBER(SEARCH("UV",D65))</formula>
    </cfRule>
  </conditionalFormatting>
  <conditionalFormatting sqref="D76">
    <cfRule type="expression" dxfId="2223" priority="524">
      <formula>($D$14="CANOPY TYPE")</formula>
    </cfRule>
  </conditionalFormatting>
  <conditionalFormatting sqref="D77">
    <cfRule type="expression" dxfId="2222" priority="531">
      <formula>(ISNUMBER(SEARCH("CMW",D65)))=TRUE</formula>
    </cfRule>
  </conditionalFormatting>
  <conditionalFormatting sqref="D82">
    <cfRule type="containsText" dxfId="2221" priority="506" operator="containsText" text="CANOPY TYPE">
      <formula>NOT(ISERROR(SEARCH("CANOPY TYPE",D82)))</formula>
    </cfRule>
  </conditionalFormatting>
  <conditionalFormatting sqref="D83">
    <cfRule type="expression" dxfId="2220" priority="421">
      <formula>(C83="LIGHT SELECTION")</formula>
    </cfRule>
  </conditionalFormatting>
  <conditionalFormatting sqref="D86">
    <cfRule type="expression" dxfId="2219" priority="498">
      <formula>($C86="SELECT WORKS")</formula>
    </cfRule>
  </conditionalFormatting>
  <conditionalFormatting sqref="D87">
    <cfRule type="expression" dxfId="2218" priority="502">
      <formula>$C87="SELECT CLADDING"</formula>
    </cfRule>
  </conditionalFormatting>
  <conditionalFormatting sqref="D90:D91">
    <cfRule type="expression" dxfId="2217" priority="342">
      <formula>($D$14="CANOPY TYPE")</formula>
    </cfRule>
  </conditionalFormatting>
  <conditionalFormatting sqref="D92">
    <cfRule type="expression" dxfId="2216" priority="518">
      <formula>ISNUMBER(SEARCH("UV",D82))</formula>
    </cfRule>
  </conditionalFormatting>
  <conditionalFormatting sqref="D93">
    <cfRule type="expression" dxfId="2215" priority="493">
      <formula>($D$14="CANOPY TYPE")</formula>
    </cfRule>
  </conditionalFormatting>
  <conditionalFormatting sqref="D94">
    <cfRule type="expression" dxfId="2214" priority="500">
      <formula>(ISNUMBER(SEARCH("CMW",D82)))=TRUE</formula>
    </cfRule>
  </conditionalFormatting>
  <conditionalFormatting sqref="D99">
    <cfRule type="containsText" dxfId="2213" priority="475" operator="containsText" text="CANOPY TYPE">
      <formula>NOT(ISERROR(SEARCH("CANOPY TYPE",D99)))</formula>
    </cfRule>
  </conditionalFormatting>
  <conditionalFormatting sqref="D100">
    <cfRule type="expression" dxfId="2212" priority="420">
      <formula>(C100="LIGHT SELECTION")</formula>
    </cfRule>
  </conditionalFormatting>
  <conditionalFormatting sqref="D103">
    <cfRule type="expression" dxfId="2211" priority="468">
      <formula>($C103="SELECT WORKS")</formula>
    </cfRule>
  </conditionalFormatting>
  <conditionalFormatting sqref="D104">
    <cfRule type="expression" dxfId="2210" priority="410">
      <formula>$C104="SELECT CLADDING"</formula>
    </cfRule>
  </conditionalFormatting>
  <conditionalFormatting sqref="D107:D108">
    <cfRule type="expression" dxfId="2209" priority="327">
      <formula>($D$14="CANOPY TYPE")</formula>
    </cfRule>
  </conditionalFormatting>
  <conditionalFormatting sqref="D109">
    <cfRule type="expression" dxfId="2208" priority="487">
      <formula>ISNUMBER(SEARCH("UV",D99))</formula>
    </cfRule>
  </conditionalFormatting>
  <conditionalFormatting sqref="D110">
    <cfRule type="expression" dxfId="2207" priority="463">
      <formula>($D$14="CANOPY TYPE")</formula>
    </cfRule>
  </conditionalFormatting>
  <conditionalFormatting sqref="D111">
    <cfRule type="expression" dxfId="2206" priority="470">
      <formula>(ISNUMBER(SEARCH("CMW",D99)))=TRUE</formula>
    </cfRule>
  </conditionalFormatting>
  <conditionalFormatting sqref="D116">
    <cfRule type="containsText" dxfId="2205" priority="307" operator="containsText" text="CANOPY TYPE">
      <formula>NOT(ISERROR(SEARCH("CANOPY TYPE",D116)))</formula>
    </cfRule>
  </conditionalFormatting>
  <conditionalFormatting sqref="D117">
    <cfRule type="expression" dxfId="2204" priority="290">
      <formula>(C117="LIGHT SELECTION")</formula>
    </cfRule>
  </conditionalFormatting>
  <conditionalFormatting sqref="D120">
    <cfRule type="expression" dxfId="2203" priority="300">
      <formula>($C120="SELECT WORKS")</formula>
    </cfRule>
  </conditionalFormatting>
  <conditionalFormatting sqref="D121">
    <cfRule type="expression" dxfId="2202" priority="289">
      <formula>$C121="SELECT CLADDING"</formula>
    </cfRule>
  </conditionalFormatting>
  <conditionalFormatting sqref="D124:D125">
    <cfRule type="expression" dxfId="2201" priority="274">
      <formula>($D$14="CANOPY TYPE")</formula>
    </cfRule>
  </conditionalFormatting>
  <conditionalFormatting sqref="D126">
    <cfRule type="expression" dxfId="2200" priority="319">
      <formula>ISNUMBER(SEARCH("UV",D116))</formula>
    </cfRule>
  </conditionalFormatting>
  <conditionalFormatting sqref="D127">
    <cfRule type="expression" dxfId="2199" priority="297">
      <formula>($D$14="CANOPY TYPE")</formula>
    </cfRule>
  </conditionalFormatting>
  <conditionalFormatting sqref="D128">
    <cfRule type="expression" dxfId="2198" priority="302">
      <formula>(ISNUMBER(SEARCH("CMW",D116)))=TRUE</formula>
    </cfRule>
  </conditionalFormatting>
  <conditionalFormatting sqref="D133">
    <cfRule type="containsText" dxfId="2197" priority="170" operator="containsText" text="CANOPY TYPE">
      <formula>NOT(ISERROR(SEARCH("CANOPY TYPE",D133)))</formula>
    </cfRule>
  </conditionalFormatting>
  <conditionalFormatting sqref="D134">
    <cfRule type="expression" dxfId="2196" priority="115">
      <formula>(C134="LIGHT SELECTION")</formula>
    </cfRule>
  </conditionalFormatting>
  <conditionalFormatting sqref="D137">
    <cfRule type="expression" dxfId="2195" priority="162">
      <formula>($C137="SELECT WORKS")</formula>
    </cfRule>
  </conditionalFormatting>
  <conditionalFormatting sqref="D138">
    <cfRule type="expression" dxfId="2194" priority="166">
      <formula>$C138="SELECT CLADDING"</formula>
    </cfRule>
  </conditionalFormatting>
  <conditionalFormatting sqref="D141:D142">
    <cfRule type="expression" dxfId="2193" priority="98">
      <formula>($D$14="CANOPY TYPE")</formula>
    </cfRule>
  </conditionalFormatting>
  <conditionalFormatting sqref="D143">
    <cfRule type="expression" dxfId="2192" priority="182">
      <formula>ISNUMBER(SEARCH("UV",D133))</formula>
    </cfRule>
  </conditionalFormatting>
  <conditionalFormatting sqref="D144">
    <cfRule type="expression" dxfId="2191" priority="157">
      <formula>($D$14="CANOPY TYPE")</formula>
    </cfRule>
  </conditionalFormatting>
  <conditionalFormatting sqref="D145">
    <cfRule type="expression" dxfId="2190" priority="164">
      <formula>(ISNUMBER(SEARCH("CMW",D133)))=TRUE</formula>
    </cfRule>
  </conditionalFormatting>
  <conditionalFormatting sqref="D150">
    <cfRule type="containsText" dxfId="2189" priority="139" operator="containsText" text="CANOPY TYPE">
      <formula>NOT(ISERROR(SEARCH("CANOPY TYPE",D150)))</formula>
    </cfRule>
  </conditionalFormatting>
  <conditionalFormatting sqref="D151">
    <cfRule type="expression" dxfId="2188" priority="114">
      <formula>(C151="LIGHT SELECTION")</formula>
    </cfRule>
  </conditionalFormatting>
  <conditionalFormatting sqref="D154">
    <cfRule type="expression" dxfId="2187" priority="132">
      <formula>($C154="SELECT WORKS")</formula>
    </cfRule>
  </conditionalFormatting>
  <conditionalFormatting sqref="D155">
    <cfRule type="expression" dxfId="2186" priority="113">
      <formula>$C155="SELECT CLADDING"</formula>
    </cfRule>
  </conditionalFormatting>
  <conditionalFormatting sqref="D158:D159">
    <cfRule type="expression" dxfId="2185" priority="83">
      <formula>($D$14="CANOPY TYPE")</formula>
    </cfRule>
  </conditionalFormatting>
  <conditionalFormatting sqref="D160">
    <cfRule type="expression" dxfId="2184" priority="151">
      <formula>ISNUMBER(SEARCH("UV",D150))</formula>
    </cfRule>
  </conditionalFormatting>
  <conditionalFormatting sqref="D161">
    <cfRule type="expression" dxfId="2183" priority="129">
      <formula>($D$14="CANOPY TYPE")</formula>
    </cfRule>
  </conditionalFormatting>
  <conditionalFormatting sqref="D162">
    <cfRule type="expression" dxfId="2182" priority="134">
      <formula>(ISNUMBER(SEARCH("CMW",D150)))=TRUE</formula>
    </cfRule>
  </conditionalFormatting>
  <conditionalFormatting sqref="D167">
    <cfRule type="containsText" dxfId="2181" priority="63" operator="containsText" text="CANOPY TYPE">
      <formula>NOT(ISERROR(SEARCH("CANOPY TYPE",D167)))</formula>
    </cfRule>
  </conditionalFormatting>
  <conditionalFormatting sqref="D168">
    <cfRule type="expression" dxfId="2180" priority="46">
      <formula>(C168="LIGHT SELECTION")</formula>
    </cfRule>
  </conditionalFormatting>
  <conditionalFormatting sqref="D171">
    <cfRule type="expression" dxfId="2179" priority="56">
      <formula>($C171="SELECT WORKS")</formula>
    </cfRule>
  </conditionalFormatting>
  <conditionalFormatting sqref="D172">
    <cfRule type="expression" dxfId="2178" priority="45">
      <formula>$C172="SELECT CLADDING"</formula>
    </cfRule>
  </conditionalFormatting>
  <conditionalFormatting sqref="D175:D176">
    <cfRule type="expression" dxfId="2177" priority="30">
      <formula>($D$14="CANOPY TYPE")</formula>
    </cfRule>
  </conditionalFormatting>
  <conditionalFormatting sqref="D177">
    <cfRule type="expression" dxfId="2176" priority="75">
      <formula>ISNUMBER(SEARCH("UV",D167))</formula>
    </cfRule>
  </conditionalFormatting>
  <conditionalFormatting sqref="D178">
    <cfRule type="expression" dxfId="2175" priority="53">
      <formula>($D$14="CANOPY TYPE")</formula>
    </cfRule>
  </conditionalFormatting>
  <conditionalFormatting sqref="D179">
    <cfRule type="expression" dxfId="2174" priority="58">
      <formula>(ISNUMBER(SEARCH("CMW",D167)))=TRUE</formula>
    </cfRule>
  </conditionalFormatting>
  <conditionalFormatting sqref="E12">
    <cfRule type="expression" dxfId="2173" priority="685">
      <formula>AND((ISNUMBER(SEARCH("I-MUAP",$D$14))),E12&lt;2500)</formula>
    </cfRule>
    <cfRule type="expression" dxfId="2172" priority="686">
      <formula>ISNUMBER(SEARCH("I-MUAP",$D$14))</formula>
    </cfRule>
    <cfRule type="cellIs" dxfId="2171" priority="687" operator="greaterThan">
      <formula>2000</formula>
    </cfRule>
  </conditionalFormatting>
  <conditionalFormatting sqref="E15">
    <cfRule type="expression" dxfId="2170" priority="417">
      <formula>(C15="LIGHT SELECTION")</formula>
    </cfRule>
  </conditionalFormatting>
  <conditionalFormatting sqref="E17:E18">
    <cfRule type="expression" dxfId="2169" priority="628">
      <formula>$C17="SELECT WORKS"</formula>
    </cfRule>
  </conditionalFormatting>
  <conditionalFormatting sqref="E22:E23">
    <cfRule type="expression" dxfId="2168" priority="667">
      <formula>D22="WW PODS"</formula>
    </cfRule>
    <cfRule type="expression" dxfId="2167" priority="668">
      <formula>D22="FILTER TYPE"</formula>
    </cfRule>
    <cfRule type="expression" dxfId="2166" priority="669">
      <formula>D22="KSA"</formula>
    </cfRule>
    <cfRule type="expression" dxfId="2165" priority="690">
      <formula>(D14="CANOPY TYPE")</formula>
    </cfRule>
  </conditionalFormatting>
  <conditionalFormatting sqref="E24">
    <cfRule type="containsText" dxfId="2164" priority="677" operator="containsText" text="LONG ">
      <formula>NOT(ISERROR(SEARCH("LONG ",E24)))</formula>
    </cfRule>
  </conditionalFormatting>
  <conditionalFormatting sqref="E29">
    <cfRule type="expression" dxfId="2163" priority="605">
      <formula>AND((ISNUMBER(SEARCH("I-MUAP",$D$14))),E29&lt;2500)</formula>
    </cfRule>
    <cfRule type="expression" dxfId="2162" priority="606">
      <formula>ISNUMBER(SEARCH("I-MUAP",$D$14))</formula>
    </cfRule>
    <cfRule type="cellIs" dxfId="2161" priority="607" operator="greaterThan">
      <formula>2000</formula>
    </cfRule>
  </conditionalFormatting>
  <conditionalFormatting sqref="E34">
    <cfRule type="expression" dxfId="2160" priority="264">
      <formula>$C34="SELECT WORKS"</formula>
    </cfRule>
  </conditionalFormatting>
  <conditionalFormatting sqref="E39:E40">
    <cfRule type="expression" dxfId="2159" priority="389">
      <formula>D39="WW PODS"</formula>
    </cfRule>
    <cfRule type="expression" dxfId="2158" priority="390">
      <formula>D39="FILTER TYPE"</formula>
    </cfRule>
    <cfRule type="expression" dxfId="2157" priority="391">
      <formula>D39="KSA"</formula>
    </cfRule>
    <cfRule type="expression" dxfId="2156" priority="392">
      <formula>(D31="CANOPY TYPE")</formula>
    </cfRule>
  </conditionalFormatting>
  <conditionalFormatting sqref="E41">
    <cfRule type="containsText" dxfId="2155" priority="598" operator="containsText" text="LONG ">
      <formula>NOT(ISERROR(SEARCH("LONG ",E41)))</formula>
    </cfRule>
  </conditionalFormatting>
  <conditionalFormatting sqref="E46">
    <cfRule type="expression" dxfId="2154" priority="574">
      <formula>AND((ISNUMBER(SEARCH("I-MUAP",$D$14))),E46&lt;2500)</formula>
    </cfRule>
    <cfRule type="expression" dxfId="2153" priority="575">
      <formula>ISNUMBER(SEARCH("I-MUAP",$D$14))</formula>
    </cfRule>
    <cfRule type="cellIs" dxfId="2152" priority="576" operator="greaterThan">
      <formula>2000</formula>
    </cfRule>
  </conditionalFormatting>
  <conditionalFormatting sqref="E49">
    <cfRule type="expression" dxfId="2151" priority="431">
      <formula>(C49="LIGHT SELECTION")</formula>
    </cfRule>
  </conditionalFormatting>
  <conditionalFormatting sqref="E51:E52">
    <cfRule type="expression" dxfId="2150" priority="253">
      <formula>$C51="SELECT WORKS"</formula>
    </cfRule>
  </conditionalFormatting>
  <conditionalFormatting sqref="E56:E57">
    <cfRule type="expression" dxfId="2149" priority="374">
      <formula>D56="WW PODS"</formula>
    </cfRule>
    <cfRule type="expression" dxfId="2148" priority="375">
      <formula>D56="FILTER TYPE"</formula>
    </cfRule>
    <cfRule type="expression" dxfId="2147" priority="376">
      <formula>D56="KSA"</formula>
    </cfRule>
    <cfRule type="expression" dxfId="2146" priority="377">
      <formula>(D48="CANOPY TYPE")</formula>
    </cfRule>
  </conditionalFormatting>
  <conditionalFormatting sqref="E58">
    <cfRule type="containsText" dxfId="2145" priority="567" operator="containsText" text="LONG ">
      <formula>NOT(ISERROR(SEARCH("LONG ",E58)))</formula>
    </cfRule>
  </conditionalFormatting>
  <conditionalFormatting sqref="E63">
    <cfRule type="expression" dxfId="2144" priority="545">
      <formula>AND((ISNUMBER(SEARCH("I-MUAP",$D$14))),E63&lt;2500)</formula>
    </cfRule>
    <cfRule type="expression" dxfId="2143" priority="546">
      <formula>ISNUMBER(SEARCH("I-MUAP",$D$14))</formula>
    </cfRule>
    <cfRule type="cellIs" dxfId="2142" priority="547" operator="greaterThan">
      <formula>2000</formula>
    </cfRule>
  </conditionalFormatting>
  <conditionalFormatting sqref="E68:E69">
    <cfRule type="expression" dxfId="2141" priority="242">
      <formula>$C68="SELECT WORKS"</formula>
    </cfRule>
  </conditionalFormatting>
  <conditionalFormatting sqref="E73:E74">
    <cfRule type="expression" dxfId="2140" priority="359">
      <formula>D73="WW PODS"</formula>
    </cfRule>
    <cfRule type="expression" dxfId="2139" priority="360">
      <formula>D73="FILTER TYPE"</formula>
    </cfRule>
    <cfRule type="expression" dxfId="2138" priority="361">
      <formula>D73="KSA"</formula>
    </cfRule>
    <cfRule type="expression" dxfId="2137" priority="362">
      <formula>(D65="CANOPY TYPE")</formula>
    </cfRule>
  </conditionalFormatting>
  <conditionalFormatting sqref="E75">
    <cfRule type="containsText" dxfId="2136" priority="538" operator="containsText" text="LONG ">
      <formula>NOT(ISERROR(SEARCH("LONG ",E75)))</formula>
    </cfRule>
  </conditionalFormatting>
  <conditionalFormatting sqref="E80">
    <cfRule type="expression" dxfId="2135" priority="515">
      <formula>AND((ISNUMBER(SEARCH("I-MUAP",$D$14))),E80&lt;2500)</formula>
    </cfRule>
    <cfRule type="expression" dxfId="2134" priority="516">
      <formula>ISNUMBER(SEARCH("I-MUAP",$D$14))</formula>
    </cfRule>
    <cfRule type="cellIs" dxfId="2133" priority="517" operator="greaterThan">
      <formula>2000</formula>
    </cfRule>
  </conditionalFormatting>
  <conditionalFormatting sqref="E85:E86">
    <cfRule type="expression" dxfId="2132" priority="231">
      <formula>$C85="SELECT WORKS"</formula>
    </cfRule>
  </conditionalFormatting>
  <conditionalFormatting sqref="E90:E91">
    <cfRule type="expression" dxfId="2131" priority="344">
      <formula>D90="WW PODS"</formula>
    </cfRule>
    <cfRule type="expression" dxfId="2130" priority="345">
      <formula>D90="FILTER TYPE"</formula>
    </cfRule>
    <cfRule type="expression" dxfId="2129" priority="346">
      <formula>D90="KSA"</formula>
    </cfRule>
    <cfRule type="expression" dxfId="2128" priority="347">
      <formula>(D82="CANOPY TYPE")</formula>
    </cfRule>
  </conditionalFormatting>
  <conditionalFormatting sqref="E92">
    <cfRule type="containsText" dxfId="2127" priority="508" operator="containsText" text="LONG ">
      <formula>NOT(ISERROR(SEARCH("LONG ",E92)))</formula>
    </cfRule>
  </conditionalFormatting>
  <conditionalFormatting sqref="E97">
    <cfRule type="expression" dxfId="2126" priority="484">
      <formula>AND((ISNUMBER(SEARCH("I-MUAP",$D$14))),E97&lt;2500)</formula>
    </cfRule>
    <cfRule type="expression" dxfId="2125" priority="485">
      <formula>ISNUMBER(SEARCH("I-MUAP",$D$14))</formula>
    </cfRule>
    <cfRule type="cellIs" dxfId="2124" priority="486" operator="greaterThan">
      <formula>2000</formula>
    </cfRule>
  </conditionalFormatting>
  <conditionalFormatting sqref="E102:E103">
    <cfRule type="expression" dxfId="2123" priority="220">
      <formula>$C102="SELECT WORKS"</formula>
    </cfRule>
  </conditionalFormatting>
  <conditionalFormatting sqref="E107:E108">
    <cfRule type="expression" dxfId="2122" priority="329">
      <formula>D107="WW PODS"</formula>
    </cfRule>
    <cfRule type="expression" dxfId="2121" priority="330">
      <formula>D107="FILTER TYPE"</formula>
    </cfRule>
    <cfRule type="expression" dxfId="2120" priority="331">
      <formula>D107="KSA"</formula>
    </cfRule>
    <cfRule type="expression" dxfId="2119" priority="332">
      <formula>(D99="CANOPY TYPE")</formula>
    </cfRule>
  </conditionalFormatting>
  <conditionalFormatting sqref="E109">
    <cfRule type="containsText" dxfId="2118" priority="477" operator="containsText" text="LONG ">
      <formula>NOT(ISERROR(SEARCH("LONG ",E109)))</formula>
    </cfRule>
  </conditionalFormatting>
  <conditionalFormatting sqref="E114">
    <cfRule type="expression" dxfId="2117" priority="316">
      <formula>AND((ISNUMBER(SEARCH("I-MUAP",$D$14))),E114&lt;2500)</formula>
    </cfRule>
    <cfRule type="expression" dxfId="2116" priority="317">
      <formula>ISNUMBER(SEARCH("I-MUAP",$D$14))</formula>
    </cfRule>
    <cfRule type="cellIs" dxfId="2115" priority="318" operator="greaterThan">
      <formula>2000</formula>
    </cfRule>
  </conditionalFormatting>
  <conditionalFormatting sqref="E119:E120">
    <cfRule type="expression" dxfId="2114" priority="209">
      <formula>$C119="SELECT WORKS"</formula>
    </cfRule>
  </conditionalFormatting>
  <conditionalFormatting sqref="E124:E125">
    <cfRule type="expression" dxfId="2113" priority="276">
      <formula>D124="WW PODS"</formula>
    </cfRule>
    <cfRule type="expression" dxfId="2112" priority="277">
      <formula>D124="FILTER TYPE"</formula>
    </cfRule>
    <cfRule type="expression" dxfId="2111" priority="278">
      <formula>D124="KSA"</formula>
    </cfRule>
    <cfRule type="expression" dxfId="2110" priority="279">
      <formula>(D116="CANOPY TYPE")</formula>
    </cfRule>
  </conditionalFormatting>
  <conditionalFormatting sqref="E126">
    <cfRule type="containsText" dxfId="2109" priority="309" operator="containsText" text="LONG ">
      <formula>NOT(ISERROR(SEARCH("LONG ",E126)))</formula>
    </cfRule>
  </conditionalFormatting>
  <conditionalFormatting sqref="E131">
    <cfRule type="expression" dxfId="2108" priority="179">
      <formula>AND((ISNUMBER(SEARCH("I-MUAP",$D$14))),E131&lt;2500)</formula>
    </cfRule>
    <cfRule type="expression" dxfId="2107" priority="180">
      <formula>ISNUMBER(SEARCH("I-MUAP",$D$14))</formula>
    </cfRule>
    <cfRule type="cellIs" dxfId="2106" priority="181" operator="greaterThan">
      <formula>2000</formula>
    </cfRule>
  </conditionalFormatting>
  <conditionalFormatting sqref="E136:E137">
    <cfRule type="expression" dxfId="2105" priority="22">
      <formula>$C136="SELECT WORKS"</formula>
    </cfRule>
  </conditionalFormatting>
  <conditionalFormatting sqref="E141:E142">
    <cfRule type="expression" dxfId="2104" priority="100">
      <formula>D141="WW PODS"</formula>
    </cfRule>
    <cfRule type="expression" dxfId="2103" priority="101">
      <formula>D141="FILTER TYPE"</formula>
    </cfRule>
    <cfRule type="expression" dxfId="2102" priority="102">
      <formula>D141="KSA"</formula>
    </cfRule>
    <cfRule type="expression" dxfId="2101" priority="103">
      <formula>(D133="CANOPY TYPE")</formula>
    </cfRule>
  </conditionalFormatting>
  <conditionalFormatting sqref="E143">
    <cfRule type="containsText" dxfId="2100" priority="172" operator="containsText" text="LONG ">
      <formula>NOT(ISERROR(SEARCH("LONG ",E143)))</formula>
    </cfRule>
  </conditionalFormatting>
  <conditionalFormatting sqref="E148">
    <cfRule type="expression" dxfId="2099" priority="148">
      <formula>AND((ISNUMBER(SEARCH("I-MUAP",$D$14))),E148&lt;2500)</formula>
    </cfRule>
    <cfRule type="expression" dxfId="2098" priority="149">
      <formula>ISNUMBER(SEARCH("I-MUAP",$D$14))</formula>
    </cfRule>
    <cfRule type="cellIs" dxfId="2097" priority="150" operator="greaterThan">
      <formula>2000</formula>
    </cfRule>
  </conditionalFormatting>
  <conditionalFormatting sqref="E153:E154">
    <cfRule type="expression" dxfId="2096" priority="11">
      <formula>$C153="SELECT WORKS"</formula>
    </cfRule>
  </conditionalFormatting>
  <conditionalFormatting sqref="E158:E159">
    <cfRule type="expression" dxfId="2095" priority="85">
      <formula>D158="WW PODS"</formula>
    </cfRule>
    <cfRule type="expression" dxfId="2094" priority="86">
      <formula>D158="FILTER TYPE"</formula>
    </cfRule>
    <cfRule type="expression" dxfId="2093" priority="87">
      <formula>D158="KSA"</formula>
    </cfRule>
    <cfRule type="expression" dxfId="2092" priority="88">
      <formula>(D150="CANOPY TYPE")</formula>
    </cfRule>
  </conditionalFormatting>
  <conditionalFormatting sqref="E160">
    <cfRule type="containsText" dxfId="2091" priority="141" operator="containsText" text="LONG ">
      <formula>NOT(ISERROR(SEARCH("LONG ",E160)))</formula>
    </cfRule>
  </conditionalFormatting>
  <conditionalFormatting sqref="E165">
    <cfRule type="expression" dxfId="2090" priority="72">
      <formula>AND((ISNUMBER(SEARCH("I-MUAP",$D$14))),E165&lt;2500)</formula>
    </cfRule>
    <cfRule type="expression" dxfId="2089" priority="73">
      <formula>ISNUMBER(SEARCH("I-MUAP",$D$14))</formula>
    </cfRule>
    <cfRule type="cellIs" dxfId="2088" priority="74" operator="greaterThan">
      <formula>2000</formula>
    </cfRule>
  </conditionalFormatting>
  <conditionalFormatting sqref="E170:E171">
    <cfRule type="expression" dxfId="2087" priority="6">
      <formula>$C170="SELECT WORKS"</formula>
    </cfRule>
  </conditionalFormatting>
  <conditionalFormatting sqref="E175:E176">
    <cfRule type="expression" dxfId="2086" priority="32">
      <formula>D175="WW PODS"</formula>
    </cfRule>
    <cfRule type="expression" dxfId="2085" priority="33">
      <formula>D175="FILTER TYPE"</formula>
    </cfRule>
    <cfRule type="expression" dxfId="2084" priority="34">
      <formula>D175="KSA"</formula>
    </cfRule>
    <cfRule type="expression" dxfId="2083" priority="35">
      <formula>(D167="CANOPY TYPE")</formula>
    </cfRule>
  </conditionalFormatting>
  <conditionalFormatting sqref="E177">
    <cfRule type="containsText" dxfId="2082" priority="65" operator="containsText" text="LONG ">
      <formula>NOT(ISERROR(SEARCH("LONG ",E177)))</formula>
    </cfRule>
  </conditionalFormatting>
  <conditionalFormatting sqref="E12:F12">
    <cfRule type="cellIs" dxfId="2081" priority="681" operator="lessThan">
      <formula>1000</formula>
    </cfRule>
  </conditionalFormatting>
  <conditionalFormatting sqref="E14:F14">
    <cfRule type="cellIs" dxfId="2080" priority="678" operator="lessThan">
      <formula>1000</formula>
    </cfRule>
  </conditionalFormatting>
  <conditionalFormatting sqref="E25:F27">
    <cfRule type="expression" dxfId="2079" priority="615">
      <formula>($D$14="CANOPY TYPE")</formula>
    </cfRule>
  </conditionalFormatting>
  <conditionalFormatting sqref="E29:F29">
    <cfRule type="cellIs" dxfId="2078" priority="602" operator="lessThan">
      <formula>1000</formula>
    </cfRule>
  </conditionalFormatting>
  <conditionalFormatting sqref="E31:F31">
    <cfRule type="cellIs" dxfId="2077" priority="599" operator="lessThan">
      <formula>1000</formula>
    </cfRule>
  </conditionalFormatting>
  <conditionalFormatting sqref="E32:F32">
    <cfRule type="expression" dxfId="2076" priority="455">
      <formula>(C32="LIGHT SELECTION")</formula>
    </cfRule>
  </conditionalFormatting>
  <conditionalFormatting sqref="E42:F44">
    <cfRule type="expression" dxfId="2075" priority="584">
      <formula>($D$14="CANOPY TYPE")</formula>
    </cfRule>
  </conditionalFormatting>
  <conditionalFormatting sqref="E46:F46">
    <cfRule type="cellIs" dxfId="2074" priority="571" operator="lessThan">
      <formula>1000</formula>
    </cfRule>
  </conditionalFormatting>
  <conditionalFormatting sqref="E48:F48">
    <cfRule type="cellIs" dxfId="2073" priority="568" operator="lessThan">
      <formula>1000</formula>
    </cfRule>
  </conditionalFormatting>
  <conditionalFormatting sqref="E59:F61">
    <cfRule type="expression" dxfId="2072" priority="555">
      <formula>($D$14="CANOPY TYPE")</formula>
    </cfRule>
  </conditionalFormatting>
  <conditionalFormatting sqref="E63:F63">
    <cfRule type="cellIs" dxfId="2071" priority="542" operator="lessThan">
      <formula>1000</formula>
    </cfRule>
  </conditionalFormatting>
  <conditionalFormatting sqref="E65:F65">
    <cfRule type="cellIs" dxfId="2070" priority="539" operator="lessThan">
      <formula>1000</formula>
    </cfRule>
  </conditionalFormatting>
  <conditionalFormatting sqref="E66:F66">
    <cfRule type="expression" dxfId="2069" priority="448">
      <formula>(C66="LIGHT SELECTION")</formula>
    </cfRule>
  </conditionalFormatting>
  <conditionalFormatting sqref="E76:F78">
    <cfRule type="expression" dxfId="2068" priority="525">
      <formula>($D$14="CANOPY TYPE")</formula>
    </cfRule>
  </conditionalFormatting>
  <conditionalFormatting sqref="E80:F80">
    <cfRule type="cellIs" dxfId="2067" priority="512" operator="lessThan">
      <formula>1000</formula>
    </cfRule>
  </conditionalFormatting>
  <conditionalFormatting sqref="E82:F82">
    <cfRule type="cellIs" dxfId="2066" priority="509" operator="lessThan">
      <formula>1000</formula>
    </cfRule>
  </conditionalFormatting>
  <conditionalFormatting sqref="E83:F83">
    <cfRule type="expression" dxfId="2065" priority="444">
      <formula>(C83="LIGHT SELECTION")</formula>
    </cfRule>
  </conditionalFormatting>
  <conditionalFormatting sqref="E93:F95">
    <cfRule type="expression" dxfId="2064" priority="494">
      <formula>($D$14="CANOPY TYPE")</formula>
    </cfRule>
  </conditionalFormatting>
  <conditionalFormatting sqref="E97:F97">
    <cfRule type="cellIs" dxfId="2063" priority="481" operator="lessThan">
      <formula>1000</formula>
    </cfRule>
  </conditionalFormatting>
  <conditionalFormatting sqref="E99:F99">
    <cfRule type="cellIs" dxfId="2062" priority="478" operator="lessThan">
      <formula>1000</formula>
    </cfRule>
  </conditionalFormatting>
  <conditionalFormatting sqref="E100:F100">
    <cfRule type="expression" dxfId="2061" priority="440">
      <formula>(C100="LIGHT SELECTION")</formula>
    </cfRule>
  </conditionalFormatting>
  <conditionalFormatting sqref="E110:F112 E127:F129 E161:F163 E178:F180">
    <cfRule type="expression" dxfId="2060" priority="464">
      <formula>($D$14="CANOPY TYPE")</formula>
    </cfRule>
  </conditionalFormatting>
  <conditionalFormatting sqref="E114:F114">
    <cfRule type="cellIs" dxfId="2059" priority="313" operator="lessThan">
      <formula>1000</formula>
    </cfRule>
  </conditionalFormatting>
  <conditionalFormatting sqref="E116:F116">
    <cfRule type="cellIs" dxfId="2058" priority="310" operator="lessThan">
      <formula>1000</formula>
    </cfRule>
  </conditionalFormatting>
  <conditionalFormatting sqref="E117:F117">
    <cfRule type="expression" dxfId="2057" priority="294">
      <formula>(C117="LIGHT SELECTION")</formula>
    </cfRule>
  </conditionalFormatting>
  <conditionalFormatting sqref="E131:F131">
    <cfRule type="cellIs" dxfId="2056" priority="176" operator="lessThan">
      <formula>1000</formula>
    </cfRule>
  </conditionalFormatting>
  <conditionalFormatting sqref="E133:F133">
    <cfRule type="cellIs" dxfId="2055" priority="173" operator="lessThan">
      <formula>1000</formula>
    </cfRule>
  </conditionalFormatting>
  <conditionalFormatting sqref="E134:F134">
    <cfRule type="expression" dxfId="2054" priority="125">
      <formula>(C134="LIGHT SELECTION")</formula>
    </cfRule>
  </conditionalFormatting>
  <conditionalFormatting sqref="E144:F146">
    <cfRule type="expression" dxfId="2053" priority="158">
      <formula>($D$14="CANOPY TYPE")</formula>
    </cfRule>
  </conditionalFormatting>
  <conditionalFormatting sqref="E148:F148">
    <cfRule type="cellIs" dxfId="2052" priority="145" operator="lessThan">
      <formula>1000</formula>
    </cfRule>
  </conditionalFormatting>
  <conditionalFormatting sqref="E150:F150">
    <cfRule type="cellIs" dxfId="2051" priority="142" operator="lessThan">
      <formula>1000</formula>
    </cfRule>
  </conditionalFormatting>
  <conditionalFormatting sqref="E151:F151">
    <cfRule type="expression" dxfId="2050" priority="121">
      <formula>(C151="LIGHT SELECTION")</formula>
    </cfRule>
  </conditionalFormatting>
  <conditionalFormatting sqref="E165:F165">
    <cfRule type="cellIs" dxfId="2049" priority="69" operator="lessThan">
      <formula>1000</formula>
    </cfRule>
  </conditionalFormatting>
  <conditionalFormatting sqref="E167:F167">
    <cfRule type="cellIs" dxfId="2048" priority="66" operator="lessThan">
      <formula>1000</formula>
    </cfRule>
  </conditionalFormatting>
  <conditionalFormatting sqref="E168:F168">
    <cfRule type="expression" dxfId="2047" priority="50">
      <formula>(C168="LIGHT SELECTION")</formula>
    </cfRule>
  </conditionalFormatting>
  <conditionalFormatting sqref="F12">
    <cfRule type="cellIs" dxfId="2046" priority="682" operator="greaterThan">
      <formula>3001</formula>
    </cfRule>
  </conditionalFormatting>
  <conditionalFormatting sqref="F15">
    <cfRule type="expression" dxfId="2045" priority="457">
      <formula>(C15="LED STRIP")</formula>
    </cfRule>
    <cfRule type="expression" dxfId="2044" priority="670">
      <formula>(C15="LIGHT SELECTION")</formula>
    </cfRule>
    <cfRule type="expression" dxfId="2043" priority="672">
      <formula>(C15="FLO")</formula>
    </cfRule>
    <cfRule type="expression" dxfId="2042" priority="704">
      <formula>(D49="LIGHT SELECTION")</formula>
    </cfRule>
  </conditionalFormatting>
  <conditionalFormatting sqref="F22:F23">
    <cfRule type="expression" dxfId="2041" priority="695">
      <formula>D22="NF"</formula>
    </cfRule>
    <cfRule type="expression" dxfId="2040" priority="696">
      <formula>D22="WW PODS"</formula>
    </cfRule>
    <cfRule type="expression" dxfId="2039" priority="697">
      <formula>D22="GRILLE"</formula>
    </cfRule>
    <cfRule type="expression" dxfId="2038" priority="698">
      <formula>D22="CENTREX"</formula>
    </cfRule>
    <cfRule type="expression" dxfId="2037" priority="699" stopIfTrue="1">
      <formula>D14="canopy type"</formula>
    </cfRule>
    <cfRule type="expression" dxfId="2036" priority="700">
      <formula>(((I14*3600)/(C22*I11))^2+20)&gt;300</formula>
    </cfRule>
    <cfRule type="expression" dxfId="2035" priority="701" stopIfTrue="1">
      <formula>(ISNUMBER(SEARCH("UV",D14)))</formula>
    </cfRule>
    <cfRule type="expression" dxfId="2034" priority="702">
      <formula>(((I14*3600)/(C22*I11))^2+20)&gt;180</formula>
    </cfRule>
    <cfRule type="expression" dxfId="2033" priority="703">
      <formula>D22="KSA"</formula>
    </cfRule>
  </conditionalFormatting>
  <conditionalFormatting sqref="F24">
    <cfRule type="cellIs" dxfId="2032" priority="676" operator="lessThan">
      <formula>2100</formula>
    </cfRule>
  </conditionalFormatting>
  <conditionalFormatting sqref="F29">
    <cfRule type="cellIs" dxfId="2031" priority="603" operator="greaterThan">
      <formula>3001</formula>
    </cfRule>
  </conditionalFormatting>
  <conditionalFormatting sqref="F32">
    <cfRule type="expression" dxfId="2030" priority="453">
      <formula>(C32="LED STRIP")</formula>
    </cfRule>
    <cfRule type="expression" dxfId="2029" priority="454">
      <formula>(C32="LIGHT SELECTION")</formula>
    </cfRule>
    <cfRule type="expression" dxfId="2028" priority="456">
      <formula>(C32="FLO")</formula>
    </cfRule>
  </conditionalFormatting>
  <conditionalFormatting sqref="F39:F40">
    <cfRule type="expression" dxfId="2027" priority="393">
      <formula>D39="NF"</formula>
    </cfRule>
    <cfRule type="expression" dxfId="2026" priority="394">
      <formula>D39="WW PODS"</formula>
    </cfRule>
    <cfRule type="expression" dxfId="2025" priority="395">
      <formula>D39="GRILLE"</formula>
    </cfRule>
    <cfRule type="expression" dxfId="2024" priority="396">
      <formula>D39="CENTREX"</formula>
    </cfRule>
    <cfRule type="expression" dxfId="2023" priority="397" stopIfTrue="1">
      <formula>D31="canopy type"</formula>
    </cfRule>
    <cfRule type="expression" dxfId="2022" priority="398">
      <formula>(((I31*3600)/(C39*I28))^2+20)&gt;300</formula>
    </cfRule>
    <cfRule type="expression" dxfId="2021" priority="399" stopIfTrue="1">
      <formula>(ISNUMBER(SEARCH("UV",D31)))</formula>
    </cfRule>
    <cfRule type="expression" dxfId="2020" priority="400">
      <formula>(((I31*3600)/(C39*I28))^2+20)&gt;180</formula>
    </cfRule>
    <cfRule type="expression" dxfId="2019" priority="401">
      <formula>D39="KSA"</formula>
    </cfRule>
  </conditionalFormatting>
  <conditionalFormatting sqref="F41">
    <cfRule type="cellIs" dxfId="2018" priority="597" operator="lessThan">
      <formula>2100</formula>
    </cfRule>
  </conditionalFormatting>
  <conditionalFormatting sqref="F46">
    <cfRule type="cellIs" dxfId="2017" priority="572" operator="greaterThan">
      <formula>3001</formula>
    </cfRule>
  </conditionalFormatting>
  <conditionalFormatting sqref="F49">
    <cfRule type="expression" dxfId="2016" priority="450">
      <formula>(C49="LED STRIP")</formula>
    </cfRule>
    <cfRule type="expression" dxfId="2015" priority="451">
      <formula>(C49="LIGHT SELECTION")</formula>
    </cfRule>
    <cfRule type="expression" dxfId="2014" priority="452">
      <formula>(C49="FLO")</formula>
    </cfRule>
    <cfRule type="expression" dxfId="2013" priority="705">
      <formula>(#REF!="LIGHT SELECTION")</formula>
    </cfRule>
  </conditionalFormatting>
  <conditionalFormatting sqref="F56:F57">
    <cfRule type="expression" dxfId="2012" priority="378">
      <formula>D56="NF"</formula>
    </cfRule>
    <cfRule type="expression" dxfId="2011" priority="379">
      <formula>D56="WW PODS"</formula>
    </cfRule>
    <cfRule type="expression" dxfId="2010" priority="380">
      <formula>D56="GRILLE"</formula>
    </cfRule>
    <cfRule type="expression" dxfId="2009" priority="381">
      <formula>D56="CENTREX"</formula>
    </cfRule>
    <cfRule type="expression" dxfId="2008" priority="382" stopIfTrue="1">
      <formula>D48="canopy type"</formula>
    </cfRule>
    <cfRule type="expression" dxfId="2007" priority="383">
      <formula>(((I48*3600)/(C56*I45))^2+20)&gt;300</formula>
    </cfRule>
    <cfRule type="expression" dxfId="2006" priority="384" stopIfTrue="1">
      <formula>(ISNUMBER(SEARCH("UV",D48)))</formula>
    </cfRule>
    <cfRule type="expression" dxfId="2005" priority="385">
      <formula>(((I48*3600)/(C56*I45))^2+20)&gt;180</formula>
    </cfRule>
    <cfRule type="expression" dxfId="2004" priority="386">
      <formula>D56="KSA"</formula>
    </cfRule>
  </conditionalFormatting>
  <conditionalFormatting sqref="F58">
    <cfRule type="cellIs" dxfId="2003" priority="566" operator="lessThan">
      <formula>2100</formula>
    </cfRule>
  </conditionalFormatting>
  <conditionalFormatting sqref="F63">
    <cfRule type="cellIs" dxfId="2002" priority="543" operator="greaterThan">
      <formula>3001</formula>
    </cfRule>
  </conditionalFormatting>
  <conditionalFormatting sqref="F66">
    <cfRule type="expression" dxfId="2001" priority="446">
      <formula>(C66="LED STRIP")</formula>
    </cfRule>
    <cfRule type="expression" dxfId="2000" priority="447">
      <formula>(C66="LIGHT SELECTION")</formula>
    </cfRule>
    <cfRule type="expression" dxfId="1999" priority="449">
      <formula>(C66="FLO")</formula>
    </cfRule>
  </conditionalFormatting>
  <conditionalFormatting sqref="F73:F74">
    <cfRule type="expression" dxfId="1998" priority="363">
      <formula>D73="NF"</formula>
    </cfRule>
    <cfRule type="expression" dxfId="1997" priority="364">
      <formula>D73="WW PODS"</formula>
    </cfRule>
    <cfRule type="expression" dxfId="1996" priority="365">
      <formula>D73="GRILLE"</formula>
    </cfRule>
    <cfRule type="expression" dxfId="1995" priority="366">
      <formula>D73="CENTREX"</formula>
    </cfRule>
    <cfRule type="expression" dxfId="1994" priority="367" stopIfTrue="1">
      <formula>D65="canopy type"</formula>
    </cfRule>
    <cfRule type="expression" dxfId="1993" priority="368">
      <formula>(((I65*3600)/(C73*I62))^2+20)&gt;300</formula>
    </cfRule>
    <cfRule type="expression" dxfId="1992" priority="369" stopIfTrue="1">
      <formula>(ISNUMBER(SEARCH("UV",D65)))</formula>
    </cfRule>
    <cfRule type="expression" dxfId="1991" priority="370">
      <formula>(((I65*3600)/(C73*I62))^2+20)&gt;180</formula>
    </cfRule>
    <cfRule type="expression" dxfId="1990" priority="371">
      <formula>D73="KSA"</formula>
    </cfRule>
  </conditionalFormatting>
  <conditionalFormatting sqref="F75">
    <cfRule type="cellIs" dxfId="1989" priority="537" operator="lessThan">
      <formula>2100</formula>
    </cfRule>
  </conditionalFormatting>
  <conditionalFormatting sqref="F80">
    <cfRule type="cellIs" dxfId="1988" priority="513" operator="greaterThan">
      <formula>3001</formula>
    </cfRule>
  </conditionalFormatting>
  <conditionalFormatting sqref="F83">
    <cfRule type="expression" dxfId="1987" priority="442">
      <formula>(C83="LED STRIP")</formula>
    </cfRule>
    <cfRule type="expression" dxfId="1986" priority="443">
      <formula>(C83="LIGHT SELECTION")</formula>
    </cfRule>
    <cfRule type="expression" dxfId="1985" priority="445">
      <formula>(C83="FLO")</formula>
    </cfRule>
  </conditionalFormatting>
  <conditionalFormatting sqref="F90:F91">
    <cfRule type="expression" dxfId="1984" priority="348">
      <formula>D90="NF"</formula>
    </cfRule>
    <cfRule type="expression" dxfId="1983" priority="349">
      <formula>D90="WW PODS"</formula>
    </cfRule>
    <cfRule type="expression" dxfId="1982" priority="350">
      <formula>D90="GRILLE"</formula>
    </cfRule>
    <cfRule type="expression" dxfId="1981" priority="351">
      <formula>D90="CENTREX"</formula>
    </cfRule>
    <cfRule type="expression" dxfId="1980" priority="352" stopIfTrue="1">
      <formula>D82="canopy type"</formula>
    </cfRule>
    <cfRule type="expression" dxfId="1979" priority="353">
      <formula>(((I82*3600)/(C90*I79))^2+20)&gt;300</formula>
    </cfRule>
    <cfRule type="expression" dxfId="1978" priority="354" stopIfTrue="1">
      <formula>(ISNUMBER(SEARCH("UV",D82)))</formula>
    </cfRule>
    <cfRule type="expression" dxfId="1977" priority="355">
      <formula>(((I82*3600)/(C90*I79))^2+20)&gt;180</formula>
    </cfRule>
    <cfRule type="expression" dxfId="1976" priority="356">
      <formula>D90="KSA"</formula>
    </cfRule>
  </conditionalFormatting>
  <conditionalFormatting sqref="F92">
    <cfRule type="cellIs" dxfId="1975" priority="507" operator="lessThan">
      <formula>2100</formula>
    </cfRule>
  </conditionalFormatting>
  <conditionalFormatting sqref="F97">
    <cfRule type="cellIs" dxfId="1974" priority="482" operator="greaterThan">
      <formula>3001</formula>
    </cfRule>
  </conditionalFormatting>
  <conditionalFormatting sqref="F100">
    <cfRule type="expression" dxfId="1973" priority="438">
      <formula>(C100="LED STRIP")</formula>
    </cfRule>
    <cfRule type="expression" dxfId="1972" priority="439">
      <formula>(C100="LIGHT SELECTION")</formula>
    </cfRule>
    <cfRule type="expression" dxfId="1971" priority="441">
      <formula>(C100="FLO")</formula>
    </cfRule>
  </conditionalFormatting>
  <conditionalFormatting sqref="F107:F108">
    <cfRule type="expression" dxfId="1970" priority="333">
      <formula>D107="NF"</formula>
    </cfRule>
    <cfRule type="expression" dxfId="1969" priority="334">
      <formula>D107="WW PODS"</formula>
    </cfRule>
    <cfRule type="expression" dxfId="1968" priority="335">
      <formula>D107="GRILLE"</formula>
    </cfRule>
    <cfRule type="expression" dxfId="1967" priority="336">
      <formula>D107="CENTREX"</formula>
    </cfRule>
    <cfRule type="expression" dxfId="1966" priority="337" stopIfTrue="1">
      <formula>D99="canopy type"</formula>
    </cfRule>
    <cfRule type="expression" dxfId="1965" priority="338">
      <formula>(((I99*3600)/(C107*I96))^2+20)&gt;300</formula>
    </cfRule>
    <cfRule type="expression" dxfId="1964" priority="339" stopIfTrue="1">
      <formula>(ISNUMBER(SEARCH("UV",D99)))</formula>
    </cfRule>
    <cfRule type="expression" dxfId="1963" priority="340">
      <formula>(((I99*3600)/(C107*I96))^2+20)&gt;180</formula>
    </cfRule>
    <cfRule type="expression" dxfId="1962" priority="341">
      <formula>D107="KSA"</formula>
    </cfRule>
  </conditionalFormatting>
  <conditionalFormatting sqref="F109">
    <cfRule type="cellIs" dxfId="1961" priority="476" operator="lessThan">
      <formula>2100</formula>
    </cfRule>
  </conditionalFormatting>
  <conditionalFormatting sqref="F114">
    <cfRule type="cellIs" dxfId="1960" priority="314" operator="greaterThan">
      <formula>3001</formula>
    </cfRule>
  </conditionalFormatting>
  <conditionalFormatting sqref="F117">
    <cfRule type="expression" dxfId="1959" priority="292">
      <formula>(C117="LED STRIP")</formula>
    </cfRule>
    <cfRule type="expression" dxfId="1958" priority="293">
      <formula>(C117="LIGHT SELECTION")</formula>
    </cfRule>
    <cfRule type="expression" dxfId="1957" priority="295">
      <formula>(C117="FLO")</formula>
    </cfRule>
  </conditionalFormatting>
  <conditionalFormatting sqref="F124:F125">
    <cfRule type="expression" dxfId="1956" priority="280">
      <formula>D124="NF"</formula>
    </cfRule>
    <cfRule type="expression" dxfId="1955" priority="281">
      <formula>D124="WW PODS"</formula>
    </cfRule>
    <cfRule type="expression" dxfId="1954" priority="282">
      <formula>D124="GRILLE"</formula>
    </cfRule>
    <cfRule type="expression" dxfId="1953" priority="283">
      <formula>D124="CENTREX"</formula>
    </cfRule>
    <cfRule type="expression" dxfId="1952" priority="284" stopIfTrue="1">
      <formula>D116="canopy type"</formula>
    </cfRule>
    <cfRule type="expression" dxfId="1951" priority="285">
      <formula>(((I116*3600)/(C124*I113))^2+20)&gt;300</formula>
    </cfRule>
    <cfRule type="expression" dxfId="1950" priority="286" stopIfTrue="1">
      <formula>(ISNUMBER(SEARCH("UV",D116)))</formula>
    </cfRule>
    <cfRule type="expression" dxfId="1949" priority="287">
      <formula>(((I116*3600)/(C124*I113))^2+20)&gt;180</formula>
    </cfRule>
    <cfRule type="expression" dxfId="1948" priority="288">
      <formula>D124="KSA"</formula>
    </cfRule>
  </conditionalFormatting>
  <conditionalFormatting sqref="F126">
    <cfRule type="cellIs" dxfId="1947" priority="308" operator="lessThan">
      <formula>2100</formula>
    </cfRule>
  </conditionalFormatting>
  <conditionalFormatting sqref="F131">
    <cfRule type="cellIs" dxfId="1946" priority="177" operator="greaterThan">
      <formula>3001</formula>
    </cfRule>
  </conditionalFormatting>
  <conditionalFormatting sqref="F134">
    <cfRule type="expression" dxfId="1945" priority="123">
      <formula>(C134="LED STRIP")</formula>
    </cfRule>
    <cfRule type="expression" dxfId="1944" priority="124">
      <formula>(C134="LIGHT SELECTION")</formula>
    </cfRule>
    <cfRule type="expression" dxfId="1943" priority="126">
      <formula>(C134="FLO")</formula>
    </cfRule>
  </conditionalFormatting>
  <conditionalFormatting sqref="F141:F142">
    <cfRule type="expression" dxfId="1942" priority="104">
      <formula>D141="NF"</formula>
    </cfRule>
    <cfRule type="expression" dxfId="1941" priority="105">
      <formula>D141="WW PODS"</formula>
    </cfRule>
    <cfRule type="expression" dxfId="1940" priority="106">
      <formula>D141="GRILLE"</formula>
    </cfRule>
    <cfRule type="expression" dxfId="1939" priority="107">
      <formula>D141="CENTREX"</formula>
    </cfRule>
    <cfRule type="expression" dxfId="1938" priority="108" stopIfTrue="1">
      <formula>D133="canopy type"</formula>
    </cfRule>
    <cfRule type="expression" dxfId="1937" priority="109">
      <formula>(((I133*3600)/(C141*I130))^2+20)&gt;300</formula>
    </cfRule>
    <cfRule type="expression" dxfId="1936" priority="110" stopIfTrue="1">
      <formula>(ISNUMBER(SEARCH("UV",D133)))</formula>
    </cfRule>
    <cfRule type="expression" dxfId="1935" priority="111">
      <formula>(((I133*3600)/(C141*I130))^2+20)&gt;180</formula>
    </cfRule>
    <cfRule type="expression" dxfId="1934" priority="112">
      <formula>D141="KSA"</formula>
    </cfRule>
  </conditionalFormatting>
  <conditionalFormatting sqref="F143">
    <cfRule type="cellIs" dxfId="1933" priority="171" operator="lessThan">
      <formula>2100</formula>
    </cfRule>
  </conditionalFormatting>
  <conditionalFormatting sqref="F148">
    <cfRule type="cellIs" dxfId="1932" priority="146" operator="greaterThan">
      <formula>3001</formula>
    </cfRule>
  </conditionalFormatting>
  <conditionalFormatting sqref="F151">
    <cfRule type="expression" dxfId="1931" priority="119">
      <formula>(C151="LED STRIP")</formula>
    </cfRule>
    <cfRule type="expression" dxfId="1930" priority="120">
      <formula>(C151="LIGHT SELECTION")</formula>
    </cfRule>
    <cfRule type="expression" dxfId="1929" priority="122">
      <formula>(C151="FLO")</formula>
    </cfRule>
  </conditionalFormatting>
  <conditionalFormatting sqref="F158:F159">
    <cfRule type="expression" dxfId="1928" priority="89">
      <formula>D158="NF"</formula>
    </cfRule>
    <cfRule type="expression" dxfId="1927" priority="90">
      <formula>D158="WW PODS"</formula>
    </cfRule>
    <cfRule type="expression" dxfId="1926" priority="91">
      <formula>D158="GRILLE"</formula>
    </cfRule>
    <cfRule type="expression" dxfId="1925" priority="92">
      <formula>D158="CENTREX"</formula>
    </cfRule>
    <cfRule type="expression" dxfId="1924" priority="93" stopIfTrue="1">
      <formula>D150="canopy type"</formula>
    </cfRule>
    <cfRule type="expression" dxfId="1923" priority="94">
      <formula>(((I150*3600)/(C158*I147))^2+20)&gt;300</formula>
    </cfRule>
    <cfRule type="expression" dxfId="1922" priority="95" stopIfTrue="1">
      <formula>(ISNUMBER(SEARCH("UV",D150)))</formula>
    </cfRule>
    <cfRule type="expression" dxfId="1921" priority="96">
      <formula>(((I150*3600)/(C158*I147))^2+20)&gt;180</formula>
    </cfRule>
    <cfRule type="expression" dxfId="1920" priority="97">
      <formula>D158="KSA"</formula>
    </cfRule>
  </conditionalFormatting>
  <conditionalFormatting sqref="F160">
    <cfRule type="cellIs" dxfId="1919" priority="140" operator="lessThan">
      <formula>2100</formula>
    </cfRule>
  </conditionalFormatting>
  <conditionalFormatting sqref="F165">
    <cfRule type="cellIs" dxfId="1918" priority="70" operator="greaterThan">
      <formula>3001</formula>
    </cfRule>
  </conditionalFormatting>
  <conditionalFormatting sqref="F168">
    <cfRule type="expression" dxfId="1917" priority="48">
      <formula>(C168="LED STRIP")</formula>
    </cfRule>
    <cfRule type="expression" dxfId="1916" priority="49">
      <formula>(C168="LIGHT SELECTION")</formula>
    </cfRule>
    <cfRule type="expression" dxfId="1915" priority="51">
      <formula>(C168="FLO")</formula>
    </cfRule>
  </conditionalFormatting>
  <conditionalFormatting sqref="F175:F176">
    <cfRule type="expression" dxfId="1914" priority="36">
      <formula>D175="NF"</formula>
    </cfRule>
    <cfRule type="expression" dxfId="1913" priority="37">
      <formula>D175="WW PODS"</formula>
    </cfRule>
    <cfRule type="expression" dxfId="1912" priority="38">
      <formula>D175="GRILLE"</formula>
    </cfRule>
    <cfRule type="expression" dxfId="1911" priority="39">
      <formula>D175="CENTREX"</formula>
    </cfRule>
    <cfRule type="expression" dxfId="1910" priority="40" stopIfTrue="1">
      <formula>D167="canopy type"</formula>
    </cfRule>
    <cfRule type="expression" dxfId="1909" priority="41">
      <formula>(((I167*3600)/(C175*I164))^2+20)&gt;300</formula>
    </cfRule>
    <cfRule type="expression" dxfId="1908" priority="42" stopIfTrue="1">
      <formula>(ISNUMBER(SEARCH("UV",D167)))</formula>
    </cfRule>
    <cfRule type="expression" dxfId="1907" priority="43">
      <formula>(((I167*3600)/(C175*I164))^2+20)&gt;180</formula>
    </cfRule>
    <cfRule type="expression" dxfId="1906" priority="44">
      <formula>D175="KSA"</formula>
    </cfRule>
  </conditionalFormatting>
  <conditionalFormatting sqref="F177">
    <cfRule type="cellIs" dxfId="1905" priority="64" operator="lessThan">
      <formula>2100</formula>
    </cfRule>
  </conditionalFormatting>
  <conditionalFormatting sqref="G11">
    <cfRule type="expression" dxfId="1904" priority="684">
      <formula>((F14-50)/H14)&lt;950</formula>
    </cfRule>
  </conditionalFormatting>
  <conditionalFormatting sqref="G12">
    <cfRule type="expression" dxfId="1903" priority="683">
      <formula>((F14-50)/H14)&lt;950</formula>
    </cfRule>
  </conditionalFormatting>
  <conditionalFormatting sqref="G14">
    <cfRule type="cellIs" dxfId="1902" priority="679" operator="lessThan">
      <formula>400</formula>
    </cfRule>
  </conditionalFormatting>
  <conditionalFormatting sqref="G28">
    <cfRule type="expression" dxfId="1901" priority="626">
      <formula>((F31-50)/H31)&lt;950</formula>
    </cfRule>
  </conditionalFormatting>
  <conditionalFormatting sqref="G29">
    <cfRule type="expression" dxfId="1900" priority="604">
      <formula>((F31-50)/H31)&lt;950</formula>
    </cfRule>
  </conditionalFormatting>
  <conditionalFormatting sqref="G31">
    <cfRule type="cellIs" dxfId="1899" priority="600" operator="lessThan">
      <formula>400</formula>
    </cfRule>
  </conditionalFormatting>
  <conditionalFormatting sqref="G45">
    <cfRule type="expression" dxfId="1898" priority="643">
      <formula>((F48-50)/H48)&lt;950</formula>
    </cfRule>
  </conditionalFormatting>
  <conditionalFormatting sqref="G46">
    <cfRule type="expression" dxfId="1897" priority="573">
      <formula>((F48-50)/H48)&lt;950</formula>
    </cfRule>
  </conditionalFormatting>
  <conditionalFormatting sqref="G48">
    <cfRule type="cellIs" dxfId="1896" priority="569" operator="lessThan">
      <formula>400</formula>
    </cfRule>
  </conditionalFormatting>
  <conditionalFormatting sqref="G62">
    <cfRule type="expression" dxfId="1895" priority="644">
      <formula>((F65-50)/H65)&lt;950</formula>
    </cfRule>
  </conditionalFormatting>
  <conditionalFormatting sqref="G63">
    <cfRule type="expression" dxfId="1894" priority="544">
      <formula>((F65-50)/H65)&lt;950</formula>
    </cfRule>
  </conditionalFormatting>
  <conditionalFormatting sqref="G65">
    <cfRule type="cellIs" dxfId="1893" priority="540" operator="lessThan">
      <formula>400</formula>
    </cfRule>
  </conditionalFormatting>
  <conditionalFormatting sqref="G79">
    <cfRule type="expression" dxfId="1892" priority="645">
      <formula>((F82-50)/H82)&lt;950</formula>
    </cfRule>
  </conditionalFormatting>
  <conditionalFormatting sqref="G80">
    <cfRule type="expression" dxfId="1891" priority="514">
      <formula>((F82-50)/H82)&lt;950</formula>
    </cfRule>
  </conditionalFormatting>
  <conditionalFormatting sqref="G82">
    <cfRule type="cellIs" dxfId="1890" priority="510" operator="lessThan">
      <formula>400</formula>
    </cfRule>
  </conditionalFormatting>
  <conditionalFormatting sqref="G96">
    <cfRule type="expression" dxfId="1889" priority="653">
      <formula>((F99-50)/H99)&lt;950</formula>
    </cfRule>
  </conditionalFormatting>
  <conditionalFormatting sqref="G97">
    <cfRule type="expression" dxfId="1888" priority="483">
      <formula>((F99-50)/H99)&lt;950</formula>
    </cfRule>
  </conditionalFormatting>
  <conditionalFormatting sqref="G99">
    <cfRule type="cellIs" dxfId="1887" priority="479" operator="lessThan">
      <formula>400</formula>
    </cfRule>
  </conditionalFormatting>
  <conditionalFormatting sqref="G113">
    <cfRule type="expression" dxfId="1886" priority="326">
      <formula>((F116-50)/H116)&lt;950</formula>
    </cfRule>
  </conditionalFormatting>
  <conditionalFormatting sqref="G114">
    <cfRule type="expression" dxfId="1885" priority="315">
      <formula>((F116-50)/H116)&lt;950</formula>
    </cfRule>
  </conditionalFormatting>
  <conditionalFormatting sqref="G116">
    <cfRule type="cellIs" dxfId="1884" priority="311" operator="lessThan">
      <formula>400</formula>
    </cfRule>
  </conditionalFormatting>
  <conditionalFormatting sqref="G130">
    <cfRule type="expression" dxfId="1883" priority="190">
      <formula>((F133-50)/H133)&lt;950</formula>
    </cfRule>
  </conditionalFormatting>
  <conditionalFormatting sqref="G131">
    <cfRule type="expression" dxfId="1882" priority="178">
      <formula>((F133-50)/H133)&lt;950</formula>
    </cfRule>
  </conditionalFormatting>
  <conditionalFormatting sqref="G133">
    <cfRule type="cellIs" dxfId="1881" priority="174" operator="lessThan">
      <formula>400</formula>
    </cfRule>
  </conditionalFormatting>
  <conditionalFormatting sqref="G147">
    <cfRule type="expression" dxfId="1880" priority="191">
      <formula>((F150-50)/H150)&lt;950</formula>
    </cfRule>
  </conditionalFormatting>
  <conditionalFormatting sqref="G148">
    <cfRule type="expression" dxfId="1879" priority="147">
      <formula>((F150-50)/H150)&lt;950</formula>
    </cfRule>
  </conditionalFormatting>
  <conditionalFormatting sqref="G150">
    <cfRule type="cellIs" dxfId="1878" priority="143" operator="lessThan">
      <formula>400</formula>
    </cfRule>
  </conditionalFormatting>
  <conditionalFormatting sqref="G164">
    <cfRule type="expression" dxfId="1877" priority="82">
      <formula>((F167-50)/H167)&lt;950</formula>
    </cfRule>
  </conditionalFormatting>
  <conditionalFormatting sqref="G165">
    <cfRule type="expression" dxfId="1876" priority="71">
      <formula>((F167-50)/H167)&lt;950</formula>
    </cfRule>
  </conditionalFormatting>
  <conditionalFormatting sqref="G167">
    <cfRule type="cellIs" dxfId="1875" priority="67" operator="lessThan">
      <formula>400</formula>
    </cfRule>
  </conditionalFormatting>
  <conditionalFormatting sqref="I14">
    <cfRule type="cellIs" dxfId="1874" priority="680" operator="lessThan">
      <formula>0.1</formula>
    </cfRule>
  </conditionalFormatting>
  <conditionalFormatting sqref="I31">
    <cfRule type="cellIs" dxfId="1873" priority="601" operator="lessThan">
      <formula>0.1</formula>
    </cfRule>
  </conditionalFormatting>
  <conditionalFormatting sqref="I48">
    <cfRule type="cellIs" dxfId="1872" priority="570" operator="lessThan">
      <formula>0.1</formula>
    </cfRule>
  </conditionalFormatting>
  <conditionalFormatting sqref="I65">
    <cfRule type="cellIs" dxfId="1871" priority="541" operator="lessThan">
      <formula>0.1</formula>
    </cfRule>
  </conditionalFormatting>
  <conditionalFormatting sqref="I82">
    <cfRule type="cellIs" dxfId="1870" priority="511" operator="lessThan">
      <formula>0.1</formula>
    </cfRule>
  </conditionalFormatting>
  <conditionalFormatting sqref="I99">
    <cfRule type="cellIs" dxfId="1869" priority="480" operator="lessThan">
      <formula>0.1</formula>
    </cfRule>
  </conditionalFormatting>
  <conditionalFormatting sqref="I116">
    <cfRule type="cellIs" dxfId="1868" priority="312" operator="lessThan">
      <formula>0.1</formula>
    </cfRule>
  </conditionalFormatting>
  <conditionalFormatting sqref="I133">
    <cfRule type="cellIs" dxfId="1867" priority="175" operator="lessThan">
      <formula>0.1</formula>
    </cfRule>
  </conditionalFormatting>
  <conditionalFormatting sqref="I150">
    <cfRule type="cellIs" dxfId="1866" priority="144" operator="lessThan">
      <formula>0.1</formula>
    </cfRule>
  </conditionalFormatting>
  <conditionalFormatting sqref="I167">
    <cfRule type="cellIs" dxfId="1865" priority="68" operator="lessThan">
      <formula>0.1</formula>
    </cfRule>
  </conditionalFormatting>
  <conditionalFormatting sqref="J14:J27">
    <cfRule type="cellIs" dxfId="1864" priority="404" operator="greaterThan">
      <formula>0</formula>
    </cfRule>
  </conditionalFormatting>
  <conditionalFormatting sqref="J31:J44">
    <cfRule type="cellIs" dxfId="1863" priority="261" operator="greaterThan">
      <formula>0</formula>
    </cfRule>
  </conditionalFormatting>
  <conditionalFormatting sqref="J48:J61">
    <cfRule type="cellIs" dxfId="1862" priority="250" operator="greaterThan">
      <formula>0</formula>
    </cfRule>
  </conditionalFormatting>
  <conditionalFormatting sqref="J65:J78">
    <cfRule type="cellIs" dxfId="1861" priority="239" operator="greaterThan">
      <formula>0</formula>
    </cfRule>
  </conditionalFormatting>
  <conditionalFormatting sqref="J82:J95">
    <cfRule type="cellIs" dxfId="1860" priority="228" operator="greaterThan">
      <formula>0</formula>
    </cfRule>
  </conditionalFormatting>
  <conditionalFormatting sqref="J99:J112">
    <cfRule type="cellIs" dxfId="1859" priority="217" operator="greaterThan">
      <formula>0</formula>
    </cfRule>
  </conditionalFormatting>
  <conditionalFormatting sqref="J116:J129 J167:J180">
    <cfRule type="cellIs" dxfId="1858" priority="206" operator="greaterThan">
      <formula>0</formula>
    </cfRule>
  </conditionalFormatting>
  <conditionalFormatting sqref="J133:J146">
    <cfRule type="cellIs" dxfId="1857" priority="19" operator="greaterThan">
      <formula>0</formula>
    </cfRule>
  </conditionalFormatting>
  <conditionalFormatting sqref="J150:J163">
    <cfRule type="cellIs" dxfId="1856" priority="8" operator="greaterThan">
      <formula>0</formula>
    </cfRule>
  </conditionalFormatting>
  <conditionalFormatting sqref="J183:J197">
    <cfRule type="expression" dxfId="1855" priority="654">
      <formula>C183&gt;0</formula>
    </cfRule>
  </conditionalFormatting>
  <conditionalFormatting sqref="J199">
    <cfRule type="expression" dxfId="1854" priority="659">
      <formula>#REF!="EURO"</formula>
    </cfRule>
  </conditionalFormatting>
  <conditionalFormatting sqref="K14:K27">
    <cfRule type="cellIs" dxfId="1853" priority="418" operator="greaterThan">
      <formula>0</formula>
    </cfRule>
  </conditionalFormatting>
  <conditionalFormatting sqref="K31:K44">
    <cfRule type="cellIs" dxfId="1852" priority="262" operator="greaterThan">
      <formula>0</formula>
    </cfRule>
  </conditionalFormatting>
  <conditionalFormatting sqref="K48:K61">
    <cfRule type="cellIs" dxfId="1851" priority="251" operator="greaterThan">
      <formula>0</formula>
    </cfRule>
  </conditionalFormatting>
  <conditionalFormatting sqref="K65:K78">
    <cfRule type="cellIs" dxfId="1850" priority="240" operator="greaterThan">
      <formula>0</formula>
    </cfRule>
  </conditionalFormatting>
  <conditionalFormatting sqref="K82:K95">
    <cfRule type="cellIs" dxfId="1849" priority="229" operator="greaterThan">
      <formula>0</formula>
    </cfRule>
  </conditionalFormatting>
  <conditionalFormatting sqref="K99:K112">
    <cfRule type="cellIs" dxfId="1848" priority="218" operator="greaterThan">
      <formula>0</formula>
    </cfRule>
  </conditionalFormatting>
  <conditionalFormatting sqref="K116:K129 K167:K180">
    <cfRule type="cellIs" dxfId="1847" priority="207" operator="greaterThan">
      <formula>0</formula>
    </cfRule>
  </conditionalFormatting>
  <conditionalFormatting sqref="K133:K146">
    <cfRule type="cellIs" dxfId="1846" priority="20" operator="greaterThan">
      <formula>0</formula>
    </cfRule>
  </conditionalFormatting>
  <conditionalFormatting sqref="K150:K163">
    <cfRule type="cellIs" dxfId="1845" priority="9" operator="greaterThan">
      <formula>0</formula>
    </cfRule>
  </conditionalFormatting>
  <conditionalFormatting sqref="K183:K197">
    <cfRule type="cellIs" dxfId="1844" priority="661" operator="greaterThan">
      <formula>0</formula>
    </cfRule>
  </conditionalFormatting>
  <conditionalFormatting sqref="K199">
    <cfRule type="expression" dxfId="1843" priority="655">
      <formula>$B$9="PLN"</formula>
    </cfRule>
    <cfRule type="expression" dxfId="1842" priority="656">
      <formula>$B$9="CZK"</formula>
    </cfRule>
    <cfRule type="expression" dxfId="1841" priority="657">
      <formula>$B$9="USD"</formula>
    </cfRule>
    <cfRule type="expression" dxfId="1840" priority="658">
      <formula>$B$9="EURO"</formula>
    </cfRule>
  </conditionalFormatting>
  <conditionalFormatting sqref="L14:L27">
    <cfRule type="expression" dxfId="1839" priority="415">
      <formula>$C$9&lt;0</formula>
    </cfRule>
    <cfRule type="expression" dxfId="1838" priority="416">
      <formula>$C$9&gt;0</formula>
    </cfRule>
  </conditionalFormatting>
  <conditionalFormatting sqref="L31:L44">
    <cfRule type="expression" dxfId="1837" priority="204">
      <formula>$C$9&lt;0</formula>
    </cfRule>
    <cfRule type="expression" dxfId="1836" priority="205">
      <formula>$C$9&gt;0</formula>
    </cfRule>
  </conditionalFormatting>
  <conditionalFormatting sqref="L48:L61">
    <cfRule type="expression" dxfId="1835" priority="202">
      <formula>$C$9&lt;0</formula>
    </cfRule>
    <cfRule type="expression" dxfId="1834" priority="203">
      <formula>$C$9&gt;0</formula>
    </cfRule>
  </conditionalFormatting>
  <conditionalFormatting sqref="L65:L78">
    <cfRule type="expression" dxfId="1833" priority="200">
      <formula>$C$9&lt;0</formula>
    </cfRule>
    <cfRule type="expression" dxfId="1832" priority="201">
      <formula>$C$9&gt;0</formula>
    </cfRule>
  </conditionalFormatting>
  <conditionalFormatting sqref="L82:L95">
    <cfRule type="expression" dxfId="1831" priority="198">
      <formula>$C$9&lt;0</formula>
    </cfRule>
    <cfRule type="expression" dxfId="1830" priority="199">
      <formula>$C$9&gt;0</formula>
    </cfRule>
  </conditionalFormatting>
  <conditionalFormatting sqref="L99:L112">
    <cfRule type="expression" dxfId="1829" priority="196">
      <formula>$C$9&lt;0</formula>
    </cfRule>
    <cfRule type="expression" dxfId="1828" priority="197">
      <formula>$C$9&gt;0</formula>
    </cfRule>
  </conditionalFormatting>
  <conditionalFormatting sqref="L116:L129 L167:L180">
    <cfRule type="expression" dxfId="1827" priority="194">
      <formula>$C$9&lt;0</formula>
    </cfRule>
    <cfRule type="expression" dxfId="1826" priority="195">
      <formula>$C$9&gt;0</formula>
    </cfRule>
  </conditionalFormatting>
  <conditionalFormatting sqref="L133:L146">
    <cfRule type="expression" dxfId="1825" priority="3">
      <formula>$C$9&lt;0</formula>
    </cfRule>
    <cfRule type="expression" dxfId="1824" priority="4">
      <formula>$C$9&gt;0</formula>
    </cfRule>
  </conditionalFormatting>
  <conditionalFormatting sqref="L150:L163">
    <cfRule type="expression" dxfId="1823" priority="1">
      <formula>$C$9&lt;0</formula>
    </cfRule>
    <cfRule type="expression" dxfId="1822" priority="2">
      <formula>$C$9&gt;0</formula>
    </cfRule>
  </conditionalFormatting>
  <conditionalFormatting sqref="L183:L197">
    <cfRule type="expression" dxfId="1821" priority="192">
      <formula>$C$9&lt;0</formula>
    </cfRule>
    <cfRule type="expression" dxfId="1820" priority="193">
      <formula>$C$9&gt;0</formula>
    </cfRule>
  </conditionalFormatting>
  <conditionalFormatting sqref="N9 N12">
    <cfRule type="expression" dxfId="1819" priority="691">
      <formula>$B$9="PLN"</formula>
    </cfRule>
    <cfRule type="expression" dxfId="1818" priority="692">
      <formula>$B$9="CZK"</formula>
    </cfRule>
    <cfRule type="expression" dxfId="1817" priority="693">
      <formula>$B$9="USD"</formula>
    </cfRule>
    <cfRule type="expression" dxfId="1816" priority="694">
      <formula>$B$9="EURO"</formula>
    </cfRule>
  </conditionalFormatting>
  <conditionalFormatting sqref="N14:N27">
    <cfRule type="cellIs" dxfId="1815" priority="630" operator="greaterThan">
      <formula>0</formula>
    </cfRule>
    <cfRule type="expression" dxfId="1814" priority="631">
      <formula>$B$9="EURO"</formula>
    </cfRule>
    <cfRule type="expression" dxfId="1813" priority="632">
      <formula>$B$9="USD"</formula>
    </cfRule>
    <cfRule type="expression" dxfId="1812" priority="633">
      <formula>$B$9="PLN"</formula>
    </cfRule>
    <cfRule type="expression" dxfId="1811" priority="634">
      <formula>$B$9="CZK"</formula>
    </cfRule>
  </conditionalFormatting>
  <conditionalFormatting sqref="N29">
    <cfRule type="expression" dxfId="1810" priority="610">
      <formula>$B$9="PLN"</formula>
    </cfRule>
    <cfRule type="expression" dxfId="1809" priority="611">
      <formula>$B$9="CZK"</formula>
    </cfRule>
    <cfRule type="expression" dxfId="1808" priority="612">
      <formula>$B$9="USD"</formula>
    </cfRule>
    <cfRule type="expression" dxfId="1807" priority="613">
      <formula>$B$9="EURO"</formula>
    </cfRule>
  </conditionalFormatting>
  <conditionalFormatting sqref="N31:N44">
    <cfRule type="cellIs" dxfId="1806" priority="265" operator="greaterThan">
      <formula>0</formula>
    </cfRule>
    <cfRule type="expression" dxfId="1805" priority="266">
      <formula>$B$9="EURO"</formula>
    </cfRule>
    <cfRule type="expression" dxfId="1804" priority="267">
      <formula>$B$9="USD"</formula>
    </cfRule>
    <cfRule type="expression" dxfId="1803" priority="268">
      <formula>$B$9="PLN"</formula>
    </cfRule>
    <cfRule type="expression" dxfId="1802" priority="269">
      <formula>$B$9="CZK"</formula>
    </cfRule>
  </conditionalFormatting>
  <conditionalFormatting sqref="N46">
    <cfRule type="expression" dxfId="1801" priority="579">
      <formula>$B$9="PLN"</formula>
    </cfRule>
    <cfRule type="expression" dxfId="1800" priority="580">
      <formula>$B$9="CZK"</formula>
    </cfRule>
    <cfRule type="expression" dxfId="1799" priority="581">
      <formula>$B$9="USD"</formula>
    </cfRule>
    <cfRule type="expression" dxfId="1798" priority="582">
      <formula>$B$9="EURO"</formula>
    </cfRule>
  </conditionalFormatting>
  <conditionalFormatting sqref="N48:N61">
    <cfRule type="cellIs" dxfId="1797" priority="254" operator="greaterThan">
      <formula>0</formula>
    </cfRule>
    <cfRule type="expression" dxfId="1796" priority="255">
      <formula>$B$9="EURO"</formula>
    </cfRule>
    <cfRule type="expression" dxfId="1795" priority="256">
      <formula>$B$9="USD"</formula>
    </cfRule>
    <cfRule type="expression" dxfId="1794" priority="257">
      <formula>$B$9="PLN"</formula>
    </cfRule>
    <cfRule type="expression" dxfId="1793" priority="258">
      <formula>$B$9="CZK"</formula>
    </cfRule>
  </conditionalFormatting>
  <conditionalFormatting sqref="N63">
    <cfRule type="expression" dxfId="1792" priority="550">
      <formula>$B$9="PLN"</formula>
    </cfRule>
    <cfRule type="expression" dxfId="1791" priority="551">
      <formula>$B$9="CZK"</formula>
    </cfRule>
    <cfRule type="expression" dxfId="1790" priority="552">
      <formula>$B$9="USD"</formula>
    </cfRule>
    <cfRule type="expression" dxfId="1789" priority="553">
      <formula>$B$9="EURO"</formula>
    </cfRule>
  </conditionalFormatting>
  <conditionalFormatting sqref="N65:N78">
    <cfRule type="cellIs" dxfId="1788" priority="243" operator="greaterThan">
      <formula>0</formula>
    </cfRule>
    <cfRule type="expression" dxfId="1787" priority="244">
      <formula>$B$9="EURO"</formula>
    </cfRule>
    <cfRule type="expression" dxfId="1786" priority="245">
      <formula>$B$9="USD"</formula>
    </cfRule>
    <cfRule type="expression" dxfId="1785" priority="246">
      <formula>$B$9="PLN"</formula>
    </cfRule>
    <cfRule type="expression" dxfId="1784" priority="247">
      <formula>$B$9="CZK"</formula>
    </cfRule>
  </conditionalFormatting>
  <conditionalFormatting sqref="N80">
    <cfRule type="expression" dxfId="1783" priority="520">
      <formula>$B$9="PLN"</formula>
    </cfRule>
    <cfRule type="expression" dxfId="1782" priority="521">
      <formula>$B$9="CZK"</formula>
    </cfRule>
    <cfRule type="expression" dxfId="1781" priority="522">
      <formula>$B$9="USD"</formula>
    </cfRule>
    <cfRule type="expression" dxfId="1780" priority="523">
      <formula>$B$9="EURO"</formula>
    </cfRule>
  </conditionalFormatting>
  <conditionalFormatting sqref="N82:N95">
    <cfRule type="cellIs" dxfId="1779" priority="232" operator="greaterThan">
      <formula>0</formula>
    </cfRule>
    <cfRule type="expression" dxfId="1778" priority="233">
      <formula>$B$9="EURO"</formula>
    </cfRule>
    <cfRule type="expression" dxfId="1777" priority="234">
      <formula>$B$9="USD"</formula>
    </cfRule>
    <cfRule type="expression" dxfId="1776" priority="235">
      <formula>$B$9="PLN"</formula>
    </cfRule>
    <cfRule type="expression" dxfId="1775" priority="236">
      <formula>$B$9="CZK"</formula>
    </cfRule>
  </conditionalFormatting>
  <conditionalFormatting sqref="N97">
    <cfRule type="expression" dxfId="1774" priority="489">
      <formula>$B$9="PLN"</formula>
    </cfRule>
    <cfRule type="expression" dxfId="1773" priority="490">
      <formula>$B$9="CZK"</formula>
    </cfRule>
    <cfRule type="expression" dxfId="1772" priority="491">
      <formula>$B$9="USD"</formula>
    </cfRule>
    <cfRule type="expression" dxfId="1771" priority="492">
      <formula>$B$9="EURO"</formula>
    </cfRule>
  </conditionalFormatting>
  <conditionalFormatting sqref="N99:N112">
    <cfRule type="cellIs" dxfId="1770" priority="221" operator="greaterThan">
      <formula>0</formula>
    </cfRule>
    <cfRule type="expression" dxfId="1769" priority="222">
      <formula>$B$9="EURO"</formula>
    </cfRule>
    <cfRule type="expression" dxfId="1768" priority="223">
      <formula>$B$9="USD"</formula>
    </cfRule>
    <cfRule type="expression" dxfId="1767" priority="224">
      <formula>$B$9="PLN"</formula>
    </cfRule>
    <cfRule type="expression" dxfId="1766" priority="225">
      <formula>$B$9="CZK"</formula>
    </cfRule>
  </conditionalFormatting>
  <conditionalFormatting sqref="N114">
    <cfRule type="expression" dxfId="1765" priority="321">
      <formula>$B$9="PLN"</formula>
    </cfRule>
    <cfRule type="expression" dxfId="1764" priority="322">
      <formula>$B$9="CZK"</formula>
    </cfRule>
    <cfRule type="expression" dxfId="1763" priority="323">
      <formula>$B$9="USD"</formula>
    </cfRule>
    <cfRule type="expression" dxfId="1762" priority="324">
      <formula>$B$9="EURO"</formula>
    </cfRule>
  </conditionalFormatting>
  <conditionalFormatting sqref="N116:N129 N167:N180">
    <cfRule type="cellIs" dxfId="1761" priority="210" operator="greaterThan">
      <formula>0</formula>
    </cfRule>
    <cfRule type="expression" dxfId="1760" priority="211">
      <formula>$B$9="EURO"</formula>
    </cfRule>
    <cfRule type="expression" dxfId="1759" priority="212">
      <formula>$B$9="USD"</formula>
    </cfRule>
    <cfRule type="expression" dxfId="1758" priority="213">
      <formula>$B$9="PLN"</formula>
    </cfRule>
    <cfRule type="expression" dxfId="1757" priority="214">
      <formula>$B$9="CZK"</formula>
    </cfRule>
  </conditionalFormatting>
  <conditionalFormatting sqref="N131">
    <cfRule type="expression" dxfId="1756" priority="184">
      <formula>$B$9="PLN"</formula>
    </cfRule>
    <cfRule type="expression" dxfId="1755" priority="185">
      <formula>$B$9="CZK"</formula>
    </cfRule>
    <cfRule type="expression" dxfId="1754" priority="186">
      <formula>$B$9="USD"</formula>
    </cfRule>
    <cfRule type="expression" dxfId="1753" priority="187">
      <formula>$B$9="EURO"</formula>
    </cfRule>
  </conditionalFormatting>
  <conditionalFormatting sqref="N133:N146">
    <cfRule type="cellIs" dxfId="1752" priority="23" operator="greaterThan">
      <formula>0</formula>
    </cfRule>
    <cfRule type="expression" dxfId="1751" priority="24">
      <formula>$B$9="EURO"</formula>
    </cfRule>
    <cfRule type="expression" dxfId="1750" priority="25">
      <formula>$B$9="USD"</formula>
    </cfRule>
    <cfRule type="expression" dxfId="1749" priority="26">
      <formula>$B$9="PLN"</formula>
    </cfRule>
    <cfRule type="expression" dxfId="1748" priority="27">
      <formula>$B$9="CZK"</formula>
    </cfRule>
  </conditionalFormatting>
  <conditionalFormatting sqref="N148">
    <cfRule type="expression" dxfId="1747" priority="153">
      <formula>$B$9="PLN"</formula>
    </cfRule>
    <cfRule type="expression" dxfId="1746" priority="154">
      <formula>$B$9="CZK"</formula>
    </cfRule>
    <cfRule type="expression" dxfId="1745" priority="155">
      <formula>$B$9="USD"</formula>
    </cfRule>
    <cfRule type="expression" dxfId="1744" priority="156">
      <formula>$B$9="EURO"</formula>
    </cfRule>
  </conditionalFormatting>
  <conditionalFormatting sqref="N150:N163">
    <cfRule type="cellIs" dxfId="1743" priority="12" operator="greaterThan">
      <formula>0</formula>
    </cfRule>
    <cfRule type="expression" dxfId="1742" priority="13">
      <formula>$B$9="EURO"</formula>
    </cfRule>
    <cfRule type="expression" dxfId="1741" priority="14">
      <formula>$B$9="USD"</formula>
    </cfRule>
    <cfRule type="expression" dxfId="1740" priority="15">
      <formula>$B$9="PLN"</formula>
    </cfRule>
    <cfRule type="expression" dxfId="1739" priority="16">
      <formula>$B$9="CZK"</formula>
    </cfRule>
  </conditionalFormatting>
  <conditionalFormatting sqref="N165">
    <cfRule type="expression" dxfId="1738" priority="77">
      <formula>$B$9="PLN"</formula>
    </cfRule>
    <cfRule type="expression" dxfId="1737" priority="78">
      <formula>$B$9="CZK"</formula>
    </cfRule>
    <cfRule type="expression" dxfId="1736" priority="79">
      <formula>$B$9="USD"</formula>
    </cfRule>
    <cfRule type="expression" dxfId="1735" priority="80">
      <formula>$B$9="EURO"</formula>
    </cfRule>
  </conditionalFormatting>
  <conditionalFormatting sqref="N183:N197">
    <cfRule type="cellIs" dxfId="1734" priority="638" operator="greaterThan">
      <formula>0</formula>
    </cfRule>
    <cfRule type="expression" dxfId="1733" priority="639">
      <formula>$B$9="EURO"</formula>
    </cfRule>
    <cfRule type="expression" dxfId="1732" priority="640">
      <formula>$B$9="USD"</formula>
    </cfRule>
    <cfRule type="expression" dxfId="1731" priority="641">
      <formula>$B$9="PLN"</formula>
    </cfRule>
    <cfRule type="expression" dxfId="1730" priority="642">
      <formula>$B$9="CZK"</formula>
    </cfRule>
  </conditionalFormatting>
  <conditionalFormatting sqref="N182:O182">
    <cfRule type="expression" dxfId="1729" priority="646">
      <formula>$B$9="PLN"</formula>
    </cfRule>
    <cfRule type="expression" dxfId="1728" priority="647">
      <formula>$B$9="CZK"</formula>
    </cfRule>
    <cfRule type="expression" dxfId="1727" priority="648">
      <formula>$B$9="USD"</formula>
    </cfRule>
    <cfRule type="expression" dxfId="1726" priority="649">
      <formula>$B$9="EURO"</formula>
    </cfRule>
  </conditionalFormatting>
  <conditionalFormatting sqref="O14:O27">
    <cfRule type="cellIs" dxfId="1725" priority="635" operator="greaterThan">
      <formula>0</formula>
    </cfRule>
  </conditionalFormatting>
  <conditionalFormatting sqref="O31:O44">
    <cfRule type="cellIs" dxfId="1724" priority="270" operator="greaterThan">
      <formula>0</formula>
    </cfRule>
  </conditionalFormatting>
  <conditionalFormatting sqref="O48:O61">
    <cfRule type="cellIs" dxfId="1723" priority="259" operator="greaterThan">
      <formula>0</formula>
    </cfRule>
  </conditionalFormatting>
  <conditionalFormatting sqref="O65:O78">
    <cfRule type="cellIs" dxfId="1722" priority="248" operator="greaterThan">
      <formula>0</formula>
    </cfRule>
  </conditionalFormatting>
  <conditionalFormatting sqref="O82:O95">
    <cfRule type="cellIs" dxfId="1721" priority="237" operator="greaterThan">
      <formula>0</formula>
    </cfRule>
  </conditionalFormatting>
  <conditionalFormatting sqref="O99:O112">
    <cfRule type="cellIs" dxfId="1720" priority="226" operator="greaterThan">
      <formula>0</formula>
    </cfRule>
  </conditionalFormatting>
  <conditionalFormatting sqref="O116:O129 O167:O180">
    <cfRule type="cellIs" dxfId="1719" priority="215" operator="greaterThan">
      <formula>0</formula>
    </cfRule>
  </conditionalFormatting>
  <conditionalFormatting sqref="O133:O146">
    <cfRule type="cellIs" dxfId="1718" priority="28" operator="greaterThan">
      <formula>0</formula>
    </cfRule>
  </conditionalFormatting>
  <conditionalFormatting sqref="O150:O163">
    <cfRule type="cellIs" dxfId="1717" priority="17" operator="greaterThan">
      <formula>0</formula>
    </cfRule>
  </conditionalFormatting>
  <conditionalFormatting sqref="O183:O197">
    <cfRule type="cellIs" dxfId="1716" priority="660" operator="greaterThan">
      <formula>0</formula>
    </cfRule>
  </conditionalFormatting>
  <conditionalFormatting sqref="Q16">
    <cfRule type="cellIs" dxfId="1715" priority="405" operator="greaterThan">
      <formula>0</formula>
    </cfRule>
    <cfRule type="expression" dxfId="1714" priority="406">
      <formula>$B$9="EURO"</formula>
    </cfRule>
    <cfRule type="expression" dxfId="1713" priority="407">
      <formula>$B$9="USD"</formula>
    </cfRule>
    <cfRule type="expression" dxfId="1712" priority="408">
      <formula>$B$9="PLN"</formula>
    </cfRule>
    <cfRule type="expression" dxfId="1711" priority="409">
      <formula>$B$9="CZK"</formula>
    </cfRule>
  </conditionalFormatting>
  <dataValidations count="7">
    <dataValidation type="list" allowBlank="1" showInputMessage="1" showErrorMessage="1" sqref="C27 C78 C95 C44 C61 C112 C129 C146 C163 C180" xr:uid="{9DB59280-80F2-8C47-840D-3A22B7446822}">
      <formula1>"0,0.5,1,1.5,2,2.5,3,3.5,4,4.5,5"</formula1>
    </dataValidation>
    <dataValidation type="list" allowBlank="1" showInputMessage="1" showErrorMessage="1" errorTitle="Minimum number of sections " error="Must be greater than zero" sqref="H14 H65 H48 H31 H82 H99 H116 H133 H150 H167" xr:uid="{9D346134-AB80-5145-8F16-39A507DDB377}">
      <formula1>"1,2,3,4,5,6,7,8,9,10"</formula1>
    </dataValidation>
    <dataValidation type="list" allowBlank="1" showInputMessage="1" showErrorMessage="1" sqref="C71:C72 C37:C38 C88:C89 C20:C21 I84 I16 C54:C55 I67 I33 I50 C105:C106 I101 C122:C123 I118 C139:C140 I135 C156:C157 I152 C173:C174 I169" xr:uid="{646281BF-4EFE-3941-B724-1B0EA710A170}">
      <formula1>"0,1,2,3,4,5,6,7,8,9,10,11,12,13,14,15,16,17,18,19,20"</formula1>
    </dataValidation>
    <dataValidation operator="greaterThan" allowBlank="1" showInputMessage="1" showErrorMessage="1" sqref="E14 E65 E48 E31 E82 E99 E116 E133 E150 E167" xr:uid="{6DD16654-A8DC-A849-B7E2-F9D16C7E3A10}"/>
    <dataValidation type="list" allowBlank="1" showInputMessage="1" showErrorMessage="1" sqref="C99 C31 C82 C65 C48 C14 C116 C150 C133 C167" xr:uid="{E685BB89-626B-B54F-B8A4-A3E46B870EAB}">
      <formula1>"WALL, ISLAND"</formula1>
    </dataValidation>
    <dataValidation type="list" allowBlank="1" showInputMessage="1" showErrorMessage="1" sqref="G181" xr:uid="{EF3384AC-980F-0944-92F5-84AB6E61B145}">
      <formula1>#REF!</formula1>
    </dataValidation>
    <dataValidation type="list" allowBlank="1" showInputMessage="1" showErrorMessage="1" sqref="D26 D94 D77 D60 D43 D111 D128 D145 D162 D179" xr:uid="{B8C811A0-2C62-664E-B922-C140289A9AEF}">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6BC4F318-5B3A-3047-8450-4188B4FDF1A3}">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92912E49-6708-D54B-9FD6-1B79FD10661B}">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9591810A-5DD4-8244-A345-8EC75019BEB2}">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6E95B515-D5B2-2D48-A1C6-781BF7ED17DD}">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2B6A9865-45FC-5741-830B-D7C127A7E313}">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A37287F8-02BC-1346-9E40-766F2BBED5D1}">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B1C78D8-76C9-034C-BD61-4B5558B1CCAC}">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1DF21A95-299A-9C48-98E5-6614C1F6C099}">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9C850F29-443B-C54E-8FFB-B6AA44E678D1}">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256C64F1-198C-AD42-8842-D2815AE8272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CA2B2F80-40A1-FA42-AFD7-D54C059D1741}">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23085D47-B5D8-524F-B678-B8BD38F487F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52C83F82-2E41-3644-A567-15FF6A8C45CD}">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C17691AA-4307-7640-84EB-3FF7644864CD}">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F1BD4E45-CD1D-0943-94B7-7A36DC1C0B0E}">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375A58FD-C1F4-B64A-91AA-B6407C3F3358}">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2545B6CC-6F4A-BC4C-9601-193FC8179219}">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37AAF8EF-A80A-A04A-B8DE-E915E036E04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FFB14204-DE80-2944-A107-D4B8A3B6D22E}">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E82E0465-8DE1-0E43-A504-DE9013BF6455}">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3D9A3CE4-BBEF-6D4E-B0E4-A2EEEC10E69E}">
          <x14:formula1>
            <xm:f>'Base Costs'!$M$4:$M$23</xm:f>
          </x14:formula1>
          <xm:sqref>C15</xm:sqref>
        </x14:dataValidation>
        <x14:dataValidation type="list" allowBlank="1" showInputMessage="1" showErrorMessage="1" xr:uid="{A5D768A0-16FB-4348-BCFE-50CBAA567E9E}">
          <x14:formula1>
            <xm:f>'Base Costs'!$M$4:$M$21</xm:f>
          </x14:formula1>
          <xm:sqref>C32 C151 C134 C168 C100 C49 C66 C83 C117</xm:sqref>
        </x14:dataValidation>
        <x14:dataValidation type="list" allowBlank="1" showInputMessage="1" showErrorMessage="1" xr:uid="{9347A525-F509-584C-A612-574FF82E921F}">
          <x14:formula1>
            <xm:f>'Base Costs'!$A$39:$A$53</xm:f>
          </x14:formula1>
          <xm:sqref>D14 D150 D133 D167 D31 D99 D48 D82 D65 D116</xm:sqref>
        </x14:dataValidation>
        <x14:dataValidation type="list" allowBlank="1" showInputMessage="1" showErrorMessage="1" xr:uid="{69CA22FD-DAE8-F348-BF55-E958403A4AC9}">
          <x14:formula1>
            <xm:f>CCBASE!$A$53:$A$73</xm:f>
          </x14:formula1>
          <xm:sqref>C52 C69 C18 C35 C103 C86 C120 C154 C137 C171</xm:sqref>
        </x14:dataValidation>
        <x14:dataValidation type="list" allowBlank="1" showInputMessage="1" showErrorMessage="1" xr:uid="{9A2F7B10-0231-B343-9705-DCF5132D8B3D}">
          <x14:formula1>
            <xm:f>CCBASE!$A$81:$A$85</xm:f>
          </x14:formula1>
          <xm:sqref>C25 C42 C93 C76 C59 C110 C127 C144 C161 C178</xm:sqref>
        </x14:dataValidation>
        <x14:dataValidation type="list" allowBlank="1" showInputMessage="1" showErrorMessage="1" xr:uid="{45188E82-0D07-7349-9D0F-8CFF35F90024}">
          <x14:formula1>
            <xm:f>'Base Costs'!$A$32:$A$37</xm:f>
          </x14:formula1>
          <xm:sqref>B9</xm:sqref>
        </x14:dataValidation>
        <x14:dataValidation type="list" allowBlank="1" showInputMessage="1" showErrorMessage="1" xr:uid="{4968C754-04BA-914A-9629-81C2FEB4BFFB}">
          <x14:formula1>
            <xm:f>'Base Costs'!$E$4:$E$213</xm:f>
          </x14:formula1>
          <xm:sqref>D183 D186</xm:sqref>
        </x14:dataValidation>
        <x14:dataValidation type="list" allowBlank="1" showInputMessage="1" showErrorMessage="1" xr:uid="{8072DCAA-A34D-A84C-92AE-47DDA821D530}">
          <x14:formula1>
            <xm:f>'Base Costs'!$A$4:$A$16</xm:f>
          </x14:formula1>
          <xm:sqref>D184:D185</xm:sqref>
        </x14:dataValidation>
        <x14:dataValidation type="list" allowBlank="1" showInputMessage="1" showErrorMessage="1" xr:uid="{BFF6E15A-7041-C04F-B079-32AFFAE4D8B9}">
          <x14:formula1>
            <xm:f>'Base Costs'!$A$19:$A$22</xm:f>
          </x14:formula1>
          <xm:sqref>C19 C138 C155 C172 C36 C87 C70 C53 C104 C121</xm:sqref>
        </x14:dataValidation>
        <x14:dataValidation type="list" allowBlank="1" showInputMessage="1" showErrorMessage="1" xr:uid="{EC3AAD74-B5DC-0D4F-A7B3-743D9CCF7196}">
          <x14:formula1>
            <xm:f>'Base Costs'!$Q$35:$Q$45</xm:f>
          </x14:formula1>
          <xm:sqref>C43 C145 C162 C179 C60 C77 C94 C111 C26 C128</xm:sqref>
        </x14:dataValidation>
        <x14:dataValidation type="list" allowBlank="1" showInputMessage="1" showErrorMessage="1" xr:uid="{1377F796-F59A-2F43-8E07-5F7CF6225064}">
          <x14:formula1>
            <xm:f>'Base Costs'!$U$4:$U$41</xm:f>
          </x14:formula1>
          <xm:sqref>C33 C152 C135 C169 C16 C101 C84 C67 C50 C118</xm:sqref>
        </x14:dataValidation>
        <x14:dataValidation type="list" allowBlank="1" showInputMessage="1" showErrorMessage="1" xr:uid="{F438B975-CBD5-A349-B9E2-2B28A5CB3DFC}">
          <x14:formula1>
            <xm:f>'Base Costs'!$U$44:$U$56</xm:f>
          </x14:formula1>
          <xm:sqref>C17 C170 C153 C136 C119 C102 C85 C68 C51 C34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1E498-9A10-9349-A3FF-26CFC9541EDA}">
  <sheetPr>
    <tabColor theme="8" tint="0.79998168889431442"/>
    <pageSetUpPr fitToPage="1"/>
  </sheetPr>
  <dimension ref="A1:AE117"/>
  <sheetViews>
    <sheetView topLeftCell="A14" zoomScale="80" zoomScaleNormal="80" workbookViewId="0">
      <selection activeCell="R29" sqref="R29"/>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56" t="s">
        <v>1502</v>
      </c>
      <c r="C1" s="1156"/>
      <c r="D1" s="1156"/>
      <c r="E1" s="160"/>
      <c r="F1" s="161"/>
      <c r="G1" s="162"/>
      <c r="H1" s="163"/>
      <c r="I1" s="161"/>
      <c r="J1" s="161"/>
      <c r="K1" s="989" t="s">
        <v>1501</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8" t="e">
        <f>IF(#REF!="","",#REF!)</f>
        <v>#REF!</v>
      </c>
      <c r="D4" s="1158"/>
      <c r="E4" s="177" t="s">
        <v>78</v>
      </c>
      <c r="F4" s="1159" t="e">
        <f>IF(#REF!="","",#REF!)</f>
        <v>#REF!</v>
      </c>
      <c r="G4" s="1159"/>
      <c r="H4" s="1159"/>
      <c r="I4" s="1157"/>
      <c r="J4" s="1157"/>
      <c r="K4" s="1157"/>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8" t="e">
        <f>IF(#REF!="","",#REF!)</f>
        <v>#REF!</v>
      </c>
      <c r="D6" s="1158"/>
      <c r="E6" s="177" t="s">
        <v>77</v>
      </c>
      <c r="F6" s="1159" t="e">
        <f>IF(#REF!="","",#REF!)</f>
        <v>#REF!</v>
      </c>
      <c r="G6" s="1159"/>
      <c r="H6" s="1159"/>
      <c r="I6" s="1157"/>
      <c r="J6" s="1157"/>
      <c r="K6" s="1157"/>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8" t="e">
        <f>IF(#REF!="","",#REF!)</f>
        <v>#REF!</v>
      </c>
      <c r="D8" s="1158"/>
      <c r="E8" s="181" t="s">
        <v>76</v>
      </c>
      <c r="F8" s="1160" t="e">
        <f>IF(#REF!="","",#REF!)</f>
        <v>#REF!</v>
      </c>
      <c r="G8" s="1160"/>
      <c r="H8" s="1160"/>
      <c r="J8" s="187" t="s">
        <v>79</v>
      </c>
      <c r="K8" s="1148" t="e">
        <f>IF(#REF!="","",#REF!)</f>
        <v>#REF!</v>
      </c>
      <c r="L8" s="1148"/>
      <c r="M8" s="467"/>
      <c r="N8" s="1094" t="s">
        <v>1409</v>
      </c>
      <c r="O8" s="1094"/>
      <c r="P8" s="1094"/>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0"/>
      <c r="F10" s="1151"/>
      <c r="G10" s="25">
        <f>SUBTOTAL(9,G14:G102)</f>
        <v>1488</v>
      </c>
      <c r="H10" s="981">
        <f>IF(K10=0,"-",K10/I10)</f>
        <v>0.40143664399961704</v>
      </c>
      <c r="I10" s="25">
        <f>SUBTOTAL(9,I14:I102)</f>
        <v>2485.9523809523807</v>
      </c>
      <c r="J10" s="464">
        <f>SUBTOTAL(9,J14:J102)</f>
        <v>2485.9523809523807</v>
      </c>
      <c r="K10" s="25">
        <f>SUBTOTAL(9,K14:K102)</f>
        <v>997.95238095238119</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1488</v>
      </c>
      <c r="H13" s="145">
        <f>IF(G13=0,"-",K13/I13)</f>
        <v>0.40143664399961704</v>
      </c>
      <c r="I13" s="61">
        <f>SUBTOTAL(9,I14:I32)</f>
        <v>2485.9523809523807</v>
      </c>
      <c r="J13" s="465">
        <f>SUBTOTAL(9,J14:J32)</f>
        <v>2485.9523809523807</v>
      </c>
      <c r="K13" s="61">
        <f>SUBTOTAL(9,K14:K32)</f>
        <v>997.95238095238119</v>
      </c>
      <c r="L13" s="469"/>
      <c r="O13" s="840" t="s">
        <v>918</v>
      </c>
      <c r="Q13" s="1154" t="s">
        <v>664</v>
      </c>
      <c r="R13" s="1155"/>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v>1</v>
      </c>
      <c r="D30" s="269" t="s">
        <v>491</v>
      </c>
      <c r="E30" s="315"/>
      <c r="F30" s="380">
        <f>'Base Costs'!AX22</f>
        <v>700</v>
      </c>
      <c r="G30" s="378">
        <f t="shared" si="2"/>
        <v>700</v>
      </c>
      <c r="H30" s="381">
        <v>0.4</v>
      </c>
      <c r="I30" s="311">
        <f t="shared" si="0"/>
        <v>1166.6666666666667</v>
      </c>
      <c r="J30" s="378">
        <f>I30*VLOOKUP($B$10,'Base Costs'!$A$32:$B$37,2,FALSE)</f>
        <v>1166.6666666666667</v>
      </c>
      <c r="K30" s="379">
        <f t="shared" si="1"/>
        <v>466.66666666666674</v>
      </c>
      <c r="L30" s="469"/>
      <c r="M30" s="469"/>
      <c r="N30" s="469"/>
      <c r="Q30" s="164"/>
      <c r="R30" s="164"/>
    </row>
    <row r="31" spans="1:18" ht="15.75" customHeight="1" x14ac:dyDescent="0.2">
      <c r="A31" s="299">
        <v>268</v>
      </c>
      <c r="B31" s="269" t="s">
        <v>55</v>
      </c>
      <c r="C31" s="314">
        <v>1</v>
      </c>
      <c r="D31" s="269" t="s">
        <v>491</v>
      </c>
      <c r="E31" s="315"/>
      <c r="F31" s="380">
        <f>'Base Costs'!AX23</f>
        <v>380</v>
      </c>
      <c r="G31" s="378">
        <f t="shared" si="2"/>
        <v>380</v>
      </c>
      <c r="H31" s="381">
        <v>0.4</v>
      </c>
      <c r="I31" s="311">
        <f t="shared" si="0"/>
        <v>633.33333333333337</v>
      </c>
      <c r="J31" s="378">
        <f>I31*VLOOKUP($B$10,'Base Costs'!$A$32:$B$37,2,FALSE)</f>
        <v>633.33333333333337</v>
      </c>
      <c r="K31" s="379">
        <f t="shared" si="1"/>
        <v>253.33333333333337</v>
      </c>
      <c r="L31" s="469"/>
      <c r="M31" s="469"/>
      <c r="N31" s="469"/>
      <c r="Q31" s="164"/>
      <c r="R31" s="164"/>
    </row>
    <row r="32" spans="1:18" ht="15.75" customHeight="1" x14ac:dyDescent="0.2">
      <c r="A32" s="299">
        <v>268</v>
      </c>
      <c r="B32" s="269" t="s">
        <v>56</v>
      </c>
      <c r="C32" s="314">
        <v>1</v>
      </c>
      <c r="D32" s="269" t="s">
        <v>442</v>
      </c>
      <c r="E32" s="315"/>
      <c r="F32" s="380">
        <f>'Base Costs'!AX24</f>
        <v>358</v>
      </c>
      <c r="G32" s="378">
        <f t="shared" si="2"/>
        <v>358</v>
      </c>
      <c r="H32" s="381">
        <v>0.4</v>
      </c>
      <c r="I32" s="311">
        <f t="shared" si="0"/>
        <v>596.66666666666674</v>
      </c>
      <c r="J32" s="378">
        <f>I32*VLOOKUP($B$10,'Base Costs'!$A$32:$B$37,2,FALSE)</f>
        <v>596.66666666666674</v>
      </c>
      <c r="K32" s="379">
        <f t="shared" si="1"/>
        <v>238.66666666666674</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61"/>
      <c r="P34" s="1161"/>
      <c r="Q34" s="815"/>
      <c r="R34" s="815"/>
      <c r="S34" s="1162"/>
      <c r="T34" s="1162"/>
      <c r="U34" s="1162"/>
      <c r="V34" s="1162"/>
      <c r="Y34" s="1163"/>
      <c r="Z34" s="1163"/>
      <c r="AA34" s="1163"/>
      <c r="AB34" s="1163"/>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49"/>
      <c r="P35" s="1149"/>
      <c r="Q35" s="815"/>
      <c r="R35" s="815"/>
      <c r="S35" s="1152"/>
      <c r="T35" s="1152"/>
      <c r="U35" s="1152"/>
      <c r="V35" s="1152"/>
      <c r="W35" s="822"/>
      <c r="Y35" s="1152"/>
      <c r="Z35" s="1152"/>
      <c r="AA35" s="1152"/>
      <c r="AB35" s="1152"/>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49"/>
      <c r="P36" s="1149"/>
      <c r="Q36" s="815"/>
      <c r="R36" s="815"/>
      <c r="S36" s="1152"/>
      <c r="T36" s="1152"/>
      <c r="U36" s="1152"/>
      <c r="V36" s="1152"/>
      <c r="W36" s="822"/>
      <c r="Y36" s="1152"/>
      <c r="Z36" s="1152"/>
      <c r="AA36" s="1152"/>
      <c r="AB36" s="1152"/>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49"/>
      <c r="P37" s="1149"/>
      <c r="Q37" s="815"/>
      <c r="R37" s="815"/>
      <c r="S37" s="1152"/>
      <c r="T37" s="1152"/>
      <c r="U37" s="1152"/>
      <c r="V37" s="1152"/>
      <c r="W37" s="822"/>
      <c r="Y37" s="1152"/>
      <c r="Z37" s="1152"/>
      <c r="AA37" s="1152"/>
      <c r="AB37" s="1152"/>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1481</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49"/>
      <c r="P39" s="1149"/>
      <c r="Q39" s="815"/>
      <c r="R39" s="815"/>
      <c r="S39" s="1152"/>
      <c r="T39" s="1152"/>
      <c r="U39" s="1152"/>
      <c r="V39" s="1152"/>
      <c r="W39" s="822"/>
      <c r="Y39" s="1152"/>
      <c r="Z39" s="1152"/>
      <c r="AA39" s="1152"/>
      <c r="AB39" s="1152"/>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49"/>
      <c r="P40" s="1149"/>
      <c r="Q40" s="815"/>
      <c r="R40" s="815"/>
      <c r="S40" s="1152"/>
      <c r="T40" s="1152"/>
      <c r="U40" s="1152"/>
      <c r="V40" s="1152"/>
      <c r="W40" s="822"/>
      <c r="Y40" s="1152"/>
      <c r="Z40" s="1152"/>
      <c r="AA40" s="1152"/>
      <c r="AB40" s="1152"/>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49"/>
      <c r="P41" s="1149"/>
      <c r="Q41" s="815"/>
      <c r="R41" s="815"/>
      <c r="Y41" s="1153"/>
      <c r="Z41" s="1153"/>
      <c r="AA41" s="1153"/>
      <c r="AB41" s="1153"/>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Costs'!$AU$65:$BA$72,7,FALSE)),0)</f>
        <v>0</v>
      </c>
      <c r="M49" s="820">
        <f>L49*C49</f>
        <v>0</v>
      </c>
      <c r="N49" s="469"/>
      <c r="O49" s="1149"/>
      <c r="P49" s="1149"/>
      <c r="Q49" s="815"/>
      <c r="R49" s="815"/>
      <c r="Y49" s="1153"/>
      <c r="Z49" s="1153"/>
      <c r="AA49" s="1153"/>
      <c r="AB49" s="1153"/>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Costs'!$AU$65:$BA$72,7,FALSE)),0)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Costs'!$AU$65:$BA$72,7,FALSE)),0)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Costs'!$AU$65:$BA$72,7,FALSE)),0)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Costs'!$AU$65:$BA$72,7,FALSE)),0)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Costs'!$AU$65:$BA$72,7,FALSE)),0)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Costs'!$AU$65:$BA$72,7,FALSE)),0)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Costs'!$AU$65:$BA$72,7,FALSE)),0)</f>
        <v>0</v>
      </c>
      <c r="M56" s="820">
        <f t="shared" si="11"/>
        <v>0</v>
      </c>
      <c r="N56" s="469"/>
      <c r="O56" s="1149"/>
      <c r="P56" s="1149"/>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49"/>
      <c r="P57" s="1149"/>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49"/>
      <c r="P58" s="1149"/>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49"/>
      <c r="P59" s="1149"/>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49"/>
      <c r="P60" s="1149"/>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49"/>
      <c r="P61" s="1149"/>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49"/>
      <c r="P62" s="1149"/>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49"/>
      <c r="P63" s="1149"/>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49"/>
      <c r="P64" s="1149"/>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49"/>
      <c r="P65" s="1149"/>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49"/>
      <c r="P66" s="1149"/>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49"/>
      <c r="P67" s="1149"/>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49"/>
      <c r="P68" s="1149"/>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46" t="s">
        <v>1478</v>
      </c>
      <c r="E99" s="1147"/>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2485.9523809523807</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2485.9523809523807</v>
      </c>
      <c r="D108" s="202"/>
      <c r="E108" s="204"/>
      <c r="F108" s="202"/>
      <c r="G108" s="209"/>
      <c r="H108" s="206"/>
      <c r="I108" s="203"/>
      <c r="J108" s="203"/>
      <c r="K108" s="209"/>
    </row>
    <row r="109" spans="1:18" ht="15.75" customHeight="1" thickBot="1" x14ac:dyDescent="0.25">
      <c r="A109" s="299">
        <v>280</v>
      </c>
      <c r="B109" s="580" t="s">
        <v>666</v>
      </c>
      <c r="C109" s="916">
        <f>C108+J102</f>
        <v>2485.9523809523807</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O64:P64"/>
    <mergeCell ref="O65:P65"/>
    <mergeCell ref="O66:P66"/>
    <mergeCell ref="O67:P67"/>
    <mergeCell ref="O68:P68"/>
    <mergeCell ref="D99:E99"/>
    <mergeCell ref="O58:P58"/>
    <mergeCell ref="O59:P59"/>
    <mergeCell ref="O60:P60"/>
    <mergeCell ref="O61:P61"/>
    <mergeCell ref="O62:P62"/>
    <mergeCell ref="O63:P63"/>
    <mergeCell ref="O41:P41"/>
    <mergeCell ref="Y41:AB41"/>
    <mergeCell ref="O49:P49"/>
    <mergeCell ref="Y49:AB49"/>
    <mergeCell ref="O56:P56"/>
    <mergeCell ref="O57:P57"/>
    <mergeCell ref="O39:P39"/>
    <mergeCell ref="S39:V39"/>
    <mergeCell ref="Y39:AB39"/>
    <mergeCell ref="O40:P40"/>
    <mergeCell ref="S40:V40"/>
    <mergeCell ref="Y40:AB40"/>
    <mergeCell ref="O36:P36"/>
    <mergeCell ref="S36:V36"/>
    <mergeCell ref="Y36:AB36"/>
    <mergeCell ref="O37:P37"/>
    <mergeCell ref="S37:V37"/>
    <mergeCell ref="Y37:AB37"/>
    <mergeCell ref="O34:P34"/>
    <mergeCell ref="S34:V34"/>
    <mergeCell ref="Y34:AB34"/>
    <mergeCell ref="O35:P35"/>
    <mergeCell ref="S35:V35"/>
    <mergeCell ref="Y35:AB35"/>
    <mergeCell ref="C8:D8"/>
    <mergeCell ref="F8:H8"/>
    <mergeCell ref="K8:L8"/>
    <mergeCell ref="N8:P8"/>
    <mergeCell ref="E10:F10"/>
    <mergeCell ref="Q13:R13"/>
    <mergeCell ref="B1:D1"/>
    <mergeCell ref="C4:D4"/>
    <mergeCell ref="F4:H4"/>
    <mergeCell ref="I4:K4"/>
    <mergeCell ref="C6:D6"/>
    <mergeCell ref="F6:H6"/>
    <mergeCell ref="I6:K6"/>
  </mergeCells>
  <conditionalFormatting sqref="B10">
    <cfRule type="containsText" dxfId="1710" priority="33" operator="containsText" text="SELECT">
      <formula>NOT(ISERROR(SEARCH("SELECT",B10)))</formula>
    </cfRule>
    <cfRule type="expression" dxfId="1709" priority="34">
      <formula>B10="CURRENCY"</formula>
    </cfRule>
  </conditionalFormatting>
  <conditionalFormatting sqref="B14:B40">
    <cfRule type="expression" dxfId="1708" priority="12">
      <formula>$C14&gt;0</formula>
    </cfRule>
  </conditionalFormatting>
  <conditionalFormatting sqref="B35 B41:B56">
    <cfRule type="expression" dxfId="1707" priority="42">
      <formula>$D35&gt;0</formula>
    </cfRule>
  </conditionalFormatting>
  <conditionalFormatting sqref="B57:B68">
    <cfRule type="expression" dxfId="1706" priority="17">
      <formula>$C57&gt;0</formula>
    </cfRule>
  </conditionalFormatting>
  <conditionalFormatting sqref="B71:B82">
    <cfRule type="expression" dxfId="1705" priority="16">
      <formula>$C71&gt;0</formula>
    </cfRule>
  </conditionalFormatting>
  <conditionalFormatting sqref="B85:B93">
    <cfRule type="expression" dxfId="1704" priority="15">
      <formula>$C85&gt;0</formula>
    </cfRule>
  </conditionalFormatting>
  <conditionalFormatting sqref="B96:B102">
    <cfRule type="expression" dxfId="1703" priority="14">
      <formula>$C96&gt;0</formula>
    </cfRule>
  </conditionalFormatting>
  <conditionalFormatting sqref="C14:C32 C71:C82 C85:C93">
    <cfRule type="cellIs" dxfId="1702" priority="35" operator="equal">
      <formula>0</formula>
    </cfRule>
  </conditionalFormatting>
  <conditionalFormatting sqref="C35:C68">
    <cfRule type="cellIs" dxfId="1701" priority="11" operator="equal">
      <formula>0</formula>
    </cfRule>
  </conditionalFormatting>
  <conditionalFormatting sqref="C96:C102">
    <cfRule type="cellIs" dxfId="1700" priority="13" operator="equal">
      <formula>0</formula>
    </cfRule>
  </conditionalFormatting>
  <conditionalFormatting sqref="C10:D10">
    <cfRule type="cellIs" dxfId="1699" priority="31" operator="lessThan">
      <formula>0</formula>
    </cfRule>
    <cfRule type="cellIs" dxfId="1698" priority="32" operator="greaterThan">
      <formula>0</formula>
    </cfRule>
  </conditionalFormatting>
  <conditionalFormatting sqref="F14:F68">
    <cfRule type="expression" dxfId="1697" priority="1">
      <formula>C14&gt;0</formula>
    </cfRule>
  </conditionalFormatting>
  <conditionalFormatting sqref="F35:F64">
    <cfRule type="expression" dxfId="1696" priority="2">
      <formula>D35&gt;0</formula>
    </cfRule>
  </conditionalFormatting>
  <conditionalFormatting sqref="F71:F82">
    <cfRule type="expression" dxfId="1695" priority="30">
      <formula>C71&gt;0</formula>
    </cfRule>
  </conditionalFormatting>
  <conditionalFormatting sqref="F85:F93">
    <cfRule type="expression" dxfId="1694" priority="28">
      <formula>C85&gt;0</formula>
    </cfRule>
  </conditionalFormatting>
  <conditionalFormatting sqref="F96:F102">
    <cfRule type="expression" dxfId="1693" priority="29">
      <formula>C96&gt;0</formula>
    </cfRule>
  </conditionalFormatting>
  <conditionalFormatting sqref="G14:G32">
    <cfRule type="cellIs" dxfId="1692" priority="27" operator="greaterThan">
      <formula>0</formula>
    </cfRule>
  </conditionalFormatting>
  <conditionalFormatting sqref="G35:G68">
    <cfRule type="cellIs" dxfId="1691" priority="3" operator="greaterThan">
      <formula>0</formula>
    </cfRule>
  </conditionalFormatting>
  <conditionalFormatting sqref="G71:G82 G85:G93 G96:G102">
    <cfRule type="cellIs" dxfId="1690" priority="26" operator="greaterThan">
      <formula>0</formula>
    </cfRule>
  </conditionalFormatting>
  <conditionalFormatting sqref="H14:H32">
    <cfRule type="expression" dxfId="1689" priority="40">
      <formula>$C$10&gt;0</formula>
    </cfRule>
    <cfRule type="expression" dxfId="1688" priority="41">
      <formula>$C$10&lt;0</formula>
    </cfRule>
  </conditionalFormatting>
  <conditionalFormatting sqref="H35:H68">
    <cfRule type="expression" dxfId="1687" priority="9">
      <formula>$C$10&gt;0</formula>
    </cfRule>
  </conditionalFormatting>
  <conditionalFormatting sqref="H35:H82">
    <cfRule type="expression" dxfId="1686" priority="23">
      <formula>$C$10&lt;0</formula>
    </cfRule>
  </conditionalFormatting>
  <conditionalFormatting sqref="H40:H68">
    <cfRule type="expression" dxfId="1685" priority="10">
      <formula>$C$10&lt;0</formula>
    </cfRule>
  </conditionalFormatting>
  <conditionalFormatting sqref="H71:H82">
    <cfRule type="expression" dxfId="1684" priority="22">
      <formula>$C$10&gt;0</formula>
    </cfRule>
  </conditionalFormatting>
  <conditionalFormatting sqref="H85:H93">
    <cfRule type="expression" dxfId="1683" priority="20">
      <formula>$C$10&gt;0</formula>
    </cfRule>
    <cfRule type="expression" dxfId="1682" priority="21">
      <formula>$C$10&lt;0</formula>
    </cfRule>
  </conditionalFormatting>
  <conditionalFormatting sqref="H96:H102">
    <cfRule type="expression" dxfId="1681" priority="18">
      <formula>$C$10&gt;0</formula>
    </cfRule>
    <cfRule type="expression" dxfId="1680" priority="19">
      <formula>$C$10&lt;0</formula>
    </cfRule>
  </conditionalFormatting>
  <conditionalFormatting sqref="J1:J7 J9:J33">
    <cfRule type="expression" dxfId="1679" priority="36">
      <formula>$B$10="EURO"</formula>
    </cfRule>
    <cfRule type="expression" dxfId="1678" priority="37">
      <formula>$B$10="USD"</formula>
    </cfRule>
    <cfRule type="expression" dxfId="1677" priority="38">
      <formula>$B$10="PLN"</formula>
    </cfRule>
    <cfRule type="expression" dxfId="1676" priority="39">
      <formula>$B$10="CZK"</formula>
    </cfRule>
  </conditionalFormatting>
  <conditionalFormatting sqref="J35:J69">
    <cfRule type="expression" dxfId="1675" priority="5">
      <formula>$B$10="EURO"</formula>
    </cfRule>
  </conditionalFormatting>
  <conditionalFormatting sqref="J35:J1048576">
    <cfRule type="expression" dxfId="1674" priority="6">
      <formula>$B$10="USD"</formula>
    </cfRule>
    <cfRule type="expression" dxfId="1673" priority="7">
      <formula>$B$10="PLN"</formula>
    </cfRule>
    <cfRule type="expression" dxfId="1672" priority="8">
      <formula>$B$10="CZK"</formula>
    </cfRule>
  </conditionalFormatting>
  <conditionalFormatting sqref="J71:J83 J85:J94 J96:J1048576">
    <cfRule type="expression" dxfId="1671" priority="25">
      <formula>$B$10="EURO"</formula>
    </cfRule>
  </conditionalFormatting>
  <conditionalFormatting sqref="J14:K68">
    <cfRule type="cellIs" dxfId="1670" priority="4" operator="greaterThan">
      <formula>0</formula>
    </cfRule>
  </conditionalFormatting>
  <conditionalFormatting sqref="J71:K82 J85:K93 J96:K102">
    <cfRule type="cellIs" dxfId="1669"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7A246A-0943-B24B-891A-E3A33E4CD959}">
          <x14:formula1>
            <xm:f>'Base Costs'!$E$4:$E$213</xm:f>
          </x14:formula1>
          <xm:sqref>D97</xm:sqref>
        </x14:dataValidation>
        <x14:dataValidation type="list" allowBlank="1" showInputMessage="1" showErrorMessage="1" xr:uid="{10C66645-4D52-FA49-B352-A2EF69E2F229}">
          <x14:formula1>
            <xm:f>'Base Costs'!$A$32:$A$37</xm:f>
          </x14:formula1>
          <xm:sqref>B10</xm:sqref>
        </x14:dataValidation>
        <x14:dataValidation type="list" allowBlank="1" showInputMessage="1" showErrorMessage="1" xr:uid="{D69BEC8F-9260-6344-934A-DD8A78F555C9}">
          <x14:formula1>
            <xm:f>'Base Costs'!$AU$26:$AU$48</xm:f>
          </x14:formula1>
          <xm:sqref>D35</xm:sqref>
        </x14:dataValidation>
        <x14:dataValidation type="list" allowBlank="1" showInputMessage="1" showErrorMessage="1" xr:uid="{70C8AA52-11A5-0E43-AEBC-0460E95311E3}">
          <x14:formula1>
            <xm:f>'Base Costs'!$AU$64:$AU$72</xm:f>
          </x14:formula1>
          <xm:sqref>D49:D56</xm:sqref>
        </x14:dataValidation>
        <x14:dataValidation type="list" allowBlank="1" showInputMessage="1" showErrorMessage="1" xr:uid="{2B1CAD1A-273D-8A4D-9776-6C357E1D2A09}">
          <x14:formula1>
            <xm:f>'Base Costs'!$AU$55:$AU$61</xm:f>
          </x14:formula1>
          <xm:sqref>D40:D47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3D8F4-5248-2548-9E1D-7DC37623AC9C}">
  <sheetPr>
    <tabColor theme="8" tint="0.79998168889431442"/>
    <pageSetUpPr fitToPage="1"/>
  </sheetPr>
  <dimension ref="A1:AD161"/>
  <sheetViews>
    <sheetView showGridLines="0" zoomScale="80" zoomScaleNormal="80" zoomScaleSheetLayoutView="50" workbookViewId="0">
      <selection activeCell="R29" sqref="R29"/>
    </sheetView>
  </sheetViews>
  <sheetFormatPr baseColWidth="10" defaultColWidth="8.83203125" defaultRowHeight="15" customHeight="1" x14ac:dyDescent="0.15"/>
  <cols>
    <col min="1" max="2" width="2" style="215" customWidth="1"/>
    <col min="3" max="3" width="42.83203125" style="217" bestFit="1"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1505</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1498</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1499</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1488</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1491</v>
      </c>
      <c r="D25" s="1080" t="s">
        <v>1497</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1489</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1493</v>
      </c>
      <c r="U27" s="229"/>
      <c r="AA27" s="217"/>
    </row>
    <row r="28" spans="1:27" ht="15" customHeight="1" x14ac:dyDescent="0.2">
      <c r="C28" s="869" t="s">
        <v>1490</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1492</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f>IF(K37=0,"-",O37/M37)</f>
        <v>0.39433325837643363</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668" priority="35" operator="containsText" text="SELECT">
      <formula>NOT(ISERROR(SEARCH("SELECT",C9)))</formula>
    </cfRule>
    <cfRule type="expression" dxfId="1667" priority="36">
      <formula>C9="CURRENCY"</formula>
    </cfRule>
  </conditionalFormatting>
  <conditionalFormatting sqref="C14:C34">
    <cfRule type="expression" dxfId="1666" priority="1">
      <formula>$J14&gt;0</formula>
    </cfRule>
  </conditionalFormatting>
  <conditionalFormatting sqref="C38:C48">
    <cfRule type="expression" dxfId="1665" priority="12">
      <formula>$D38&gt;0</formula>
    </cfRule>
  </conditionalFormatting>
  <conditionalFormatting sqref="D38:D39 D41:D48">
    <cfRule type="cellIs" dxfId="1664" priority="37" operator="lessThan">
      <formula>1</formula>
    </cfRule>
  </conditionalFormatting>
  <conditionalFormatting sqref="D40">
    <cfRule type="cellIs" dxfId="1663" priority="32" operator="lessThan">
      <formula>1</formula>
    </cfRule>
  </conditionalFormatting>
  <conditionalFormatting sqref="D9:E9">
    <cfRule type="cellIs" dxfId="1662" priority="33" operator="lessThan">
      <formula>0</formula>
    </cfRule>
    <cfRule type="cellIs" dxfId="1661" priority="34" operator="greaterThan">
      <formula>0</formula>
    </cfRule>
  </conditionalFormatting>
  <conditionalFormatting sqref="F12">
    <cfRule type="expression" dxfId="1660" priority="42">
      <formula>AND((ISNUMBER(SEARCH("I-MUAP",$E$14))),F12&lt;2500)</formula>
    </cfRule>
    <cfRule type="expression" dxfId="1659" priority="43">
      <formula>ISNUMBER(SEARCH("I-MUAP",$E$14))</formula>
    </cfRule>
    <cfRule type="cellIs" dxfId="1658" priority="44" operator="greaterThan">
      <formula>2000</formula>
    </cfRule>
  </conditionalFormatting>
  <conditionalFormatting sqref="F12:G12">
    <cfRule type="cellIs" dxfId="1657" priority="38" operator="lessThan">
      <formula>1000</formula>
    </cfRule>
  </conditionalFormatting>
  <conditionalFormatting sqref="F14:G28">
    <cfRule type="cellIs" dxfId="1656" priority="5" operator="lessThan">
      <formula>1000</formula>
    </cfRule>
  </conditionalFormatting>
  <conditionalFormatting sqref="F31:G32">
    <cfRule type="cellIs" dxfId="1655" priority="2" operator="lessThan">
      <formula>1000</formula>
    </cfRule>
  </conditionalFormatting>
  <conditionalFormatting sqref="G12">
    <cfRule type="cellIs" dxfId="1654" priority="39" operator="greaterThan">
      <formula>3001</formula>
    </cfRule>
  </conditionalFormatting>
  <conditionalFormatting sqref="H11">
    <cfRule type="expression" dxfId="1653" priority="41">
      <formula>((G14-50)/I14)&lt;950</formula>
    </cfRule>
  </conditionalFormatting>
  <conditionalFormatting sqref="H12">
    <cfRule type="expression" dxfId="1652" priority="40">
      <formula>((G14-50)/I14)&lt;950</formula>
    </cfRule>
  </conditionalFormatting>
  <conditionalFormatting sqref="H14:H28">
    <cfRule type="cellIs" dxfId="1651" priority="6" operator="lessThan">
      <formula>400</formula>
    </cfRule>
  </conditionalFormatting>
  <conditionalFormatting sqref="H31:H32">
    <cfRule type="cellIs" dxfId="1650" priority="3" operator="lessThan">
      <formula>400</formula>
    </cfRule>
  </conditionalFormatting>
  <conditionalFormatting sqref="H35">
    <cfRule type="expression" dxfId="1649" priority="49">
      <formula>((#REF!-50)/#REF!)&lt;950</formula>
    </cfRule>
  </conditionalFormatting>
  <conditionalFormatting sqref="J14:J32">
    <cfRule type="cellIs" dxfId="1648" priority="17" operator="greaterThan">
      <formula>0</formula>
    </cfRule>
  </conditionalFormatting>
  <conditionalFormatting sqref="J38:J48">
    <cfRule type="expression" dxfId="1647" priority="25">
      <formula>D38&gt;0</formula>
    </cfRule>
  </conditionalFormatting>
  <conditionalFormatting sqref="J50:J56">
    <cfRule type="expression" dxfId="1646" priority="30">
      <formula>#REF!="EURO"</formula>
    </cfRule>
  </conditionalFormatting>
  <conditionalFormatting sqref="K14:K34">
    <cfRule type="cellIs" dxfId="1645" priority="4" operator="greaterThan">
      <formula>0</formula>
    </cfRule>
  </conditionalFormatting>
  <conditionalFormatting sqref="K38:K48">
    <cfRule type="cellIs" dxfId="1644" priority="31" operator="greaterThan">
      <formula>0</formula>
    </cfRule>
  </conditionalFormatting>
  <conditionalFormatting sqref="K50:K56">
    <cfRule type="expression" dxfId="1643" priority="26">
      <formula>$C$9="PLN"</formula>
    </cfRule>
    <cfRule type="expression" dxfId="1642" priority="27">
      <formula>$C$9="CZK"</formula>
    </cfRule>
    <cfRule type="expression" dxfId="1641" priority="28">
      <formula>$C$9="USD"</formula>
    </cfRule>
    <cfRule type="expression" dxfId="1640" priority="29">
      <formula>$C$9="EURO"</formula>
    </cfRule>
  </conditionalFormatting>
  <conditionalFormatting sqref="L14:L34">
    <cfRule type="expression" dxfId="1639" priority="15">
      <formula>$D$9&lt;0</formula>
    </cfRule>
    <cfRule type="expression" dxfId="1638" priority="16">
      <formula>$D$9&gt;0</formula>
    </cfRule>
  </conditionalFormatting>
  <conditionalFormatting sqref="L38:L48">
    <cfRule type="expression" dxfId="1637" priority="13">
      <formula>$D$9&lt;0</formula>
    </cfRule>
    <cfRule type="expression" dxfId="1636" priority="14">
      <formula>$D$9&gt;0</formula>
    </cfRule>
  </conditionalFormatting>
  <conditionalFormatting sqref="N9 N12">
    <cfRule type="expression" dxfId="1635" priority="45">
      <formula>$C$9="PLN"</formula>
    </cfRule>
    <cfRule type="expression" dxfId="1634" priority="46">
      <formula>$C$9="CZK"</formula>
    </cfRule>
    <cfRule type="expression" dxfId="1633" priority="47">
      <formula>$C$9="USD"</formula>
    </cfRule>
    <cfRule type="expression" dxfId="1632" priority="48">
      <formula>$C$9="EURO"</formula>
    </cfRule>
  </conditionalFormatting>
  <conditionalFormatting sqref="N14:N34">
    <cfRule type="expression" dxfId="1631" priority="19">
      <formula>$C$9="PLN"</formula>
    </cfRule>
    <cfRule type="expression" dxfId="1630" priority="20">
      <formula>$C$9="CZK"</formula>
    </cfRule>
    <cfRule type="expression" dxfId="1629" priority="21">
      <formula>$C$9="USD"</formula>
    </cfRule>
    <cfRule type="expression" dxfId="1628" priority="22">
      <formula>$C$9="EURO"</formula>
    </cfRule>
  </conditionalFormatting>
  <conditionalFormatting sqref="N18:N22">
    <cfRule type="cellIs" dxfId="1627" priority="23" operator="greaterThan">
      <formula>0</formula>
    </cfRule>
  </conditionalFormatting>
  <conditionalFormatting sqref="N37:N48">
    <cfRule type="expression" dxfId="1626" priority="8">
      <formula>$C$9="PLN"</formula>
    </cfRule>
    <cfRule type="expression" dxfId="1625" priority="9">
      <formula>$C$9="CZK"</formula>
    </cfRule>
    <cfRule type="expression" dxfId="1624" priority="10">
      <formula>$C$9="USD"</formula>
    </cfRule>
    <cfRule type="expression" dxfId="1623" priority="11">
      <formula>$C$9="EURO"</formula>
    </cfRule>
  </conditionalFormatting>
  <conditionalFormatting sqref="N14:O34">
    <cfRule type="cellIs" dxfId="1622" priority="18" operator="greaterThan">
      <formula>0</formula>
    </cfRule>
  </conditionalFormatting>
  <conditionalFormatting sqref="N38:O48">
    <cfRule type="cellIs" dxfId="1621" priority="7" operator="greaterThan">
      <formula>0</formula>
    </cfRule>
  </conditionalFormatting>
  <conditionalFormatting sqref="O14:O22">
    <cfRule type="cellIs" dxfId="1620" priority="24" operator="greaterThan">
      <formula>0</formula>
    </cfRule>
  </conditionalFormatting>
  <dataValidations count="3">
    <dataValidation type="list" allowBlank="1" showInputMessage="1" showErrorMessage="1" sqref="H36" xr:uid="{991CFEC6-3E01-734C-8257-B8AB7FEAF004}">
      <formula1>#REF!</formula1>
    </dataValidation>
    <dataValidation operator="greaterThan" allowBlank="1" showInputMessage="1" showErrorMessage="1" sqref="F14:F28 F31:F32" xr:uid="{1EF1FF28-D75D-AF46-82A7-086ED9942D71}"/>
    <dataValidation type="list" allowBlank="1" showInputMessage="1" showErrorMessage="1" sqref="E14:E34" xr:uid="{8063D25E-7786-5845-B3CC-EB44FC1785C3}">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C8E4A5A-5016-B147-AECB-D4CDCC9AE917}">
          <x14:formula1>
            <xm:f>'Base Costs'!$A$4:$A$16</xm:f>
          </x14:formula1>
          <xm:sqref>E39:E40</xm:sqref>
        </x14:dataValidation>
        <x14:dataValidation type="list" allowBlank="1" showInputMessage="1" showErrorMessage="1" xr:uid="{BFC77EFD-0DEB-074A-B5B3-AA9B2B352D6C}">
          <x14:formula1>
            <xm:f>'Base Costs'!$E$4:$E$213</xm:f>
          </x14:formula1>
          <xm:sqref>E38</xm:sqref>
        </x14:dataValidation>
        <x14:dataValidation type="list" allowBlank="1" showInputMessage="1" showErrorMessage="1" xr:uid="{FB24EA62-24DC-204A-938A-A506C8E80D3C}">
          <x14:formula1>
            <xm:f>'Base Costs'!$A$32:$A$37</xm:f>
          </x14:formula1>
          <xm:sqref>C9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84AF8-0987-A646-88D2-15F6662FC1E1}">
  <sheetPr>
    <tabColor theme="8" tint="0.79998168889431442"/>
    <pageSetUpPr fitToPage="1"/>
  </sheetPr>
  <dimension ref="A1:AD160"/>
  <sheetViews>
    <sheetView showGridLines="0" topLeftCell="B4" zoomScale="90" zoomScaleNormal="90" zoomScaleSheetLayoutView="50" workbookViewId="0">
      <selection activeCell="R29" sqref="R29"/>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1509</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IF(K36=0,"-",O36/M36)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1" t="s">
        <v>1442</v>
      </c>
      <c r="G38" s="1121"/>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1393</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1" t="s">
        <v>1443</v>
      </c>
      <c r="G42" s="1121"/>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4" t="s">
        <v>1494</v>
      </c>
      <c r="F46" s="1185"/>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1619" priority="35" operator="containsText" text="SELECT">
      <formula>NOT(ISERROR(SEARCH("SELECT",C9)))</formula>
    </cfRule>
    <cfRule type="expression" dxfId="1618" priority="36">
      <formula>C9="CURRENCY"</formula>
    </cfRule>
  </conditionalFormatting>
  <conditionalFormatting sqref="C14:C33">
    <cfRule type="expression" dxfId="1617" priority="1">
      <formula>$J14&gt;0</formula>
    </cfRule>
  </conditionalFormatting>
  <conditionalFormatting sqref="C37:C47">
    <cfRule type="expression" dxfId="1616" priority="12">
      <formula>$D37&gt;0</formula>
    </cfRule>
  </conditionalFormatting>
  <conditionalFormatting sqref="D37:D38 D40:D47">
    <cfRule type="cellIs" dxfId="1615" priority="37" operator="lessThan">
      <formula>1</formula>
    </cfRule>
  </conditionalFormatting>
  <conditionalFormatting sqref="D39">
    <cfRule type="cellIs" dxfId="1614" priority="32" operator="lessThan">
      <formula>1</formula>
    </cfRule>
  </conditionalFormatting>
  <conditionalFormatting sqref="D9:E9">
    <cfRule type="cellIs" dxfId="1613" priority="33" operator="lessThan">
      <formula>0</formula>
    </cfRule>
    <cfRule type="cellIs" dxfId="1612" priority="34" operator="greaterThan">
      <formula>0</formula>
    </cfRule>
  </conditionalFormatting>
  <conditionalFormatting sqref="F12">
    <cfRule type="expression" dxfId="1611" priority="42">
      <formula>AND((ISNUMBER(SEARCH("I-MUAP",$E$14))),F12&lt;2500)</formula>
    </cfRule>
    <cfRule type="expression" dxfId="1610" priority="43">
      <formula>ISNUMBER(SEARCH("I-MUAP",$E$14))</formula>
    </cfRule>
    <cfRule type="cellIs" dxfId="1609" priority="44" operator="greaterThan">
      <formula>2000</formula>
    </cfRule>
  </conditionalFormatting>
  <conditionalFormatting sqref="F12:G12">
    <cfRule type="cellIs" dxfId="1608" priority="38" operator="lessThan">
      <formula>1000</formula>
    </cfRule>
  </conditionalFormatting>
  <conditionalFormatting sqref="F14:G26">
    <cfRule type="cellIs" dxfId="1607" priority="5" operator="lessThan">
      <formula>1000</formula>
    </cfRule>
  </conditionalFormatting>
  <conditionalFormatting sqref="F30:G31">
    <cfRule type="cellIs" dxfId="1606" priority="2" operator="lessThan">
      <formula>1000</formula>
    </cfRule>
  </conditionalFormatting>
  <conditionalFormatting sqref="G12">
    <cfRule type="cellIs" dxfId="1605" priority="39" operator="greaterThan">
      <formula>3001</formula>
    </cfRule>
  </conditionalFormatting>
  <conditionalFormatting sqref="H11">
    <cfRule type="expression" dxfId="1604" priority="41">
      <formula>((G14-50)/I14)&lt;950</formula>
    </cfRule>
  </conditionalFormatting>
  <conditionalFormatting sqref="H12">
    <cfRule type="expression" dxfId="1603" priority="40">
      <formula>((G14-50)/I14)&lt;950</formula>
    </cfRule>
  </conditionalFormatting>
  <conditionalFormatting sqref="H14:H26">
    <cfRule type="cellIs" dxfId="1602" priority="6" operator="lessThan">
      <formula>400</formula>
    </cfRule>
  </conditionalFormatting>
  <conditionalFormatting sqref="H30:H31">
    <cfRule type="cellIs" dxfId="1601" priority="3" operator="lessThan">
      <formula>400</formula>
    </cfRule>
  </conditionalFormatting>
  <conditionalFormatting sqref="H34">
    <cfRule type="expression" dxfId="1600" priority="49">
      <formula>((#REF!-50)/#REF!)&lt;950</formula>
    </cfRule>
  </conditionalFormatting>
  <conditionalFormatting sqref="J14:J31">
    <cfRule type="cellIs" dxfId="1599" priority="17" operator="greaterThan">
      <formula>0</formula>
    </cfRule>
  </conditionalFormatting>
  <conditionalFormatting sqref="J37:J47">
    <cfRule type="expression" dxfId="1598" priority="25">
      <formula>D37&gt;0</formula>
    </cfRule>
  </conditionalFormatting>
  <conditionalFormatting sqref="J49:J55">
    <cfRule type="expression" dxfId="1597" priority="30">
      <formula>#REF!="EURO"</formula>
    </cfRule>
  </conditionalFormatting>
  <conditionalFormatting sqref="K14:K33">
    <cfRule type="cellIs" dxfId="1596" priority="4" operator="greaterThan">
      <formula>0</formula>
    </cfRule>
  </conditionalFormatting>
  <conditionalFormatting sqref="K37:K47">
    <cfRule type="cellIs" dxfId="1595" priority="31" operator="greaterThan">
      <formula>0</formula>
    </cfRule>
  </conditionalFormatting>
  <conditionalFormatting sqref="K49:K55">
    <cfRule type="expression" dxfId="1594" priority="26">
      <formula>$C$9="PLN"</formula>
    </cfRule>
    <cfRule type="expression" dxfId="1593" priority="27">
      <formula>$C$9="CZK"</formula>
    </cfRule>
    <cfRule type="expression" dxfId="1592" priority="28">
      <formula>$C$9="USD"</formula>
    </cfRule>
    <cfRule type="expression" dxfId="1591" priority="29">
      <formula>$C$9="EURO"</formula>
    </cfRule>
  </conditionalFormatting>
  <conditionalFormatting sqref="L14:L33">
    <cfRule type="expression" dxfId="1590" priority="15">
      <formula>$D$9&lt;0</formula>
    </cfRule>
    <cfRule type="expression" dxfId="1589" priority="16">
      <formula>$D$9&gt;0</formula>
    </cfRule>
  </conditionalFormatting>
  <conditionalFormatting sqref="L37:L47">
    <cfRule type="expression" dxfId="1588" priority="13">
      <formula>$D$9&lt;0</formula>
    </cfRule>
    <cfRule type="expression" dxfId="1587" priority="14">
      <formula>$D$9&gt;0</formula>
    </cfRule>
  </conditionalFormatting>
  <conditionalFormatting sqref="N9 N12">
    <cfRule type="expression" dxfId="1586" priority="45">
      <formula>$C$9="PLN"</formula>
    </cfRule>
    <cfRule type="expression" dxfId="1585" priority="46">
      <formula>$C$9="CZK"</formula>
    </cfRule>
    <cfRule type="expression" dxfId="1584" priority="47">
      <formula>$C$9="USD"</formula>
    </cfRule>
    <cfRule type="expression" dxfId="1583" priority="48">
      <formula>$C$9="EURO"</formula>
    </cfRule>
  </conditionalFormatting>
  <conditionalFormatting sqref="N14:N33">
    <cfRule type="expression" dxfId="1582" priority="19">
      <formula>$C$9="PLN"</formula>
    </cfRule>
    <cfRule type="expression" dxfId="1581" priority="20">
      <formula>$C$9="CZK"</formula>
    </cfRule>
    <cfRule type="expression" dxfId="1580" priority="21">
      <formula>$C$9="USD"</formula>
    </cfRule>
    <cfRule type="expression" dxfId="1579" priority="22">
      <formula>$C$9="EURO"</formula>
    </cfRule>
  </conditionalFormatting>
  <conditionalFormatting sqref="N18:N20">
    <cfRule type="cellIs" dxfId="1578" priority="23" operator="greaterThan">
      <formula>0</formula>
    </cfRule>
  </conditionalFormatting>
  <conditionalFormatting sqref="N36:N47">
    <cfRule type="expression" dxfId="1577" priority="8">
      <formula>$C$9="PLN"</formula>
    </cfRule>
    <cfRule type="expression" dxfId="1576" priority="9">
      <formula>$C$9="CZK"</formula>
    </cfRule>
    <cfRule type="expression" dxfId="1575" priority="10">
      <formula>$C$9="USD"</formula>
    </cfRule>
    <cfRule type="expression" dxfId="1574" priority="11">
      <formula>$C$9="EURO"</formula>
    </cfRule>
  </conditionalFormatting>
  <conditionalFormatting sqref="N14:O33">
    <cfRule type="cellIs" dxfId="1573" priority="18" operator="greaterThan">
      <formula>0</formula>
    </cfRule>
  </conditionalFormatting>
  <conditionalFormatting sqref="N37:O47">
    <cfRule type="cellIs" dxfId="1572" priority="7" operator="greaterThan">
      <formula>0</formula>
    </cfRule>
  </conditionalFormatting>
  <conditionalFormatting sqref="O14:O20">
    <cfRule type="cellIs" dxfId="1571" priority="24" operator="greaterThan">
      <formula>0</formula>
    </cfRule>
  </conditionalFormatting>
  <dataValidations count="3">
    <dataValidation type="list" allowBlank="1" showInputMessage="1" showErrorMessage="1" sqref="E14:E33" xr:uid="{7736F6FF-9577-494B-8A6D-515435750E8C}">
      <formula1>"0,1,2,3,4,5,6,7,8,9,10,11,12,13,14,15,16,17,18,19,20"</formula1>
    </dataValidation>
    <dataValidation operator="greaterThan" allowBlank="1" showInputMessage="1" showErrorMessage="1" sqref="F14:F26 F30:F31" xr:uid="{76E87998-72FC-864D-B1BF-BD5CE777B6A0}"/>
    <dataValidation type="list" allowBlank="1" showInputMessage="1" showErrorMessage="1" sqref="H35" xr:uid="{AA026AB1-1115-E744-97B9-C57F80EDCED3}">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5E469A9-689F-984B-ACDE-EF953EB2B902}">
          <x14:formula1>
            <xm:f>'Base Costs'!$A$32:$A$37</xm:f>
          </x14:formula1>
          <xm:sqref>C9</xm:sqref>
        </x14:dataValidation>
        <x14:dataValidation type="list" allowBlank="1" showInputMessage="1" showErrorMessage="1" xr:uid="{68A36975-A689-8345-A556-975588500A9D}">
          <x14:formula1>
            <xm:f>'Base Costs'!$E$4:$E$213</xm:f>
          </x14:formula1>
          <xm:sqref>E37</xm:sqref>
        </x14:dataValidation>
        <x14:dataValidation type="list" allowBlank="1" showInputMessage="1" showErrorMessage="1" xr:uid="{8108E5EA-63D7-2C43-88DA-973FEA274AC2}">
          <x14:formula1>
            <xm:f>'Base Costs'!$A$4:$A$16</xm:f>
          </x14:formula1>
          <xm:sqref>E38:E39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18F03-8EB3-3E4B-A869-3889729D2EA3}">
  <sheetPr>
    <tabColor theme="8" tint="0.79998168889431442"/>
    <pageSetUpPr fitToPage="1"/>
  </sheetPr>
  <dimension ref="A1:AB310"/>
  <sheetViews>
    <sheetView showGridLines="0" topLeftCell="A3" zoomScale="80" zoomScaleNormal="80" zoomScaleSheetLayoutView="50" workbookViewId="0">
      <selection activeCell="R29" sqref="R29"/>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13"/>
      <c r="F3" s="690" t="s">
        <v>78</v>
      </c>
      <c r="G3" s="1084"/>
      <c r="H3" s="1114"/>
      <c r="I3" s="1114"/>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13"/>
      <c r="F5" s="690" t="s">
        <v>77</v>
      </c>
      <c r="G5" s="1084"/>
      <c r="H5" s="1114"/>
      <c r="I5" s="1114"/>
      <c r="J5" s="1114"/>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13"/>
      <c r="F7" s="690" t="s">
        <v>76</v>
      </c>
      <c r="G7" s="1086"/>
      <c r="H7" s="1115"/>
      <c r="I7" s="1115"/>
      <c r="J7" s="1115"/>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2"/>
      <c r="F9" s="1112"/>
      <c r="G9" s="1125"/>
      <c r="H9" s="1126"/>
      <c r="I9" s="1126"/>
      <c r="J9" s="1126"/>
      <c r="K9" s="703">
        <f>SUBTOTAL(9,K12:K197)</f>
        <v>0</v>
      </c>
      <c r="L9" s="982" t="str">
        <f>IF(O9=0,"-",O9/M9)</f>
        <v>-</v>
      </c>
      <c r="M9" s="703">
        <f>SUBTOTAL(9,M12:M197)</f>
        <v>0</v>
      </c>
      <c r="N9" s="705">
        <f>SUBTOTAL(9,N12:N197)</f>
        <v>0</v>
      </c>
      <c r="O9" s="703">
        <f>SUBTOTAL(9,O12:O197)</f>
        <v>0</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344</v>
      </c>
      <c r="C16" s="752" t="s">
        <v>347</v>
      </c>
      <c r="D16" s="735"/>
      <c r="E16" s="753" t="str">
        <f>IF(C16="","",VLOOKUP(C16,CCBASE!$A$53:$D$73,4,FALSE))</f>
        <v/>
      </c>
      <c r="F16" s="754"/>
      <c r="G16" s="749"/>
      <c r="H16" s="750"/>
      <c r="I16" s="755"/>
      <c r="J16" s="736">
        <f>IF(C16="",0,VLOOKUP(C16,CCBASE!$A$53:$C$73,2,FALSE))</f>
        <v>0</v>
      </c>
      <c r="K16" s="737">
        <f>J16*D16</f>
        <v>0</v>
      </c>
      <c r="L16" s="738">
        <v>0.35</v>
      </c>
      <c r="M16" s="739">
        <f t="shared" si="0"/>
        <v>0</v>
      </c>
      <c r="N16" s="737">
        <f>M16*VLOOKUP($B$9,'Base Costs'!$A$32:$B$37,2,FALSE)</f>
        <v>0</v>
      </c>
      <c r="O16" s="740">
        <f t="shared" si="1"/>
        <v>0</v>
      </c>
      <c r="P16" s="745"/>
      <c r="Q16" s="940"/>
      <c r="S16" s="694"/>
      <c r="Y16" s="673"/>
    </row>
    <row r="17" spans="1:26" ht="15"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customHeight="1" outlineLevel="1" x14ac:dyDescent="0.15">
      <c r="B18" s="992" t="s">
        <v>344</v>
      </c>
      <c r="C18" s="993" t="s">
        <v>1404</v>
      </c>
      <c r="D18" s="994">
        <v>0</v>
      </c>
      <c r="E18" s="995" t="str">
        <f>IF(C18="","",VLOOKUP(C18,CCBASE!$A$53:$D$73,4,FALSE))</f>
        <v>SECTION(S) OF CANOPY</v>
      </c>
      <c r="F18" s="996"/>
      <c r="G18" s="991"/>
      <c r="H18" s="997"/>
      <c r="I18" s="998"/>
      <c r="J18" s="999">
        <f>IF(C18="",0,VLOOKUP(C18,CCBASE!$A$53:$C$73,2,FALSE))</f>
        <v>50</v>
      </c>
      <c r="K18" s="1000">
        <f>J18*D18</f>
        <v>0</v>
      </c>
      <c r="L18" s="1001">
        <v>0.44</v>
      </c>
      <c r="M18" s="1002">
        <f t="shared" si="0"/>
        <v>0</v>
      </c>
      <c r="N18" s="1000">
        <f>M18*VLOOKUP($B$9,'Base Costs'!$A$32:$B$37,2,FALSE)</f>
        <v>0</v>
      </c>
      <c r="O18" s="1003">
        <f t="shared" si="1"/>
        <v>0</v>
      </c>
      <c r="P18" s="1004" t="s">
        <v>1453</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P19" t="s">
        <v>1513</v>
      </c>
      <c r="Q19" t="s">
        <v>1514</v>
      </c>
      <c r="R19" s="217"/>
      <c r="S19" s="229" t="s">
        <v>1515</v>
      </c>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K32" si="2">J24*1</f>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344</v>
      </c>
      <c r="C33" s="752" t="s">
        <v>347</v>
      </c>
      <c r="D33" s="735"/>
      <c r="E33" s="753" t="str">
        <f>IF(C33="","",VLOOKUP(C33,CCBASE!$A$53:$D$73,4,FALSE))</f>
        <v/>
      </c>
      <c r="F33" s="754"/>
      <c r="G33" s="749"/>
      <c r="H33" s="750"/>
      <c r="I33" s="755"/>
      <c r="J33" s="736">
        <f>IF(C33="",0,VLOOKUP(C33,CCBASE!$A$53:$C$73,2,FALSE))</f>
        <v>0</v>
      </c>
      <c r="K33" s="737">
        <f>J33*D33</f>
        <v>0</v>
      </c>
      <c r="L33" s="738">
        <v>0.35</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8"/>
      <c r="F35" s="119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ROUNDUP($F31/1000,0)</f>
        <v>0</v>
      </c>
      <c r="E36" s="1110" t="s">
        <v>1092</v>
      </c>
      <c r="F36" s="1196"/>
      <c r="G36" s="754"/>
      <c r="H36" s="750"/>
      <c r="I36" s="755"/>
      <c r="J36" s="736">
        <f>IF(D36=0,0,VLOOKUP(C36,'Base Costs'!$A$19:$B$22,2,FALSE))</f>
        <v>0</v>
      </c>
      <c r="K36" s="737">
        <f>J36*D36</f>
        <v>0</v>
      </c>
      <c r="L36" s="738">
        <v>0.44</v>
      </c>
      <c r="M36" s="739">
        <f t="shared" si="3"/>
        <v>0</v>
      </c>
      <c r="N36" s="737">
        <f>M36*VLOOKUP($B$9,'Base Costs'!$A$32:$B$37,2,FALSE)</f>
        <v>0</v>
      </c>
      <c r="O36" s="740">
        <f>M36-K36</f>
        <v>0</v>
      </c>
      <c r="P36" t="s">
        <v>1513</v>
      </c>
      <c r="Q36" t="s">
        <v>1514</v>
      </c>
      <c r="R36" s="217"/>
      <c r="S36" s="229" t="s">
        <v>1515</v>
      </c>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269" t="s">
        <v>344</v>
      </c>
      <c r="C50" s="752" t="s">
        <v>347</v>
      </c>
      <c r="D50" s="735"/>
      <c r="E50" s="753" t="str">
        <f>IF(C50="","",VLOOKUP(C50,CCBASE!$A$53:$D$73,4,FALSE))</f>
        <v/>
      </c>
      <c r="F50" s="754"/>
      <c r="G50" s="749"/>
      <c r="H50" s="750"/>
      <c r="I50" s="755"/>
      <c r="J50" s="736">
        <f>IF(C50="",0,VLOOKUP(C50,CCBASE!$A$53:$C$73,2,FALSE))</f>
        <v>0</v>
      </c>
      <c r="K50" s="737">
        <f>J50*D50</f>
        <v>0</v>
      </c>
      <c r="L50" s="738">
        <v>0.35</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ROUNDUP($F48/1000,0)</f>
        <v>0</v>
      </c>
      <c r="E53" s="1110" t="s">
        <v>1092</v>
      </c>
      <c r="F53" s="1196"/>
      <c r="G53" s="754"/>
      <c r="H53" s="750"/>
      <c r="I53" s="755"/>
      <c r="J53" s="736">
        <f>IF(D53=0,0,VLOOKUP(C53,'Base Costs'!$A$19:$B$22,2,FALSE))</f>
        <v>0</v>
      </c>
      <c r="K53" s="737">
        <f>J53*D53</f>
        <v>0</v>
      </c>
      <c r="L53" s="738">
        <v>0.44</v>
      </c>
      <c r="M53" s="739">
        <f t="shared" si="7"/>
        <v>0</v>
      </c>
      <c r="N53" s="737">
        <f>M53*VLOOKUP($B$9,'Base Costs'!$A$32:$B$37,2,FALSE)</f>
        <v>0</v>
      </c>
      <c r="O53" s="740">
        <f>M53-K53</f>
        <v>0</v>
      </c>
      <c r="P53" t="s">
        <v>1513</v>
      </c>
      <c r="Q53" t="s">
        <v>1514</v>
      </c>
      <c r="R53" s="217"/>
      <c r="S53" s="229" t="s">
        <v>1515</v>
      </c>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269" t="s">
        <v>344</v>
      </c>
      <c r="C67" s="752" t="s">
        <v>347</v>
      </c>
      <c r="D67" s="735"/>
      <c r="E67" s="753" t="str">
        <f>IF(C67="","",VLOOKUP(C67,CCBASE!$A$53:$D$73,4,FALSE))</f>
        <v/>
      </c>
      <c r="F67" s="754"/>
      <c r="G67" s="749"/>
      <c r="H67" s="750"/>
      <c r="I67" s="755"/>
      <c r="J67" s="736">
        <f>IF(C67="",0,VLOOKUP(C67,CCBASE!$A$53:$C$73,2,FALSE))</f>
        <v>0</v>
      </c>
      <c r="K67" s="737">
        <f>J67*D67</f>
        <v>0</v>
      </c>
      <c r="L67" s="738">
        <v>0.35</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1"/>
        <v>0</v>
      </c>
      <c r="N70" s="737">
        <f>M70*VLOOKUP($B$9,'Base Costs'!$A$32:$B$37,2,FALSE)</f>
        <v>0</v>
      </c>
      <c r="O70" s="740">
        <f>M70-K70</f>
        <v>0</v>
      </c>
      <c r="P70" t="s">
        <v>1513</v>
      </c>
      <c r="Q70" t="s">
        <v>1514</v>
      </c>
      <c r="R70" s="217"/>
      <c r="S70" s="229" t="s">
        <v>1515</v>
      </c>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217"/>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269" t="s">
        <v>344</v>
      </c>
      <c r="C84" s="752" t="s">
        <v>347</v>
      </c>
      <c r="D84" s="735"/>
      <c r="E84" s="753" t="str">
        <f>IF(C84="","",VLOOKUP(C84,CCBASE!$A$53:$D$73,4,FALSE))</f>
        <v/>
      </c>
      <c r="F84" s="754"/>
      <c r="G84" s="749"/>
      <c r="H84" s="750"/>
      <c r="I84" s="755"/>
      <c r="J84" s="736">
        <f>IF(C84="",0,VLOOKUP(C84,CCBASE!$A$53:$C$73,2,FALSE))</f>
        <v>0</v>
      </c>
      <c r="K84" s="737">
        <f>J84*D84</f>
        <v>0</v>
      </c>
      <c r="L84" s="738">
        <v>0.35</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5"/>
        <v>0</v>
      </c>
      <c r="N87" s="737">
        <f>M87*VLOOKUP($B$9,'Base Costs'!$A$32:$B$37,2,FALSE)</f>
        <v>0</v>
      </c>
      <c r="O87" s="740">
        <f>M87-K87</f>
        <v>0</v>
      </c>
      <c r="P87" t="s">
        <v>1513</v>
      </c>
      <c r="Q87" t="s">
        <v>1514</v>
      </c>
      <c r="R87" s="217"/>
      <c r="S87" s="229" t="s">
        <v>1515</v>
      </c>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269" t="s">
        <v>344</v>
      </c>
      <c r="C101" s="752" t="s">
        <v>347</v>
      </c>
      <c r="D101" s="735"/>
      <c r="E101" s="753" t="str">
        <f>IF(C101="","",VLOOKUP(C101,CCBASE!$A$53:$D$73,4,FALSE))</f>
        <v/>
      </c>
      <c r="F101" s="754"/>
      <c r="G101" s="749"/>
      <c r="H101" s="750"/>
      <c r="I101" s="755"/>
      <c r="J101" s="736">
        <f>IF(C101="",0,VLOOKUP(C101,CCBASE!$A$53:$C$73,2,FALSE))</f>
        <v>0</v>
      </c>
      <c r="K101" s="737">
        <f>J101*D101</f>
        <v>0</v>
      </c>
      <c r="L101" s="738">
        <v>0.35</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19"/>
        <v>0</v>
      </c>
      <c r="N104" s="737">
        <f>M104*VLOOKUP($B$9,'Base Costs'!$A$32:$B$37,2,FALSE)</f>
        <v>0</v>
      </c>
      <c r="O104" s="740">
        <f>M104-K104</f>
        <v>0</v>
      </c>
      <c r="P104" t="s">
        <v>1513</v>
      </c>
      <c r="Q104" t="s">
        <v>1514</v>
      </c>
      <c r="R104" s="217"/>
      <c r="S104" s="229" t="s">
        <v>1515</v>
      </c>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269" t="s">
        <v>344</v>
      </c>
      <c r="C118" s="752" t="s">
        <v>347</v>
      </c>
      <c r="D118" s="735"/>
      <c r="E118" s="753" t="str">
        <f>IF(C118="","",VLOOKUP(C118,CCBASE!$A$53:$D$73,4,FALSE))</f>
        <v/>
      </c>
      <c r="F118" s="754"/>
      <c r="G118" s="749"/>
      <c r="H118" s="750"/>
      <c r="I118" s="755"/>
      <c r="J118" s="736">
        <f>IF(C118="",0,VLOOKUP(C118,CCBASE!$A$53:$C$73,2,FALSE))</f>
        <v>0</v>
      </c>
      <c r="K118" s="737">
        <f>J118*D118</f>
        <v>0</v>
      </c>
      <c r="L118" s="738">
        <v>0.35</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3"/>
        <v>0</v>
      </c>
      <c r="N121" s="737">
        <f>M121*VLOOKUP($B$9,'Base Costs'!$A$32:$B$37,2,FALSE)</f>
        <v>0</v>
      </c>
      <c r="O121" s="740">
        <f>M121-K121</f>
        <v>0</v>
      </c>
      <c r="P121" t="s">
        <v>1513</v>
      </c>
      <c r="Q121" t="s">
        <v>1514</v>
      </c>
      <c r="R121" s="217"/>
      <c r="S121" s="229" t="s">
        <v>1515</v>
      </c>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269" t="s">
        <v>344</v>
      </c>
      <c r="C135" s="752" t="s">
        <v>347</v>
      </c>
      <c r="D135" s="735"/>
      <c r="E135" s="753" t="str">
        <f>IF(C135="","",VLOOKUP(C135,CCBASE!$A$53:$D$73,4,FALSE))</f>
        <v/>
      </c>
      <c r="F135" s="754"/>
      <c r="G135" s="749"/>
      <c r="H135" s="750"/>
      <c r="I135" s="755"/>
      <c r="J135" s="736">
        <f>IF(C135="",0,VLOOKUP(C135,CCBASE!$A$53:$C$73,2,FALSE))</f>
        <v>0</v>
      </c>
      <c r="K135" s="737">
        <f>J135*D135</f>
        <v>0</v>
      </c>
      <c r="L135" s="738">
        <v>0.35</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ROUNDUP($F133/1000,0)</f>
        <v>0</v>
      </c>
      <c r="E138" s="1110" t="s">
        <v>1092</v>
      </c>
      <c r="F138" s="1108"/>
      <c r="G138" s="754"/>
      <c r="H138" s="750"/>
      <c r="I138" s="755"/>
      <c r="J138" s="736">
        <f>IF(D138=0,0,VLOOKUP(C138,'Base Costs'!$A$19:$B$22,2,FALSE))</f>
        <v>0</v>
      </c>
      <c r="K138" s="737">
        <f>J138*D138</f>
        <v>0</v>
      </c>
      <c r="L138" s="738">
        <v>0.44</v>
      </c>
      <c r="M138" s="739">
        <f t="shared" si="27"/>
        <v>0</v>
      </c>
      <c r="N138" s="737">
        <f>M138*VLOOKUP($B$9,'Base Costs'!$A$32:$B$37,2,FALSE)</f>
        <v>0</v>
      </c>
      <c r="O138" s="740">
        <f>M138-K138</f>
        <v>0</v>
      </c>
      <c r="P138" t="s">
        <v>1513</v>
      </c>
      <c r="Q138" t="s">
        <v>1514</v>
      </c>
      <c r="R138" s="217"/>
      <c r="S138" s="229" t="s">
        <v>1515</v>
      </c>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269" t="s">
        <v>344</v>
      </c>
      <c r="C152" s="752" t="s">
        <v>347</v>
      </c>
      <c r="D152" s="735"/>
      <c r="E152" s="753" t="str">
        <f>IF(C152="","",VLOOKUP(C152,CCBASE!$A$53:$D$73,4,FALSE))</f>
        <v/>
      </c>
      <c r="F152" s="754"/>
      <c r="G152" s="749"/>
      <c r="H152" s="750"/>
      <c r="I152" s="755"/>
      <c r="J152" s="736">
        <f>IF(C152="",0,VLOOKUP(C152,CCBASE!$A$53:$C$73,2,FALSE))</f>
        <v>0</v>
      </c>
      <c r="K152" s="737">
        <f>J152*D152</f>
        <v>0</v>
      </c>
      <c r="L152" s="738">
        <v>0.35</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1"/>
        <v>0</v>
      </c>
      <c r="N155" s="737">
        <f>M155*VLOOKUP($B$9,'Base Costs'!$A$32:$B$37,2,FALSE)</f>
        <v>0</v>
      </c>
      <c r="O155" s="740">
        <f>M155-K155</f>
        <v>0</v>
      </c>
      <c r="P155" t="s">
        <v>1513</v>
      </c>
      <c r="Q155" t="s">
        <v>1514</v>
      </c>
      <c r="R155" s="217"/>
      <c r="S155" s="229" t="s">
        <v>1515</v>
      </c>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269" t="s">
        <v>344</v>
      </c>
      <c r="C169" s="752" t="s">
        <v>347</v>
      </c>
      <c r="D169" s="735"/>
      <c r="E169" s="753" t="str">
        <f>IF(C169="","",VLOOKUP(C169,CCBASE!$A$53:$D$73,4,FALSE))</f>
        <v/>
      </c>
      <c r="F169" s="754"/>
      <c r="G169" s="749"/>
      <c r="H169" s="750"/>
      <c r="I169" s="755"/>
      <c r="J169" s="736">
        <f>IF(C169="",0,VLOOKUP(C169,CCBASE!$A$53:$C$73,2,FALSE))</f>
        <v>0</v>
      </c>
      <c r="K169" s="737">
        <f>J169*D169</f>
        <v>0</v>
      </c>
      <c r="L169" s="738">
        <v>0.35</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35"/>
        <v>0</v>
      </c>
      <c r="N172" s="737">
        <f>M172*VLOOKUP($B$9,'Base Costs'!$A$32:$B$37,2,FALSE)</f>
        <v>0</v>
      </c>
      <c r="O172" s="740">
        <f>M172-K172</f>
        <v>0</v>
      </c>
      <c r="P172" t="s">
        <v>1513</v>
      </c>
      <c r="Q172" t="s">
        <v>1514</v>
      </c>
      <c r="R172" s="217"/>
      <c r="S172" s="229" t="s">
        <v>1515</v>
      </c>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IF(K182=0,"-",O182/M182)</f>
        <v>-</v>
      </c>
      <c r="M182" s="723">
        <f>SUBTOTAL(9,M183:M197)</f>
        <v>0</v>
      </c>
      <c r="N182" s="705">
        <f>SUBTOTAL(9,N183:N197)</f>
        <v>0</v>
      </c>
      <c r="O182" s="703">
        <f>SUBTOTAL(9,O183:O197)</f>
        <v>0</v>
      </c>
      <c r="S182" s="694"/>
    </row>
    <row r="183" spans="1:25" ht="15" customHeight="1" x14ac:dyDescent="0.15">
      <c r="A183" s="666">
        <v>222</v>
      </c>
      <c r="B183" s="589" t="s">
        <v>1133</v>
      </c>
      <c r="C183" s="774"/>
      <c r="D183" s="775" t="s">
        <v>48</v>
      </c>
      <c r="E183" s="1118" t="s">
        <v>732</v>
      </c>
      <c r="F183" s="1119"/>
      <c r="G183" s="1109"/>
      <c r="H183" s="1109"/>
      <c r="I183" s="110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7"/>
      <c r="F186" s="1108"/>
      <c r="G186" s="1109"/>
      <c r="H186" s="1109"/>
      <c r="I186" s="110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6" t="s">
        <v>1495</v>
      </c>
      <c r="E193" s="1117"/>
      <c r="F193" s="111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1570" priority="687" operator="containsText" text="SELECT">
      <formula>NOT(ISERROR(SEARCH("SELECT",B9)))</formula>
    </cfRule>
    <cfRule type="expression" dxfId="1569" priority="688">
      <formula>B9="CURRENCY"</formula>
    </cfRule>
  </conditionalFormatting>
  <conditionalFormatting sqref="B11">
    <cfRule type="expression" dxfId="1568" priority="650">
      <formula>$B11&lt;&gt;""</formula>
    </cfRule>
  </conditionalFormatting>
  <conditionalFormatting sqref="B14:B23">
    <cfRule type="expression" dxfId="1567" priority="642">
      <formula>$J14&gt;0</formula>
    </cfRule>
  </conditionalFormatting>
  <conditionalFormatting sqref="B24">
    <cfRule type="expression" dxfId="1566" priority="639">
      <formula>ISNUMBER(SEARCH("UV",$D14))</formula>
    </cfRule>
    <cfRule type="expression" dxfId="1565" priority="640">
      <formula>($D14="CANOPY TYPE")</formula>
    </cfRule>
  </conditionalFormatting>
  <conditionalFormatting sqref="B25:B27">
    <cfRule type="expression" dxfId="1564" priority="455">
      <formula>$J25&gt;0</formula>
    </cfRule>
  </conditionalFormatting>
  <conditionalFormatting sqref="B28">
    <cfRule type="expression" dxfId="1563" priority="648">
      <formula>$B28&lt;&gt;""</formula>
    </cfRule>
  </conditionalFormatting>
  <conditionalFormatting sqref="B31:B32 B34:B40">
    <cfRule type="expression" dxfId="1562" priority="400">
      <formula>$J31&gt;0</formula>
    </cfRule>
  </conditionalFormatting>
  <conditionalFormatting sqref="B41">
    <cfRule type="expression" dxfId="1561" priority="607">
      <formula>ISNUMBER(SEARCH("UV",$D31))</formula>
    </cfRule>
    <cfRule type="expression" dxfId="1560" priority="608">
      <formula>($D31="CANOPY TYPE")</formula>
    </cfRule>
  </conditionalFormatting>
  <conditionalFormatting sqref="B42:B44">
    <cfRule type="expression" dxfId="1559" priority="609">
      <formula>$J42&gt;0</formula>
    </cfRule>
  </conditionalFormatting>
  <conditionalFormatting sqref="B45">
    <cfRule type="expression" dxfId="1558" priority="647">
      <formula>$B45&lt;&gt;""</formula>
    </cfRule>
  </conditionalFormatting>
  <conditionalFormatting sqref="B48:B49 B51:B57">
    <cfRule type="expression" dxfId="1557" priority="374">
      <formula>$J48&gt;0</formula>
    </cfRule>
  </conditionalFormatting>
  <conditionalFormatting sqref="B58">
    <cfRule type="expression" dxfId="1556" priority="577">
      <formula>ISNUMBER(SEARCH("UV",$D48))</formula>
    </cfRule>
    <cfRule type="expression" dxfId="1555" priority="578">
      <formula>($D48="CANOPY TYPE")</formula>
    </cfRule>
  </conditionalFormatting>
  <conditionalFormatting sqref="B59:B61">
    <cfRule type="expression" dxfId="1554" priority="454">
      <formula>$J59&gt;0</formula>
    </cfRule>
  </conditionalFormatting>
  <conditionalFormatting sqref="B62">
    <cfRule type="expression" dxfId="1553" priority="646">
      <formula>$B62&lt;&gt;""</formula>
    </cfRule>
  </conditionalFormatting>
  <conditionalFormatting sqref="B65:B66 B68:B74">
    <cfRule type="expression" dxfId="1552" priority="348">
      <formula>$J65&gt;0</formula>
    </cfRule>
  </conditionalFormatting>
  <conditionalFormatting sqref="B75">
    <cfRule type="expression" dxfId="1551" priority="546">
      <formula>ISNUMBER(SEARCH("UV",$D65))</formula>
    </cfRule>
    <cfRule type="expression" dxfId="1550" priority="547">
      <formula>($D65="CANOPY TYPE")</formula>
    </cfRule>
  </conditionalFormatting>
  <conditionalFormatting sqref="B76:B78">
    <cfRule type="expression" dxfId="1549" priority="453">
      <formula>$J76&gt;0</formula>
    </cfRule>
  </conditionalFormatting>
  <conditionalFormatting sqref="B79">
    <cfRule type="expression" dxfId="1548" priority="645">
      <formula>$B79&lt;&gt;""</formula>
    </cfRule>
  </conditionalFormatting>
  <conditionalFormatting sqref="B82:B83 B85:B91">
    <cfRule type="expression" dxfId="1547" priority="322">
      <formula>$J82&gt;0</formula>
    </cfRule>
  </conditionalFormatting>
  <conditionalFormatting sqref="B92">
    <cfRule type="expression" dxfId="1546" priority="514">
      <formula>ISNUMBER(SEARCH("UV",$D82))</formula>
    </cfRule>
    <cfRule type="expression" dxfId="1545" priority="515">
      <formula>($D82="CANOPY TYPE")</formula>
    </cfRule>
  </conditionalFormatting>
  <conditionalFormatting sqref="B93:B95">
    <cfRule type="expression" dxfId="1544" priority="452">
      <formula>$J93&gt;0</formula>
    </cfRule>
  </conditionalFormatting>
  <conditionalFormatting sqref="B96">
    <cfRule type="expression" dxfId="1543" priority="644">
      <formula>$B96&lt;&gt;""</formula>
    </cfRule>
  </conditionalFormatting>
  <conditionalFormatting sqref="B99:B100 B102:B108">
    <cfRule type="expression" dxfId="1542" priority="296">
      <formula>$J99&gt;0</formula>
    </cfRule>
  </conditionalFormatting>
  <conditionalFormatting sqref="B109">
    <cfRule type="expression" dxfId="1541" priority="483">
      <formula>ISNUMBER(SEARCH("UV",$D99))</formula>
    </cfRule>
    <cfRule type="expression" dxfId="1540" priority="484">
      <formula>($D99="CANOPY TYPE")</formula>
    </cfRule>
  </conditionalFormatting>
  <conditionalFormatting sqref="B110:B112 B127:B129 B144:B146 B161:B163 B178:B180">
    <cfRule type="expression" dxfId="1539" priority="451">
      <formula>$J110&gt;0</formula>
    </cfRule>
  </conditionalFormatting>
  <conditionalFormatting sqref="B113">
    <cfRule type="expression" dxfId="1538" priority="288">
      <formula>$B113&lt;&gt;""</formula>
    </cfRule>
  </conditionalFormatting>
  <conditionalFormatting sqref="B116:B117 B119:B125">
    <cfRule type="expression" dxfId="1537" priority="231">
      <formula>$J116&gt;0</formula>
    </cfRule>
  </conditionalFormatting>
  <conditionalFormatting sqref="B126">
    <cfRule type="expression" dxfId="1536" priority="260">
      <formula>ISNUMBER(SEARCH("UV",$D116))</formula>
    </cfRule>
    <cfRule type="expression" dxfId="1535" priority="261">
      <formula>($D116="CANOPY TYPE")</formula>
    </cfRule>
  </conditionalFormatting>
  <conditionalFormatting sqref="B130">
    <cfRule type="expression" dxfId="1534" priority="219">
      <formula>$B130&lt;&gt;""</formula>
    </cfRule>
  </conditionalFormatting>
  <conditionalFormatting sqref="B133:B134 B136:B142">
    <cfRule type="expression" dxfId="1533" priority="168">
      <formula>$J133&gt;0</formula>
    </cfRule>
  </conditionalFormatting>
  <conditionalFormatting sqref="B143">
    <cfRule type="expression" dxfId="1532" priority="191">
      <formula>ISNUMBER(SEARCH("UV",$D133))</formula>
    </cfRule>
    <cfRule type="expression" dxfId="1531" priority="192">
      <formula>($D133="CANOPY TYPE")</formula>
    </cfRule>
  </conditionalFormatting>
  <conditionalFormatting sqref="B147">
    <cfRule type="expression" dxfId="1530" priority="164">
      <formula>$B147&lt;&gt;""</formula>
    </cfRule>
  </conditionalFormatting>
  <conditionalFormatting sqref="B150:B151 B153:B159">
    <cfRule type="expression" dxfId="1529" priority="113">
      <formula>$J150&gt;0</formula>
    </cfRule>
  </conditionalFormatting>
  <conditionalFormatting sqref="B160">
    <cfRule type="expression" dxfId="1528" priority="136">
      <formula>ISNUMBER(SEARCH("UV",$D150))</formula>
    </cfRule>
    <cfRule type="expression" dxfId="1527" priority="137">
      <formula>($D150="CANOPY TYPE")</formula>
    </cfRule>
  </conditionalFormatting>
  <conditionalFormatting sqref="B164">
    <cfRule type="expression" dxfId="1526" priority="109">
      <formula>$B164&lt;&gt;""</formula>
    </cfRule>
  </conditionalFormatting>
  <conditionalFormatting sqref="B167:B168 B170:B176">
    <cfRule type="expression" dxfId="1525" priority="58">
      <formula>$J167&gt;0</formula>
    </cfRule>
  </conditionalFormatting>
  <conditionalFormatting sqref="B177">
    <cfRule type="expression" dxfId="1524" priority="81">
      <formula>ISNUMBER(SEARCH("UV",$D167))</formula>
    </cfRule>
    <cfRule type="expression" dxfId="1523" priority="82">
      <formula>($D167="CANOPY TYPE")</formula>
    </cfRule>
  </conditionalFormatting>
  <conditionalFormatting sqref="B183:B197">
    <cfRule type="expression" dxfId="1522" priority="641">
      <formula>$C183&gt;0</formula>
    </cfRule>
  </conditionalFormatting>
  <conditionalFormatting sqref="C14">
    <cfRule type="containsText" dxfId="1521" priority="441" operator="containsText" text="CONFIG">
      <formula>NOT(ISERROR(SEARCH("CONFIG",C14)))</formula>
    </cfRule>
  </conditionalFormatting>
  <conditionalFormatting sqref="C15">
    <cfRule type="containsText" dxfId="1520" priority="446" operator="containsText" text="LIGHT SELECTION">
      <formula>NOT(ISERROR(SEARCH("LIGHT SELECTION",C15)))</formula>
    </cfRule>
  </conditionalFormatting>
  <conditionalFormatting sqref="C20:C21">
    <cfRule type="cellIs" dxfId="1517" priority="693" operator="lessThan">
      <formula>1</formula>
    </cfRule>
  </conditionalFormatting>
  <conditionalFormatting sqref="C22:C23">
    <cfRule type="expression" dxfId="1516" priority="421">
      <formula>D22="WW PODS"</formula>
    </cfRule>
  </conditionalFormatting>
  <conditionalFormatting sqref="C24">
    <cfRule type="expression" dxfId="1515" priority="710">
      <formula>ISNUMBER(SEARCH("UV",D14))</formula>
    </cfRule>
  </conditionalFormatting>
  <conditionalFormatting sqref="C25">
    <cfRule type="expression" dxfId="1514" priority="675">
      <formula>(ISNUMBER(SEARCH("CMW",D14)))=TRUE</formula>
    </cfRule>
  </conditionalFormatting>
  <conditionalFormatting sqref="C26">
    <cfRule type="expression" dxfId="1513" priority="674">
      <formula>(ISNUMBER(SEARCH("CMW",D14)))=TRUE</formula>
    </cfRule>
  </conditionalFormatting>
  <conditionalFormatting sqref="C27">
    <cfRule type="expression" dxfId="1512" priority="643">
      <formula>(ISNUMBER(SEARCH("CMW",$D14)))=TRUE</formula>
    </cfRule>
  </conditionalFormatting>
  <conditionalFormatting sqref="C31">
    <cfRule type="containsText" dxfId="1511" priority="618" operator="containsText" text="CONFIG">
      <formula>NOT(ISERROR(SEARCH("CONFIG",C31)))</formula>
    </cfRule>
  </conditionalFormatting>
  <conditionalFormatting sqref="C32">
    <cfRule type="containsText" dxfId="1510" priority="448" operator="containsText" text="LIGHT SELECTION">
      <formula>NOT(ISERROR(SEARCH("LIGHT SELECTION",C32)))</formula>
    </cfRule>
  </conditionalFormatting>
  <conditionalFormatting sqref="C37:C38">
    <cfRule type="cellIs" dxfId="1507" priority="617" operator="lessThan">
      <formula>1</formula>
    </cfRule>
  </conditionalFormatting>
  <conditionalFormatting sqref="C39:C40">
    <cfRule type="expression" dxfId="1506" priority="399">
      <formula>D39="WW PODS"</formula>
    </cfRule>
  </conditionalFormatting>
  <conditionalFormatting sqref="C41">
    <cfRule type="expression" dxfId="1505" priority="632">
      <formula>ISNUMBER(SEARCH("UV",D31))</formula>
    </cfRule>
  </conditionalFormatting>
  <conditionalFormatting sqref="C42">
    <cfRule type="expression" dxfId="1504" priority="615">
      <formula>(ISNUMBER(SEARCH("CMW",D31)))=TRUE</formula>
    </cfRule>
  </conditionalFormatting>
  <conditionalFormatting sqref="C43">
    <cfRule type="expression" dxfId="1503" priority="480">
      <formula>(ISNUMBER(SEARCH("CMW",D31)))=TRUE</formula>
    </cfRule>
  </conditionalFormatting>
  <conditionalFormatting sqref="C44">
    <cfRule type="expression" dxfId="1502" priority="610">
      <formula>(ISNUMBER(SEARCH("CMW",$D31)))=TRUE</formula>
    </cfRule>
  </conditionalFormatting>
  <conditionalFormatting sqref="C48">
    <cfRule type="containsText" dxfId="1501" priority="587" operator="containsText" text="CONFIG">
      <formula>NOT(ISERROR(SEARCH("CONFIG",C48)))</formula>
    </cfRule>
  </conditionalFormatting>
  <conditionalFormatting sqref="C49">
    <cfRule type="containsText" dxfId="1500" priority="445" operator="containsText" text="LIGHT SELECTION">
      <formula>NOT(ISERROR(SEARCH("LIGHT SELECTION",C49)))</formula>
    </cfRule>
  </conditionalFormatting>
  <conditionalFormatting sqref="C54:C55">
    <cfRule type="cellIs" dxfId="1497" priority="586" operator="lessThan">
      <formula>1</formula>
    </cfRule>
  </conditionalFormatting>
  <conditionalFormatting sqref="C56:C57">
    <cfRule type="expression" dxfId="1496" priority="373">
      <formula>D56="WW PODS"</formula>
    </cfRule>
  </conditionalFormatting>
  <conditionalFormatting sqref="C58">
    <cfRule type="expression" dxfId="1495" priority="600">
      <formula>ISNUMBER(SEARCH("UV",D48))</formula>
    </cfRule>
  </conditionalFormatting>
  <conditionalFormatting sqref="C59">
    <cfRule type="expression" dxfId="1494" priority="584">
      <formula>(ISNUMBER(SEARCH("CMW",D48)))=TRUE</formula>
    </cfRule>
  </conditionalFormatting>
  <conditionalFormatting sqref="C60">
    <cfRule type="expression" dxfId="1493" priority="479">
      <formula>(ISNUMBER(SEARCH("CMW",D48)))=TRUE</formula>
    </cfRule>
  </conditionalFormatting>
  <conditionalFormatting sqref="C61">
    <cfRule type="expression" dxfId="1492" priority="579">
      <formula>(ISNUMBER(SEARCH("CMW",$D48)))=TRUE</formula>
    </cfRule>
  </conditionalFormatting>
  <conditionalFormatting sqref="C65">
    <cfRule type="containsText" dxfId="1491" priority="557" operator="containsText" text="CONFIG">
      <formula>NOT(ISERROR(SEARCH("CONFIG",C65)))</formula>
    </cfRule>
  </conditionalFormatting>
  <conditionalFormatting sqref="C66">
    <cfRule type="containsText" dxfId="1490" priority="444" operator="containsText" text="LIGHT SELECTION">
      <formula>NOT(ISERROR(SEARCH("LIGHT SELECTION",C66)))</formula>
    </cfRule>
  </conditionalFormatting>
  <conditionalFormatting sqref="C71:C72">
    <cfRule type="cellIs" dxfId="1487" priority="556" operator="lessThan">
      <formula>1</formula>
    </cfRule>
  </conditionalFormatting>
  <conditionalFormatting sqref="C73:C74">
    <cfRule type="expression" dxfId="1486" priority="347">
      <formula>D73="WW PODS"</formula>
    </cfRule>
  </conditionalFormatting>
  <conditionalFormatting sqref="C75">
    <cfRule type="expression" dxfId="1485" priority="570">
      <formula>ISNUMBER(SEARCH("UV",D65))</formula>
    </cfRule>
  </conditionalFormatting>
  <conditionalFormatting sqref="C76">
    <cfRule type="expression" dxfId="1484" priority="553">
      <formula>(ISNUMBER(SEARCH("CMW",D65)))=TRUE</formula>
    </cfRule>
  </conditionalFormatting>
  <conditionalFormatting sqref="C77">
    <cfRule type="expression" dxfId="1483" priority="478">
      <formula>(ISNUMBER(SEARCH("CMW",D65)))=TRUE</formula>
    </cfRule>
  </conditionalFormatting>
  <conditionalFormatting sqref="C78">
    <cfRule type="expression" dxfId="1482" priority="548">
      <formula>(ISNUMBER(SEARCH("CMW",$D65)))=TRUE</formula>
    </cfRule>
  </conditionalFormatting>
  <conditionalFormatting sqref="C82">
    <cfRule type="containsText" dxfId="1481" priority="525" operator="containsText" text="CONFIG">
      <formula>NOT(ISERROR(SEARCH("CONFIG",C82)))</formula>
    </cfRule>
  </conditionalFormatting>
  <conditionalFormatting sqref="C83">
    <cfRule type="containsText" dxfId="1480" priority="443" operator="containsText" text="LIGHT SELECTION">
      <formula>NOT(ISERROR(SEARCH("LIGHT SELECTION",C83)))</formula>
    </cfRule>
  </conditionalFormatting>
  <conditionalFormatting sqref="C88:C89">
    <cfRule type="cellIs" dxfId="1477" priority="524" operator="lessThan">
      <formula>1</formula>
    </cfRule>
  </conditionalFormatting>
  <conditionalFormatting sqref="C90:C91">
    <cfRule type="expression" dxfId="1476" priority="321">
      <formula>D90="WW PODS"</formula>
    </cfRule>
  </conditionalFormatting>
  <conditionalFormatting sqref="C92">
    <cfRule type="expression" dxfId="1475" priority="539">
      <formula>ISNUMBER(SEARCH("UV",D82))</formula>
    </cfRule>
  </conditionalFormatting>
  <conditionalFormatting sqref="C93">
    <cfRule type="expression" dxfId="1474" priority="521">
      <formula>(ISNUMBER(SEARCH("CMW",D82)))=TRUE</formula>
    </cfRule>
  </conditionalFormatting>
  <conditionalFormatting sqref="C94">
    <cfRule type="expression" dxfId="1473" priority="477">
      <formula>(ISNUMBER(SEARCH("CMW",D82)))=TRUE</formula>
    </cfRule>
  </conditionalFormatting>
  <conditionalFormatting sqref="C95">
    <cfRule type="expression" dxfId="1472" priority="516">
      <formula>(ISNUMBER(SEARCH("CMW",$D82)))=TRUE</formula>
    </cfRule>
  </conditionalFormatting>
  <conditionalFormatting sqref="C99">
    <cfRule type="containsText" dxfId="1471" priority="493" operator="containsText" text="CONFIG">
      <formula>NOT(ISERROR(SEARCH("CONFIG",C99)))</formula>
    </cfRule>
  </conditionalFormatting>
  <conditionalFormatting sqref="C100">
    <cfRule type="containsText" dxfId="1470" priority="442" operator="containsText" text="LIGHT SELECTION">
      <formula>NOT(ISERROR(SEARCH("LIGHT SELECTION",C100)))</formula>
    </cfRule>
  </conditionalFormatting>
  <conditionalFormatting sqref="C105:C106">
    <cfRule type="cellIs" dxfId="1467" priority="492" operator="lessThan">
      <formula>1</formula>
    </cfRule>
  </conditionalFormatting>
  <conditionalFormatting sqref="C107:C108">
    <cfRule type="expression" dxfId="1466" priority="295">
      <formula>D107="WW PODS"</formula>
    </cfRule>
  </conditionalFormatting>
  <conditionalFormatting sqref="C109">
    <cfRule type="expression" dxfId="1465" priority="507">
      <formula>ISNUMBER(SEARCH("UV",D99))</formula>
    </cfRule>
  </conditionalFormatting>
  <conditionalFormatting sqref="C110">
    <cfRule type="expression" dxfId="1464" priority="490">
      <formula>(ISNUMBER(SEARCH("CMW",D99)))=TRUE</formula>
    </cfRule>
  </conditionalFormatting>
  <conditionalFormatting sqref="C111">
    <cfRule type="expression" dxfId="1463" priority="476">
      <formula>(ISNUMBER(SEARCH("CMW",D99)))=TRUE</formula>
    </cfRule>
  </conditionalFormatting>
  <conditionalFormatting sqref="C112 C129 C146 C163 C180">
    <cfRule type="expression" dxfId="1462" priority="485">
      <formula>(ISNUMBER(SEARCH("CMW",$D99)))=TRUE</formula>
    </cfRule>
  </conditionalFormatting>
  <conditionalFormatting sqref="C116">
    <cfRule type="containsText" dxfId="1461" priority="269" operator="containsText" text="CONFIG">
      <formula>NOT(ISERROR(SEARCH("CONFIG",C116)))</formula>
    </cfRule>
  </conditionalFormatting>
  <conditionalFormatting sqref="C117">
    <cfRule type="containsText" dxfId="1460" priority="253" operator="containsText" text="LIGHT SELECTION">
      <formula>NOT(ISERROR(SEARCH("LIGHT SELECTION",C117)))</formula>
    </cfRule>
  </conditionalFormatting>
  <conditionalFormatting sqref="C122:C123">
    <cfRule type="cellIs" dxfId="1457" priority="268" operator="lessThan">
      <formula>1</formula>
    </cfRule>
  </conditionalFormatting>
  <conditionalFormatting sqref="C124:C125">
    <cfRule type="expression" dxfId="1456" priority="230">
      <formula>D124="WW PODS"</formula>
    </cfRule>
  </conditionalFormatting>
  <conditionalFormatting sqref="C126">
    <cfRule type="expression" dxfId="1455" priority="283">
      <formula>ISNUMBER(SEARCH("UV",D116))</formula>
    </cfRule>
  </conditionalFormatting>
  <conditionalFormatting sqref="C127">
    <cfRule type="expression" dxfId="1454" priority="266">
      <formula>(ISNUMBER(SEARCH("CMW",D116)))=TRUE</formula>
    </cfRule>
  </conditionalFormatting>
  <conditionalFormatting sqref="C128">
    <cfRule type="expression" dxfId="1453" priority="258">
      <formula>(ISNUMBER(SEARCH("CMW",D116)))=TRUE</formula>
    </cfRule>
  </conditionalFormatting>
  <conditionalFormatting sqref="C133">
    <cfRule type="containsText" dxfId="1452" priority="200" operator="containsText" text="CONFIG">
      <formula>NOT(ISERROR(SEARCH("CONFIG",C133)))</formula>
    </cfRule>
  </conditionalFormatting>
  <conditionalFormatting sqref="C134">
    <cfRule type="containsText" dxfId="1451" priority="184" operator="containsText" text="LIGHT SELECTION">
      <formula>NOT(ISERROR(SEARCH("LIGHT SELECTION",C134)))</formula>
    </cfRule>
  </conditionalFormatting>
  <conditionalFormatting sqref="C139:C140">
    <cfRule type="cellIs" dxfId="1448" priority="199" operator="lessThan">
      <formula>1</formula>
    </cfRule>
  </conditionalFormatting>
  <conditionalFormatting sqref="C141:C142">
    <cfRule type="expression" dxfId="1447" priority="167">
      <formula>D141="WW PODS"</formula>
    </cfRule>
  </conditionalFormatting>
  <conditionalFormatting sqref="C143">
    <cfRule type="expression" dxfId="1446" priority="214">
      <formula>ISNUMBER(SEARCH("UV",D133))</formula>
    </cfRule>
  </conditionalFormatting>
  <conditionalFormatting sqref="C144">
    <cfRule type="expression" dxfId="1445" priority="197">
      <formula>(ISNUMBER(SEARCH("CMW",D133)))=TRUE</formula>
    </cfRule>
  </conditionalFormatting>
  <conditionalFormatting sqref="C145">
    <cfRule type="expression" dxfId="1444" priority="189">
      <formula>(ISNUMBER(SEARCH("CMW",D133)))=TRUE</formula>
    </cfRule>
  </conditionalFormatting>
  <conditionalFormatting sqref="C150">
    <cfRule type="containsText" dxfId="1443" priority="145" operator="containsText" text="CONFIG">
      <formula>NOT(ISERROR(SEARCH("CONFIG",C150)))</formula>
    </cfRule>
  </conditionalFormatting>
  <conditionalFormatting sqref="C151">
    <cfRule type="containsText" dxfId="1442" priority="129" operator="containsText" text="LIGHT SELECTION">
      <formula>NOT(ISERROR(SEARCH("LIGHT SELECTION",C151)))</formula>
    </cfRule>
  </conditionalFormatting>
  <conditionalFormatting sqref="C156:C157">
    <cfRule type="cellIs" dxfId="1439" priority="144" operator="lessThan">
      <formula>1</formula>
    </cfRule>
  </conditionalFormatting>
  <conditionalFormatting sqref="C158:C159">
    <cfRule type="expression" dxfId="1438" priority="112">
      <formula>D158="WW PODS"</formula>
    </cfRule>
  </conditionalFormatting>
  <conditionalFormatting sqref="C160">
    <cfRule type="expression" dxfId="1437" priority="159">
      <formula>ISNUMBER(SEARCH("UV",D150))</formula>
    </cfRule>
  </conditionalFormatting>
  <conditionalFormatting sqref="C161">
    <cfRule type="expression" dxfId="1436" priority="142">
      <formula>(ISNUMBER(SEARCH("CMW",D150)))=TRUE</formula>
    </cfRule>
  </conditionalFormatting>
  <conditionalFormatting sqref="C162">
    <cfRule type="expression" dxfId="1435" priority="134">
      <formula>(ISNUMBER(SEARCH("CMW",D150)))=TRUE</formula>
    </cfRule>
  </conditionalFormatting>
  <conditionalFormatting sqref="C167">
    <cfRule type="containsText" dxfId="1434" priority="90" operator="containsText" text="CONFIG">
      <formula>NOT(ISERROR(SEARCH("CONFIG",C167)))</formula>
    </cfRule>
  </conditionalFormatting>
  <conditionalFormatting sqref="C168">
    <cfRule type="containsText" dxfId="1433" priority="74" operator="containsText" text="LIGHT SELECTION">
      <formula>NOT(ISERROR(SEARCH("LIGHT SELECTION",C168)))</formula>
    </cfRule>
  </conditionalFormatting>
  <conditionalFormatting sqref="C173:C174">
    <cfRule type="cellIs" dxfId="1430" priority="89" operator="lessThan">
      <formula>1</formula>
    </cfRule>
  </conditionalFormatting>
  <conditionalFormatting sqref="C175:C176">
    <cfRule type="expression" dxfId="1429" priority="57">
      <formula>D175="WW PODS"</formula>
    </cfRule>
  </conditionalFormatting>
  <conditionalFormatting sqref="C177">
    <cfRule type="expression" dxfId="1428" priority="104">
      <formula>ISNUMBER(SEARCH("UV",D167))</formula>
    </cfRule>
  </conditionalFormatting>
  <conditionalFormatting sqref="C178">
    <cfRule type="expression" dxfId="1427" priority="87">
      <formula>(ISNUMBER(SEARCH("CMW",D167)))=TRUE</formula>
    </cfRule>
  </conditionalFormatting>
  <conditionalFormatting sqref="C179">
    <cfRule type="expression" dxfId="1426" priority="79">
      <formula>(ISNUMBER(SEARCH("CMW",D167)))=TRUE</formula>
    </cfRule>
  </conditionalFormatting>
  <conditionalFormatting sqref="C183:C184">
    <cfRule type="cellIs" dxfId="1425" priority="695" operator="lessThan">
      <formula>1</formula>
    </cfRule>
  </conditionalFormatting>
  <conditionalFormatting sqref="C185">
    <cfRule type="cellIs" dxfId="1424" priority="684" operator="lessThan">
      <formula>1</formula>
    </cfRule>
  </conditionalFormatting>
  <conditionalFormatting sqref="C186:C197">
    <cfRule type="cellIs" dxfId="1423" priority="224" operator="lessThan">
      <formula>1</formula>
    </cfRule>
  </conditionalFormatting>
  <conditionalFormatting sqref="C9:D9">
    <cfRule type="cellIs" dxfId="1422" priority="685" operator="lessThan">
      <formula>0</formula>
    </cfRule>
    <cfRule type="cellIs" dxfId="1421" priority="686" operator="greaterThan">
      <formula>0</formula>
    </cfRule>
  </conditionalFormatting>
  <conditionalFormatting sqref="D14">
    <cfRule type="containsText" dxfId="1420" priority="696" operator="containsText" text="CANOPY TYPE">
      <formula>NOT(ISERROR(SEARCH("CANOPY TYPE",D14)))</formula>
    </cfRule>
  </conditionalFormatting>
  <conditionalFormatting sqref="D15">
    <cfRule type="expression" dxfId="1419" priority="437">
      <formula>(C15="LIGHT SELECTION")</formula>
    </cfRule>
  </conditionalFormatting>
  <conditionalFormatting sqref="D16:D18">
    <cfRule type="expression" dxfId="1418" priority="651">
      <formula>($C16="SELECT WORKS")</formula>
    </cfRule>
  </conditionalFormatting>
  <conditionalFormatting sqref="D19">
    <cfRule type="expression" dxfId="1417" priority="223">
      <formula>$C19="SELECT CLADDING"</formula>
    </cfRule>
  </conditionalFormatting>
  <conditionalFormatting sqref="D22:D23">
    <cfRule type="expression" dxfId="1416" priority="420">
      <formula>($D$14="CANOPY TYPE")</formula>
    </cfRule>
  </conditionalFormatting>
  <conditionalFormatting sqref="D24">
    <cfRule type="expression" dxfId="1415" priority="709">
      <formula>ISNUMBER(SEARCH("UV",D14))</formula>
    </cfRule>
  </conditionalFormatting>
  <conditionalFormatting sqref="D25">
    <cfRule type="expression" dxfId="1414" priority="637">
      <formula>($D$14="CANOPY TYPE")</formula>
    </cfRule>
  </conditionalFormatting>
  <conditionalFormatting sqref="D26">
    <cfRule type="expression" dxfId="1413" priority="659">
      <formula>(ISNUMBER(SEARCH("CMW",D14)))=TRUE</formula>
    </cfRule>
  </conditionalFormatting>
  <conditionalFormatting sqref="D31">
    <cfRule type="containsText" dxfId="1412" priority="619" operator="containsText" text="CANOPY TYPE">
      <formula>NOT(ISERROR(SEARCH("CANOPY TYPE",D31)))</formula>
    </cfRule>
  </conditionalFormatting>
  <conditionalFormatting sqref="D32">
    <cfRule type="expression" dxfId="1411" priority="450">
      <formula>(C32="LIGHT SELECTION")</formula>
    </cfRule>
  </conditionalFormatting>
  <conditionalFormatting sqref="D34:D35">
    <cfRule type="expression" dxfId="1410" priority="612">
      <formula>($C34="SELECT WORKS")</formula>
    </cfRule>
  </conditionalFormatting>
  <conditionalFormatting sqref="D36">
    <cfRule type="expression" dxfId="1409" priority="429">
      <formula>$C36="SELECT CLADDING"</formula>
    </cfRule>
  </conditionalFormatting>
  <conditionalFormatting sqref="D39:D40">
    <cfRule type="expression" dxfId="1408" priority="394">
      <formula>($D$14="CANOPY TYPE")</formula>
    </cfRule>
  </conditionalFormatting>
  <conditionalFormatting sqref="D41">
    <cfRule type="expression" dxfId="1407" priority="631">
      <formula>ISNUMBER(SEARCH("UV",D31))</formula>
    </cfRule>
  </conditionalFormatting>
  <conditionalFormatting sqref="D42">
    <cfRule type="expression" dxfId="1406" priority="605">
      <formula>($D$14="CANOPY TYPE")</formula>
    </cfRule>
  </conditionalFormatting>
  <conditionalFormatting sqref="D43">
    <cfRule type="expression" dxfId="1405" priority="614">
      <formula>(ISNUMBER(SEARCH("CMW",D31)))=TRUE</formula>
    </cfRule>
  </conditionalFormatting>
  <conditionalFormatting sqref="D48">
    <cfRule type="containsText" dxfId="1404" priority="432" operator="containsText" text="CANOPY TYPE">
      <formula>NOT(ISERROR(SEARCH("CANOPY TYPE",D48)))</formula>
    </cfRule>
  </conditionalFormatting>
  <conditionalFormatting sqref="D49">
    <cfRule type="expression" dxfId="1403" priority="447">
      <formula>(C15="LIGHT SELECTION")</formula>
    </cfRule>
  </conditionalFormatting>
  <conditionalFormatting sqref="D51:D52">
    <cfRule type="expression" dxfId="1402" priority="581">
      <formula>($C51="SELECT WORKS")</formula>
    </cfRule>
  </conditionalFormatting>
  <conditionalFormatting sqref="D53">
    <cfRule type="expression" dxfId="1401" priority="430">
      <formula>$C53="SELECT CLADDING"</formula>
    </cfRule>
  </conditionalFormatting>
  <conditionalFormatting sqref="D56:D57">
    <cfRule type="expression" dxfId="1400" priority="368">
      <formula>($D$14="CANOPY TYPE")</formula>
    </cfRule>
  </conditionalFormatting>
  <conditionalFormatting sqref="D58">
    <cfRule type="expression" dxfId="1399" priority="599">
      <formula>ISNUMBER(SEARCH("UV",D48))</formula>
    </cfRule>
  </conditionalFormatting>
  <conditionalFormatting sqref="D59">
    <cfRule type="expression" dxfId="1398" priority="575">
      <formula>($D$14="CANOPY TYPE")</formula>
    </cfRule>
  </conditionalFormatting>
  <conditionalFormatting sqref="D60">
    <cfRule type="expression" dxfId="1397" priority="583">
      <formula>(ISNUMBER(SEARCH("CMW",D48)))=TRUE</formula>
    </cfRule>
  </conditionalFormatting>
  <conditionalFormatting sqref="D65">
    <cfRule type="containsText" dxfId="1396" priority="431" operator="containsText" text="CANOPY TYPE">
      <formula>NOT(ISERROR(SEARCH("CANOPY TYPE",D65)))</formula>
    </cfRule>
  </conditionalFormatting>
  <conditionalFormatting sqref="D66">
    <cfRule type="expression" dxfId="1395" priority="440">
      <formula>(C66="LIGHT SELECTION")</formula>
    </cfRule>
  </conditionalFormatting>
  <conditionalFormatting sqref="D68:D69">
    <cfRule type="expression" dxfId="1394" priority="550">
      <formula>($C68="SELECT WORKS")</formula>
    </cfRule>
  </conditionalFormatting>
  <conditionalFormatting sqref="D70">
    <cfRule type="expression" dxfId="1393" priority="554">
      <formula>$C70="SELECT CLADDING"</formula>
    </cfRule>
  </conditionalFormatting>
  <conditionalFormatting sqref="D73:D74">
    <cfRule type="expression" dxfId="1392" priority="342">
      <formula>($D$14="CANOPY TYPE")</formula>
    </cfRule>
  </conditionalFormatting>
  <conditionalFormatting sqref="D75">
    <cfRule type="expression" dxfId="1391" priority="569">
      <formula>ISNUMBER(SEARCH("UV",D65))</formula>
    </cfRule>
  </conditionalFormatting>
  <conditionalFormatting sqref="D76">
    <cfRule type="expression" dxfId="1390" priority="544">
      <formula>($D$14="CANOPY TYPE")</formula>
    </cfRule>
  </conditionalFormatting>
  <conditionalFormatting sqref="D77">
    <cfRule type="expression" dxfId="1389" priority="552">
      <formula>(ISNUMBER(SEARCH("CMW",D65)))=TRUE</formula>
    </cfRule>
  </conditionalFormatting>
  <conditionalFormatting sqref="D82">
    <cfRule type="containsText" dxfId="1388" priority="526" operator="containsText" text="CANOPY TYPE">
      <formula>NOT(ISERROR(SEARCH("CANOPY TYPE",D82)))</formula>
    </cfRule>
  </conditionalFormatting>
  <conditionalFormatting sqref="D83">
    <cfRule type="expression" dxfId="1387" priority="439">
      <formula>(C83="LIGHT SELECTION")</formula>
    </cfRule>
  </conditionalFormatting>
  <conditionalFormatting sqref="D85:D86">
    <cfRule type="expression" dxfId="1386" priority="518">
      <formula>($C85="SELECT WORKS")</formula>
    </cfRule>
  </conditionalFormatting>
  <conditionalFormatting sqref="D87">
    <cfRule type="expression" dxfId="1385" priority="522">
      <formula>$C87="SELECT CLADDING"</formula>
    </cfRule>
  </conditionalFormatting>
  <conditionalFormatting sqref="D90:D91">
    <cfRule type="expression" dxfId="1384" priority="316">
      <formula>($D$14="CANOPY TYPE")</formula>
    </cfRule>
  </conditionalFormatting>
  <conditionalFormatting sqref="D92">
    <cfRule type="expression" dxfId="1383" priority="538">
      <formula>ISNUMBER(SEARCH("UV",D82))</formula>
    </cfRule>
  </conditionalFormatting>
  <conditionalFormatting sqref="D93">
    <cfRule type="expression" dxfId="1382" priority="512">
      <formula>($D$14="CANOPY TYPE")</formula>
    </cfRule>
  </conditionalFormatting>
  <conditionalFormatting sqref="D94">
    <cfRule type="expression" dxfId="1381" priority="520">
      <formula>(ISNUMBER(SEARCH("CMW",D82)))=TRUE</formula>
    </cfRule>
  </conditionalFormatting>
  <conditionalFormatting sqref="D99">
    <cfRule type="containsText" dxfId="1380" priority="494" operator="containsText" text="CANOPY TYPE">
      <formula>NOT(ISERROR(SEARCH("CANOPY TYPE",D99)))</formula>
    </cfRule>
  </conditionalFormatting>
  <conditionalFormatting sqref="D100">
    <cfRule type="expression" dxfId="1379" priority="438">
      <formula>(C100="LIGHT SELECTION")</formula>
    </cfRule>
  </conditionalFormatting>
  <conditionalFormatting sqref="D102:D103">
    <cfRule type="expression" dxfId="1378" priority="487">
      <formula>($C102="SELECT WORKS")</formula>
    </cfRule>
  </conditionalFormatting>
  <conditionalFormatting sqref="D104">
    <cfRule type="expression" dxfId="1377" priority="428">
      <formula>$C104="SELECT CLADDING"</formula>
    </cfRule>
  </conditionalFormatting>
  <conditionalFormatting sqref="D107:D108">
    <cfRule type="expression" dxfId="1376" priority="290">
      <formula>($D$14="CANOPY TYPE")</formula>
    </cfRule>
  </conditionalFormatting>
  <conditionalFormatting sqref="D109">
    <cfRule type="expression" dxfId="1375" priority="506">
      <formula>ISNUMBER(SEARCH("UV",D99))</formula>
    </cfRule>
  </conditionalFormatting>
  <conditionalFormatting sqref="D110">
    <cfRule type="expression" dxfId="1374" priority="481">
      <formula>($D$14="CANOPY TYPE")</formula>
    </cfRule>
  </conditionalFormatting>
  <conditionalFormatting sqref="D111">
    <cfRule type="expression" dxfId="1373" priority="489">
      <formula>(ISNUMBER(SEARCH("CMW",D99)))=TRUE</formula>
    </cfRule>
  </conditionalFormatting>
  <conditionalFormatting sqref="D116">
    <cfRule type="containsText" dxfId="1372" priority="270" operator="containsText" text="CANOPY TYPE">
      <formula>NOT(ISERROR(SEARCH("CANOPY TYPE",D116)))</formula>
    </cfRule>
  </conditionalFormatting>
  <conditionalFormatting sqref="D117">
    <cfRule type="expression" dxfId="1371" priority="252">
      <formula>(C117="LIGHT SELECTION")</formula>
    </cfRule>
  </conditionalFormatting>
  <conditionalFormatting sqref="D119:D120">
    <cfRule type="expression" dxfId="1370" priority="263">
      <formula>($C119="SELECT WORKS")</formula>
    </cfRule>
  </conditionalFormatting>
  <conditionalFormatting sqref="D121">
    <cfRule type="expression" dxfId="1369" priority="251">
      <formula>$C121="SELECT CLADDING"</formula>
    </cfRule>
  </conditionalFormatting>
  <conditionalFormatting sqref="D124:D125">
    <cfRule type="expression" dxfId="1368" priority="225">
      <formula>($D$14="CANOPY TYPE")</formula>
    </cfRule>
  </conditionalFormatting>
  <conditionalFormatting sqref="D126">
    <cfRule type="expression" dxfId="1367" priority="282">
      <formula>ISNUMBER(SEARCH("UV",D116))</formula>
    </cfRule>
  </conditionalFormatting>
  <conditionalFormatting sqref="D127">
    <cfRule type="expression" dxfId="1366" priority="259">
      <formula>($D$14="CANOPY TYPE")</formula>
    </cfRule>
  </conditionalFormatting>
  <conditionalFormatting sqref="D128">
    <cfRule type="expression" dxfId="1365" priority="265">
      <formula>(ISNUMBER(SEARCH("CMW",D116)))=TRUE</formula>
    </cfRule>
  </conditionalFormatting>
  <conditionalFormatting sqref="D133">
    <cfRule type="containsText" dxfId="1364" priority="201" operator="containsText" text="CANOPY TYPE">
      <formula>NOT(ISERROR(SEARCH("CANOPY TYPE",D133)))</formula>
    </cfRule>
  </conditionalFormatting>
  <conditionalFormatting sqref="D134">
    <cfRule type="expression" dxfId="1363" priority="183">
      <formula>(C134="LIGHT SELECTION")</formula>
    </cfRule>
  </conditionalFormatting>
  <conditionalFormatting sqref="D136:D137">
    <cfRule type="expression" dxfId="1362" priority="194">
      <formula>($C136="SELECT WORKS")</formula>
    </cfRule>
  </conditionalFormatting>
  <conditionalFormatting sqref="D138">
    <cfRule type="expression" dxfId="1361" priority="182">
      <formula>$C138="SELECT CLADDING"</formula>
    </cfRule>
  </conditionalFormatting>
  <conditionalFormatting sqref="D141:D142">
    <cfRule type="expression" dxfId="1360" priority="166">
      <formula>($D$14="CANOPY TYPE")</formula>
    </cfRule>
  </conditionalFormatting>
  <conditionalFormatting sqref="D143">
    <cfRule type="expression" dxfId="1359" priority="213">
      <formula>ISNUMBER(SEARCH("UV",D133))</formula>
    </cfRule>
  </conditionalFormatting>
  <conditionalFormatting sqref="D144">
    <cfRule type="expression" dxfId="1358" priority="190">
      <formula>($D$14="CANOPY TYPE")</formula>
    </cfRule>
  </conditionalFormatting>
  <conditionalFormatting sqref="D145">
    <cfRule type="expression" dxfId="1357" priority="196">
      <formula>(ISNUMBER(SEARCH("CMW",D133)))=TRUE</formula>
    </cfRule>
  </conditionalFormatting>
  <conditionalFormatting sqref="D150">
    <cfRule type="containsText" dxfId="1356" priority="146" operator="containsText" text="CANOPY TYPE">
      <formula>NOT(ISERROR(SEARCH("CANOPY TYPE",D150)))</formula>
    </cfRule>
  </conditionalFormatting>
  <conditionalFormatting sqref="D151">
    <cfRule type="expression" dxfId="1355" priority="128">
      <formula>(C151="LIGHT SELECTION")</formula>
    </cfRule>
  </conditionalFormatting>
  <conditionalFormatting sqref="D153:D154">
    <cfRule type="expression" dxfId="1354" priority="139">
      <formula>($C153="SELECT WORKS")</formula>
    </cfRule>
  </conditionalFormatting>
  <conditionalFormatting sqref="D155">
    <cfRule type="expression" dxfId="1353" priority="127">
      <formula>$C155="SELECT CLADDING"</formula>
    </cfRule>
  </conditionalFormatting>
  <conditionalFormatting sqref="D158:D159">
    <cfRule type="expression" dxfId="1352" priority="111">
      <formula>($D$14="CANOPY TYPE")</formula>
    </cfRule>
  </conditionalFormatting>
  <conditionalFormatting sqref="D160">
    <cfRule type="expression" dxfId="1351" priority="158">
      <formula>ISNUMBER(SEARCH("UV",D150))</formula>
    </cfRule>
  </conditionalFormatting>
  <conditionalFormatting sqref="D161">
    <cfRule type="expression" dxfId="1350" priority="135">
      <formula>($D$14="CANOPY TYPE")</formula>
    </cfRule>
  </conditionalFormatting>
  <conditionalFormatting sqref="D162">
    <cfRule type="expression" dxfId="1349" priority="141">
      <formula>(ISNUMBER(SEARCH("CMW",D150)))=TRUE</formula>
    </cfRule>
  </conditionalFormatting>
  <conditionalFormatting sqref="D167">
    <cfRule type="containsText" dxfId="1348" priority="91" operator="containsText" text="CANOPY TYPE">
      <formula>NOT(ISERROR(SEARCH("CANOPY TYPE",D167)))</formula>
    </cfRule>
  </conditionalFormatting>
  <conditionalFormatting sqref="D168">
    <cfRule type="expression" dxfId="1347" priority="73">
      <formula>(C168="LIGHT SELECTION")</formula>
    </cfRule>
  </conditionalFormatting>
  <conditionalFormatting sqref="D170:D171">
    <cfRule type="expression" dxfId="1346" priority="84">
      <formula>($C170="SELECT WORKS")</formula>
    </cfRule>
  </conditionalFormatting>
  <conditionalFormatting sqref="D172">
    <cfRule type="expression" dxfId="1345" priority="72">
      <formula>$C172="SELECT CLADDING"</formula>
    </cfRule>
  </conditionalFormatting>
  <conditionalFormatting sqref="D175:D176">
    <cfRule type="expression" dxfId="1344" priority="56">
      <formula>($D$14="CANOPY TYPE")</formula>
    </cfRule>
  </conditionalFormatting>
  <conditionalFormatting sqref="D177">
    <cfRule type="expression" dxfId="1343" priority="103">
      <formula>ISNUMBER(SEARCH("UV",D167))</formula>
    </cfRule>
  </conditionalFormatting>
  <conditionalFormatting sqref="D178">
    <cfRule type="expression" dxfId="1342" priority="80">
      <formula>($D$14="CANOPY TYPE")</formula>
    </cfRule>
  </conditionalFormatting>
  <conditionalFormatting sqref="D179">
    <cfRule type="expression" dxfId="1341" priority="86">
      <formula>(ISNUMBER(SEARCH("CMW",D167)))=TRUE</formula>
    </cfRule>
  </conditionalFormatting>
  <conditionalFormatting sqref="E12">
    <cfRule type="expression" dxfId="1340" priority="706">
      <formula>AND((ISNUMBER(SEARCH("I-MUAP",$D$14))),E12&lt;2500)</formula>
    </cfRule>
    <cfRule type="expression" dxfId="1339" priority="707">
      <formula>ISNUMBER(SEARCH("I-MUAP",$D$14))</formula>
    </cfRule>
    <cfRule type="cellIs" dxfId="1338" priority="708" operator="greaterThan">
      <formula>2000</formula>
    </cfRule>
  </conditionalFormatting>
  <conditionalFormatting sqref="E15">
    <cfRule type="expression" dxfId="1337" priority="435">
      <formula>(C15="LIGHT SELECTION")</formula>
    </cfRule>
  </conditionalFormatting>
  <conditionalFormatting sqref="E16:E18">
    <cfRule type="expression" dxfId="1336" priority="55">
      <formula>$C16="SELECT WORKS"</formula>
    </cfRule>
  </conditionalFormatting>
  <conditionalFormatting sqref="E22:E23">
    <cfRule type="expression" dxfId="1335" priority="689">
      <formula>D22="WW PODS"</formula>
    </cfRule>
    <cfRule type="expression" dxfId="1334" priority="690">
      <formula>D22="FILTER TYPE"</formula>
    </cfRule>
    <cfRule type="expression" dxfId="1333" priority="691">
      <formula>D22="KSA"</formula>
    </cfRule>
    <cfRule type="expression" dxfId="1332" priority="711">
      <formula>(D14="CANOPY TYPE")</formula>
    </cfRule>
  </conditionalFormatting>
  <conditionalFormatting sqref="E24">
    <cfRule type="containsText" dxfId="1331" priority="698" operator="containsText" text="LONG ">
      <formula>NOT(ISERROR(SEARCH("LONG ",E24)))</formula>
    </cfRule>
  </conditionalFormatting>
  <conditionalFormatting sqref="E29">
    <cfRule type="expression" dxfId="1330" priority="628">
      <formula>AND((ISNUMBER(SEARCH("I-MUAP",$D$14))),E29&lt;2500)</formula>
    </cfRule>
    <cfRule type="expression" dxfId="1329" priority="629">
      <formula>ISNUMBER(SEARCH("I-MUAP",$D$14))</formula>
    </cfRule>
    <cfRule type="cellIs" dxfId="1328" priority="630" operator="greaterThan">
      <formula>2000</formula>
    </cfRule>
  </conditionalFormatting>
  <conditionalFormatting sqref="E34">
    <cfRule type="expression" dxfId="1327" priority="611">
      <formula>$C34="SELECT WORKS"</formula>
    </cfRule>
  </conditionalFormatting>
  <conditionalFormatting sqref="E39:E40">
    <cfRule type="expression" dxfId="1326" priority="407">
      <formula>D39="WW PODS"</formula>
    </cfRule>
    <cfRule type="expression" dxfId="1325" priority="408">
      <formula>D39="FILTER TYPE"</formula>
    </cfRule>
    <cfRule type="expression" dxfId="1324" priority="409">
      <formula>D39="KSA"</formula>
    </cfRule>
    <cfRule type="expression" dxfId="1323" priority="410">
      <formula>(D31="CANOPY TYPE")</formula>
    </cfRule>
  </conditionalFormatting>
  <conditionalFormatting sqref="E41">
    <cfRule type="containsText" dxfId="1322" priority="621" operator="containsText" text="LONG ">
      <formula>NOT(ISERROR(SEARCH("LONG ",E41)))</formula>
    </cfRule>
  </conditionalFormatting>
  <conditionalFormatting sqref="E46">
    <cfRule type="expression" dxfId="1321" priority="596">
      <formula>AND((ISNUMBER(SEARCH("I-MUAP",$D$14))),E46&lt;2500)</formula>
    </cfRule>
    <cfRule type="expression" dxfId="1320" priority="597">
      <formula>ISNUMBER(SEARCH("I-MUAP",$D$14))</formula>
    </cfRule>
    <cfRule type="cellIs" dxfId="1319" priority="598" operator="greaterThan">
      <formula>2000</formula>
    </cfRule>
  </conditionalFormatting>
  <conditionalFormatting sqref="E49">
    <cfRule type="expression" dxfId="1318" priority="449">
      <formula>(C49="LIGHT SELECTION")</formula>
    </cfRule>
  </conditionalFormatting>
  <conditionalFormatting sqref="E51:E52">
    <cfRule type="expression" dxfId="1317" priority="580">
      <formula>$C51="SELECT WORKS"</formula>
    </cfRule>
  </conditionalFormatting>
  <conditionalFormatting sqref="E56:E57">
    <cfRule type="expression" dxfId="1316" priority="381">
      <formula>D56="WW PODS"</formula>
    </cfRule>
    <cfRule type="expression" dxfId="1315" priority="382">
      <formula>D56="FILTER TYPE"</formula>
    </cfRule>
    <cfRule type="expression" dxfId="1314" priority="383">
      <formula>D56="KSA"</formula>
    </cfRule>
    <cfRule type="expression" dxfId="1313" priority="384">
      <formula>(D48="CANOPY TYPE")</formula>
    </cfRule>
  </conditionalFormatting>
  <conditionalFormatting sqref="E58">
    <cfRule type="containsText" dxfId="1312" priority="589" operator="containsText" text="LONG ">
      <formula>NOT(ISERROR(SEARCH("LONG ",E58)))</formula>
    </cfRule>
  </conditionalFormatting>
  <conditionalFormatting sqref="E63">
    <cfRule type="expression" dxfId="1311" priority="566">
      <formula>AND((ISNUMBER(SEARCH("I-MUAP",$D$14))),E63&lt;2500)</formula>
    </cfRule>
    <cfRule type="expression" dxfId="1310" priority="567">
      <formula>ISNUMBER(SEARCH("I-MUAP",$D$14))</formula>
    </cfRule>
    <cfRule type="cellIs" dxfId="1309" priority="568" operator="greaterThan">
      <formula>2000</formula>
    </cfRule>
  </conditionalFormatting>
  <conditionalFormatting sqref="E68:E69">
    <cfRule type="expression" dxfId="1308" priority="549">
      <formula>$C68="SELECT WORKS"</formula>
    </cfRule>
  </conditionalFormatting>
  <conditionalFormatting sqref="E73:E74">
    <cfRule type="expression" dxfId="1307" priority="355">
      <formula>D73="WW PODS"</formula>
    </cfRule>
    <cfRule type="expression" dxfId="1306" priority="356">
      <formula>D73="FILTER TYPE"</formula>
    </cfRule>
    <cfRule type="expression" dxfId="1305" priority="357">
      <formula>D73="KSA"</formula>
    </cfRule>
    <cfRule type="expression" dxfId="1304" priority="358">
      <formula>(D65="CANOPY TYPE")</formula>
    </cfRule>
  </conditionalFormatting>
  <conditionalFormatting sqref="E75">
    <cfRule type="containsText" dxfId="1303" priority="559" operator="containsText" text="LONG ">
      <formula>NOT(ISERROR(SEARCH("LONG ",E75)))</formula>
    </cfRule>
  </conditionalFormatting>
  <conditionalFormatting sqref="E80">
    <cfRule type="expression" dxfId="1302" priority="535">
      <formula>AND((ISNUMBER(SEARCH("I-MUAP",$D$14))),E80&lt;2500)</formula>
    </cfRule>
    <cfRule type="expression" dxfId="1301" priority="536">
      <formula>ISNUMBER(SEARCH("I-MUAP",$D$14))</formula>
    </cfRule>
    <cfRule type="cellIs" dxfId="1300" priority="537" operator="greaterThan">
      <formula>2000</formula>
    </cfRule>
  </conditionalFormatting>
  <conditionalFormatting sqref="E85:E86">
    <cfRule type="expression" dxfId="1299" priority="517">
      <formula>$C85="SELECT WORKS"</formula>
    </cfRule>
  </conditionalFormatting>
  <conditionalFormatting sqref="E90:E91">
    <cfRule type="expression" dxfId="1298" priority="329">
      <formula>D90="WW PODS"</formula>
    </cfRule>
    <cfRule type="expression" dxfId="1297" priority="330">
      <formula>D90="FILTER TYPE"</formula>
    </cfRule>
    <cfRule type="expression" dxfId="1296" priority="331">
      <formula>D90="KSA"</formula>
    </cfRule>
    <cfRule type="expression" dxfId="1295" priority="332">
      <formula>(D82="CANOPY TYPE")</formula>
    </cfRule>
  </conditionalFormatting>
  <conditionalFormatting sqref="E92">
    <cfRule type="containsText" dxfId="1294" priority="528" operator="containsText" text="LONG ">
      <formula>NOT(ISERROR(SEARCH("LONG ",E92)))</formula>
    </cfRule>
  </conditionalFormatting>
  <conditionalFormatting sqref="E97">
    <cfRule type="expression" dxfId="1293" priority="503">
      <formula>AND((ISNUMBER(SEARCH("I-MUAP",$D$14))),E97&lt;2500)</formula>
    </cfRule>
    <cfRule type="expression" dxfId="1292" priority="504">
      <formula>ISNUMBER(SEARCH("I-MUAP",$D$14))</formula>
    </cfRule>
    <cfRule type="cellIs" dxfId="1291" priority="505" operator="greaterThan">
      <formula>2000</formula>
    </cfRule>
  </conditionalFormatting>
  <conditionalFormatting sqref="E102:E103">
    <cfRule type="expression" dxfId="1290" priority="486">
      <formula>$C102="SELECT WORKS"</formula>
    </cfRule>
  </conditionalFormatting>
  <conditionalFormatting sqref="E107:E108">
    <cfRule type="expression" dxfId="1289" priority="303">
      <formula>D107="WW PODS"</formula>
    </cfRule>
    <cfRule type="expression" dxfId="1288" priority="304">
      <formula>D107="FILTER TYPE"</formula>
    </cfRule>
    <cfRule type="expression" dxfId="1287" priority="305">
      <formula>D107="KSA"</formula>
    </cfRule>
    <cfRule type="expression" dxfId="1286" priority="306">
      <formula>(D99="CANOPY TYPE")</formula>
    </cfRule>
  </conditionalFormatting>
  <conditionalFormatting sqref="E109">
    <cfRule type="containsText" dxfId="1285" priority="496" operator="containsText" text="LONG ">
      <formula>NOT(ISERROR(SEARCH("LONG ",E109)))</formula>
    </cfRule>
  </conditionalFormatting>
  <conditionalFormatting sqref="E114">
    <cfRule type="expression" dxfId="1284" priority="279">
      <formula>AND((ISNUMBER(SEARCH("I-MUAP",$D$14))),E114&lt;2500)</formula>
    </cfRule>
    <cfRule type="expression" dxfId="1283" priority="280">
      <formula>ISNUMBER(SEARCH("I-MUAP",$D$14))</formula>
    </cfRule>
    <cfRule type="cellIs" dxfId="1282" priority="281" operator="greaterThan">
      <formula>2000</formula>
    </cfRule>
  </conditionalFormatting>
  <conditionalFormatting sqref="E119:E120">
    <cfRule type="expression" dxfId="1281" priority="262">
      <formula>$C119="SELECT WORKS"</formula>
    </cfRule>
  </conditionalFormatting>
  <conditionalFormatting sqref="E124:E125">
    <cfRule type="expression" dxfId="1280" priority="238">
      <formula>D124="WW PODS"</formula>
    </cfRule>
    <cfRule type="expression" dxfId="1279" priority="239">
      <formula>D124="FILTER TYPE"</formula>
    </cfRule>
    <cfRule type="expression" dxfId="1278" priority="240">
      <formula>D124="KSA"</formula>
    </cfRule>
    <cfRule type="expression" dxfId="1277" priority="241">
      <formula>(D116="CANOPY TYPE")</formula>
    </cfRule>
  </conditionalFormatting>
  <conditionalFormatting sqref="E126">
    <cfRule type="containsText" dxfId="1276" priority="272" operator="containsText" text="LONG ">
      <formula>NOT(ISERROR(SEARCH("LONG ",E126)))</formula>
    </cfRule>
  </conditionalFormatting>
  <conditionalFormatting sqref="E131">
    <cfRule type="expression" dxfId="1275" priority="210">
      <formula>AND((ISNUMBER(SEARCH("I-MUAP",$D$14))),E131&lt;2500)</formula>
    </cfRule>
    <cfRule type="expression" dxfId="1274" priority="211">
      <formula>ISNUMBER(SEARCH("I-MUAP",$D$14))</formula>
    </cfRule>
    <cfRule type="cellIs" dxfId="1273" priority="212" operator="greaterThan">
      <formula>2000</formula>
    </cfRule>
  </conditionalFormatting>
  <conditionalFormatting sqref="E136:E137">
    <cfRule type="expression" dxfId="1272" priority="193">
      <formula>$C136="SELECT WORKS"</formula>
    </cfRule>
  </conditionalFormatting>
  <conditionalFormatting sqref="E141:E142">
    <cfRule type="expression" dxfId="1271" priority="169">
      <formula>D141="WW PODS"</formula>
    </cfRule>
    <cfRule type="expression" dxfId="1270" priority="170">
      <formula>D141="FILTER TYPE"</formula>
    </cfRule>
    <cfRule type="expression" dxfId="1269" priority="171">
      <formula>D141="KSA"</formula>
    </cfRule>
    <cfRule type="expression" dxfId="1268" priority="172">
      <formula>(D133="CANOPY TYPE")</formula>
    </cfRule>
  </conditionalFormatting>
  <conditionalFormatting sqref="E143">
    <cfRule type="containsText" dxfId="1267" priority="203" operator="containsText" text="LONG ">
      <formula>NOT(ISERROR(SEARCH("LONG ",E143)))</formula>
    </cfRule>
  </conditionalFormatting>
  <conditionalFormatting sqref="E148">
    <cfRule type="expression" dxfId="1266" priority="155">
      <formula>AND((ISNUMBER(SEARCH("I-MUAP",$D$14))),E148&lt;2500)</formula>
    </cfRule>
    <cfRule type="expression" dxfId="1265" priority="156">
      <formula>ISNUMBER(SEARCH("I-MUAP",$D$14))</formula>
    </cfRule>
    <cfRule type="cellIs" dxfId="1264" priority="157" operator="greaterThan">
      <formula>2000</formula>
    </cfRule>
  </conditionalFormatting>
  <conditionalFormatting sqref="E153:E154">
    <cfRule type="expression" dxfId="1263" priority="138">
      <formula>$C153="SELECT WORKS"</formula>
    </cfRule>
  </conditionalFormatting>
  <conditionalFormatting sqref="E158:E159">
    <cfRule type="expression" dxfId="1262" priority="114">
      <formula>D158="WW PODS"</formula>
    </cfRule>
    <cfRule type="expression" dxfId="1261" priority="115">
      <formula>D158="FILTER TYPE"</formula>
    </cfRule>
    <cfRule type="expression" dxfId="1260" priority="116">
      <formula>D158="KSA"</formula>
    </cfRule>
    <cfRule type="expression" dxfId="1259" priority="117">
      <formula>(D150="CANOPY TYPE")</formula>
    </cfRule>
  </conditionalFormatting>
  <conditionalFormatting sqref="E160">
    <cfRule type="containsText" dxfId="1258" priority="148" operator="containsText" text="LONG ">
      <formula>NOT(ISERROR(SEARCH("LONG ",E160)))</formula>
    </cfRule>
  </conditionalFormatting>
  <conditionalFormatting sqref="E165">
    <cfRule type="expression" dxfId="1257" priority="100">
      <formula>AND((ISNUMBER(SEARCH("I-MUAP",$D$14))),E165&lt;2500)</formula>
    </cfRule>
    <cfRule type="expression" dxfId="1256" priority="101">
      <formula>ISNUMBER(SEARCH("I-MUAP",$D$14))</formula>
    </cfRule>
    <cfRule type="cellIs" dxfId="1255" priority="102" operator="greaterThan">
      <formula>2000</formula>
    </cfRule>
  </conditionalFormatting>
  <conditionalFormatting sqref="E170:E171">
    <cfRule type="expression" dxfId="1254" priority="83">
      <formula>$C170="SELECT WORKS"</formula>
    </cfRule>
  </conditionalFormatting>
  <conditionalFormatting sqref="E175:E176">
    <cfRule type="expression" dxfId="1253" priority="59">
      <formula>D175="WW PODS"</formula>
    </cfRule>
    <cfRule type="expression" dxfId="1252" priority="60">
      <formula>D175="FILTER TYPE"</formula>
    </cfRule>
    <cfRule type="expression" dxfId="1251" priority="61">
      <formula>D175="KSA"</formula>
    </cfRule>
    <cfRule type="expression" dxfId="1250" priority="62">
      <formula>(D167="CANOPY TYPE")</formula>
    </cfRule>
  </conditionalFormatting>
  <conditionalFormatting sqref="E177">
    <cfRule type="containsText" dxfId="1249" priority="93" operator="containsText" text="LONG ">
      <formula>NOT(ISERROR(SEARCH("LONG ",E177)))</formula>
    </cfRule>
  </conditionalFormatting>
  <conditionalFormatting sqref="E12:F12">
    <cfRule type="cellIs" dxfId="1248" priority="702" operator="lessThan">
      <formula>1000</formula>
    </cfRule>
  </conditionalFormatting>
  <conditionalFormatting sqref="E14:F14">
    <cfRule type="cellIs" dxfId="1247" priority="699" operator="lessThan">
      <formula>1000</formula>
    </cfRule>
  </conditionalFormatting>
  <conditionalFormatting sqref="E25:F27">
    <cfRule type="expression" dxfId="1246" priority="638">
      <formula>($D$14="CANOPY TYPE")</formula>
    </cfRule>
  </conditionalFormatting>
  <conditionalFormatting sqref="E29:F29">
    <cfRule type="cellIs" dxfId="1245" priority="625" operator="lessThan">
      <formula>1000</formula>
    </cfRule>
  </conditionalFormatting>
  <conditionalFormatting sqref="E31:F31">
    <cfRule type="cellIs" dxfId="1244" priority="622" operator="lessThan">
      <formula>1000</formula>
    </cfRule>
  </conditionalFormatting>
  <conditionalFormatting sqref="E32:F32">
    <cfRule type="expression" dxfId="1243" priority="473">
      <formula>(C32="LIGHT SELECTION")</formula>
    </cfRule>
  </conditionalFormatting>
  <conditionalFormatting sqref="E42:F44">
    <cfRule type="expression" dxfId="1242" priority="606">
      <formula>($D$14="CANOPY TYPE")</formula>
    </cfRule>
  </conditionalFormatting>
  <conditionalFormatting sqref="E46:F46">
    <cfRule type="cellIs" dxfId="1241" priority="593" operator="lessThan">
      <formula>1000</formula>
    </cfRule>
  </conditionalFormatting>
  <conditionalFormatting sqref="E48:F48">
    <cfRule type="cellIs" dxfId="1240" priority="590" operator="lessThan">
      <formula>1000</formula>
    </cfRule>
  </conditionalFormatting>
  <conditionalFormatting sqref="E59:F61">
    <cfRule type="expression" dxfId="1239" priority="576">
      <formula>($D$14="CANOPY TYPE")</formula>
    </cfRule>
  </conditionalFormatting>
  <conditionalFormatting sqref="E63:F63">
    <cfRule type="cellIs" dxfId="1238" priority="563" operator="lessThan">
      <formula>1000</formula>
    </cfRule>
  </conditionalFormatting>
  <conditionalFormatting sqref="E65:F65">
    <cfRule type="cellIs" dxfId="1237" priority="560" operator="lessThan">
      <formula>1000</formula>
    </cfRule>
  </conditionalFormatting>
  <conditionalFormatting sqref="E66:F66">
    <cfRule type="expression" dxfId="1236" priority="466">
      <formula>(C66="LIGHT SELECTION")</formula>
    </cfRule>
  </conditionalFormatting>
  <conditionalFormatting sqref="E76:F78">
    <cfRule type="expression" dxfId="1235" priority="545">
      <formula>($D$14="CANOPY TYPE")</formula>
    </cfRule>
  </conditionalFormatting>
  <conditionalFormatting sqref="E80:F80">
    <cfRule type="cellIs" dxfId="1234" priority="532" operator="lessThan">
      <formula>1000</formula>
    </cfRule>
  </conditionalFormatting>
  <conditionalFormatting sqref="E82:F82">
    <cfRule type="cellIs" dxfId="1233" priority="529" operator="lessThan">
      <formula>1000</formula>
    </cfRule>
  </conditionalFormatting>
  <conditionalFormatting sqref="E83:F83">
    <cfRule type="expression" dxfId="1232" priority="462">
      <formula>(C83="LIGHT SELECTION")</formula>
    </cfRule>
  </conditionalFormatting>
  <conditionalFormatting sqref="E93:F95">
    <cfRule type="expression" dxfId="1231" priority="513">
      <formula>($D$14="CANOPY TYPE")</formula>
    </cfRule>
  </conditionalFormatting>
  <conditionalFormatting sqref="E97:F97">
    <cfRule type="cellIs" dxfId="1230" priority="500" operator="lessThan">
      <formula>1000</formula>
    </cfRule>
  </conditionalFormatting>
  <conditionalFormatting sqref="E99:F99">
    <cfRule type="cellIs" dxfId="1229" priority="497" operator="lessThan">
      <formula>1000</formula>
    </cfRule>
  </conditionalFormatting>
  <conditionalFormatting sqref="E100:F100">
    <cfRule type="expression" dxfId="1228" priority="458">
      <formula>(C100="LIGHT SELECTION")</formula>
    </cfRule>
  </conditionalFormatting>
  <conditionalFormatting sqref="E110:F112 E127:F129 E144:F146 E161:F163 E178:F180">
    <cfRule type="expression" dxfId="1227" priority="482">
      <formula>($D$14="CANOPY TYPE")</formula>
    </cfRule>
  </conditionalFormatting>
  <conditionalFormatting sqref="E114:F114">
    <cfRule type="cellIs" dxfId="1226" priority="276" operator="lessThan">
      <formula>1000</formula>
    </cfRule>
  </conditionalFormatting>
  <conditionalFormatting sqref="E116:F116">
    <cfRule type="cellIs" dxfId="1225" priority="273" operator="lessThan">
      <formula>1000</formula>
    </cfRule>
  </conditionalFormatting>
  <conditionalFormatting sqref="E117:F117">
    <cfRule type="expression" dxfId="1224" priority="256">
      <formula>(C117="LIGHT SELECTION")</formula>
    </cfRule>
  </conditionalFormatting>
  <conditionalFormatting sqref="E131:F131">
    <cfRule type="cellIs" dxfId="1223" priority="207" operator="lessThan">
      <formula>1000</formula>
    </cfRule>
  </conditionalFormatting>
  <conditionalFormatting sqref="E133:F133">
    <cfRule type="cellIs" dxfId="1222" priority="204" operator="lessThan">
      <formula>1000</formula>
    </cfRule>
  </conditionalFormatting>
  <conditionalFormatting sqref="E134:F134">
    <cfRule type="expression" dxfId="1221" priority="187">
      <formula>(C134="LIGHT SELECTION")</formula>
    </cfRule>
  </conditionalFormatting>
  <conditionalFormatting sqref="E148:F148">
    <cfRule type="cellIs" dxfId="1220" priority="152" operator="lessThan">
      <formula>1000</formula>
    </cfRule>
  </conditionalFormatting>
  <conditionalFormatting sqref="E150:F150">
    <cfRule type="cellIs" dxfId="1219" priority="149" operator="lessThan">
      <formula>1000</formula>
    </cfRule>
  </conditionalFormatting>
  <conditionalFormatting sqref="E151:F151">
    <cfRule type="expression" dxfId="1218" priority="132">
      <formula>(C151="LIGHT SELECTION")</formula>
    </cfRule>
  </conditionalFormatting>
  <conditionalFormatting sqref="E165:F165">
    <cfRule type="cellIs" dxfId="1217" priority="97" operator="lessThan">
      <formula>1000</formula>
    </cfRule>
  </conditionalFormatting>
  <conditionalFormatting sqref="E167:F167">
    <cfRule type="cellIs" dxfId="1216" priority="94" operator="lessThan">
      <formula>1000</formula>
    </cfRule>
  </conditionalFormatting>
  <conditionalFormatting sqref="E168:F168">
    <cfRule type="expression" dxfId="1215" priority="77">
      <formula>(C168="LIGHT SELECTION")</formula>
    </cfRule>
  </conditionalFormatting>
  <conditionalFormatting sqref="F12">
    <cfRule type="cellIs" dxfId="1214" priority="703" operator="greaterThan">
      <formula>3001</formula>
    </cfRule>
  </conditionalFormatting>
  <conditionalFormatting sqref="F15">
    <cfRule type="expression" dxfId="1213" priority="475">
      <formula>(C15="LED STRIP")</formula>
    </cfRule>
    <cfRule type="expression" dxfId="1212" priority="692">
      <formula>(C15="LIGHT SELECTION")</formula>
    </cfRule>
    <cfRule type="expression" dxfId="1211" priority="694">
      <formula>(C15="FLO")</formula>
    </cfRule>
    <cfRule type="expression" dxfId="1210" priority="725">
      <formula>(D49="LIGHT SELECTION")</formula>
    </cfRule>
  </conditionalFormatting>
  <conditionalFormatting sqref="F22:F23">
    <cfRule type="expression" dxfId="1209" priority="716">
      <formula>D22="NF"</formula>
    </cfRule>
    <cfRule type="expression" dxfId="1208" priority="717">
      <formula>D22="WW PODS"</formula>
    </cfRule>
    <cfRule type="expression" dxfId="1207" priority="718">
      <formula>D22="GRILLE"</formula>
    </cfRule>
    <cfRule type="expression" dxfId="1206" priority="719">
      <formula>D22="CENTREX"</formula>
    </cfRule>
    <cfRule type="expression" dxfId="1205" priority="720" stopIfTrue="1">
      <formula>D14="canopy type"</formula>
    </cfRule>
    <cfRule type="expression" dxfId="1204" priority="721">
      <formula>(((I14*3600)/(C22*I11))^2+20)&gt;300</formula>
    </cfRule>
    <cfRule type="expression" dxfId="1203" priority="722" stopIfTrue="1">
      <formula>(ISNUMBER(SEARCH("UV",D14)))</formula>
    </cfRule>
    <cfRule type="expression" dxfId="1202" priority="723">
      <formula>(((I14*3600)/(C22*I11))^2+20)&gt;180</formula>
    </cfRule>
    <cfRule type="expression" dxfId="1201" priority="724">
      <formula>D22="KSA"</formula>
    </cfRule>
  </conditionalFormatting>
  <conditionalFormatting sqref="F24">
    <cfRule type="cellIs" dxfId="1200" priority="697" operator="lessThan">
      <formula>2100</formula>
    </cfRule>
  </conditionalFormatting>
  <conditionalFormatting sqref="F29">
    <cfRule type="cellIs" dxfId="1199" priority="626" operator="greaterThan">
      <formula>3001</formula>
    </cfRule>
  </conditionalFormatting>
  <conditionalFormatting sqref="F32">
    <cfRule type="expression" dxfId="1198" priority="471">
      <formula>(C32="LED STRIP")</formula>
    </cfRule>
    <cfRule type="expression" dxfId="1197" priority="472">
      <formula>(C32="LIGHT SELECTION")</formula>
    </cfRule>
    <cfRule type="expression" dxfId="1196" priority="474">
      <formula>(C32="FLO")</formula>
    </cfRule>
  </conditionalFormatting>
  <conditionalFormatting sqref="F39:F40">
    <cfRule type="expression" dxfId="1195" priority="411">
      <formula>D39="NF"</formula>
    </cfRule>
    <cfRule type="expression" dxfId="1194" priority="412">
      <formula>D39="WW PODS"</formula>
    </cfRule>
    <cfRule type="expression" dxfId="1193" priority="413">
      <formula>D39="GRILLE"</formula>
    </cfRule>
    <cfRule type="expression" dxfId="1192" priority="414">
      <formula>D39="CENTREX"</formula>
    </cfRule>
    <cfRule type="expression" dxfId="1191" priority="415" stopIfTrue="1">
      <formula>D31="canopy type"</formula>
    </cfRule>
    <cfRule type="expression" dxfId="1190" priority="416">
      <formula>(((I31*3600)/(C39*I28))^2+20)&gt;300</formula>
    </cfRule>
    <cfRule type="expression" dxfId="1189" priority="417" stopIfTrue="1">
      <formula>(ISNUMBER(SEARCH("UV",D31)))</formula>
    </cfRule>
    <cfRule type="expression" dxfId="1188" priority="418">
      <formula>(((I31*3600)/(C39*I28))^2+20)&gt;180</formula>
    </cfRule>
    <cfRule type="expression" dxfId="1187" priority="419">
      <formula>D39="KSA"</formula>
    </cfRule>
  </conditionalFormatting>
  <conditionalFormatting sqref="F41">
    <cfRule type="cellIs" dxfId="1186" priority="620" operator="lessThan">
      <formula>2100</formula>
    </cfRule>
  </conditionalFormatting>
  <conditionalFormatting sqref="F46">
    <cfRule type="cellIs" dxfId="1185" priority="594" operator="greaterThan">
      <formula>3001</formula>
    </cfRule>
  </conditionalFormatting>
  <conditionalFormatting sqref="F49">
    <cfRule type="expression" dxfId="1184" priority="468">
      <formula>(C49="LED STRIP")</formula>
    </cfRule>
    <cfRule type="expression" dxfId="1183" priority="469">
      <formula>(C49="LIGHT SELECTION")</formula>
    </cfRule>
    <cfRule type="expression" dxfId="1182" priority="470">
      <formula>(C49="FLO")</formula>
    </cfRule>
    <cfRule type="expression" dxfId="1181" priority="726">
      <formula>(#REF!="LIGHT SELECTION")</formula>
    </cfRule>
  </conditionalFormatting>
  <conditionalFormatting sqref="F56:F57">
    <cfRule type="expression" dxfId="1180" priority="385">
      <formula>D56="NF"</formula>
    </cfRule>
    <cfRule type="expression" dxfId="1179" priority="386">
      <formula>D56="WW PODS"</formula>
    </cfRule>
    <cfRule type="expression" dxfId="1178" priority="387">
      <formula>D56="GRILLE"</formula>
    </cfRule>
    <cfRule type="expression" dxfId="1177" priority="388">
      <formula>D56="CENTREX"</formula>
    </cfRule>
    <cfRule type="expression" dxfId="1176" priority="389" stopIfTrue="1">
      <formula>D48="canopy type"</formula>
    </cfRule>
    <cfRule type="expression" dxfId="1175" priority="390">
      <formula>(((I48*3600)/(C56*I45))^2+20)&gt;300</formula>
    </cfRule>
    <cfRule type="expression" dxfId="1174" priority="391" stopIfTrue="1">
      <formula>(ISNUMBER(SEARCH("UV",D48)))</formula>
    </cfRule>
    <cfRule type="expression" dxfId="1173" priority="392">
      <formula>(((I48*3600)/(C56*I45))^2+20)&gt;180</formula>
    </cfRule>
    <cfRule type="expression" dxfId="1172" priority="393">
      <formula>D56="KSA"</formula>
    </cfRule>
  </conditionalFormatting>
  <conditionalFormatting sqref="F58">
    <cfRule type="cellIs" dxfId="1171" priority="588" operator="lessThan">
      <formula>2100</formula>
    </cfRule>
  </conditionalFormatting>
  <conditionalFormatting sqref="F63">
    <cfRule type="cellIs" dxfId="1170" priority="564" operator="greaterThan">
      <formula>3001</formula>
    </cfRule>
  </conditionalFormatting>
  <conditionalFormatting sqref="F66">
    <cfRule type="expression" dxfId="1169" priority="464">
      <formula>(C66="LED STRIP")</formula>
    </cfRule>
    <cfRule type="expression" dxfId="1168" priority="465">
      <formula>(C66="LIGHT SELECTION")</formula>
    </cfRule>
    <cfRule type="expression" dxfId="1167" priority="467">
      <formula>(C66="FLO")</formula>
    </cfRule>
  </conditionalFormatting>
  <conditionalFormatting sqref="F73:F74">
    <cfRule type="expression" dxfId="1166" priority="359">
      <formula>D73="NF"</formula>
    </cfRule>
    <cfRule type="expression" dxfId="1165" priority="360">
      <formula>D73="WW PODS"</formula>
    </cfRule>
    <cfRule type="expression" dxfId="1164" priority="361">
      <formula>D73="GRILLE"</formula>
    </cfRule>
    <cfRule type="expression" dxfId="1163" priority="362">
      <formula>D73="CENTREX"</formula>
    </cfRule>
    <cfRule type="expression" dxfId="1162" priority="363" stopIfTrue="1">
      <formula>D65="canopy type"</formula>
    </cfRule>
    <cfRule type="expression" dxfId="1161" priority="364">
      <formula>(((I65*3600)/(C73*I62))^2+20)&gt;300</formula>
    </cfRule>
    <cfRule type="expression" dxfId="1160" priority="365" stopIfTrue="1">
      <formula>(ISNUMBER(SEARCH("UV",D65)))</formula>
    </cfRule>
    <cfRule type="expression" dxfId="1159" priority="366">
      <formula>(((I65*3600)/(C73*I62))^2+20)&gt;180</formula>
    </cfRule>
    <cfRule type="expression" dxfId="1158" priority="367">
      <formula>D73="KSA"</formula>
    </cfRule>
  </conditionalFormatting>
  <conditionalFormatting sqref="F75">
    <cfRule type="cellIs" dxfId="1157" priority="558" operator="lessThan">
      <formula>2100</formula>
    </cfRule>
  </conditionalFormatting>
  <conditionalFormatting sqref="F80">
    <cfRule type="cellIs" dxfId="1156" priority="533" operator="greaterThan">
      <formula>3001</formula>
    </cfRule>
  </conditionalFormatting>
  <conditionalFormatting sqref="F83">
    <cfRule type="expression" dxfId="1155" priority="460">
      <formula>(C83="LED STRIP")</formula>
    </cfRule>
    <cfRule type="expression" dxfId="1154" priority="461">
      <formula>(C83="LIGHT SELECTION")</formula>
    </cfRule>
    <cfRule type="expression" dxfId="1153" priority="463">
      <formula>(C83="FLO")</formula>
    </cfRule>
  </conditionalFormatting>
  <conditionalFormatting sqref="F90:F91">
    <cfRule type="expression" dxfId="1152" priority="333">
      <formula>D90="NF"</formula>
    </cfRule>
    <cfRule type="expression" dxfId="1151" priority="334">
      <formula>D90="WW PODS"</formula>
    </cfRule>
    <cfRule type="expression" dxfId="1150" priority="335">
      <formula>D90="GRILLE"</formula>
    </cfRule>
    <cfRule type="expression" dxfId="1149" priority="336">
      <formula>D90="CENTREX"</formula>
    </cfRule>
    <cfRule type="expression" dxfId="1148" priority="337" stopIfTrue="1">
      <formula>D82="canopy type"</formula>
    </cfRule>
    <cfRule type="expression" dxfId="1147" priority="338">
      <formula>(((I82*3600)/(C90*I79))^2+20)&gt;300</formula>
    </cfRule>
    <cfRule type="expression" dxfId="1146" priority="339" stopIfTrue="1">
      <formula>(ISNUMBER(SEARCH("UV",D82)))</formula>
    </cfRule>
    <cfRule type="expression" dxfId="1145" priority="340">
      <formula>(((I82*3600)/(C90*I79))^2+20)&gt;180</formula>
    </cfRule>
    <cfRule type="expression" dxfId="1144" priority="341">
      <formula>D90="KSA"</formula>
    </cfRule>
  </conditionalFormatting>
  <conditionalFormatting sqref="F92">
    <cfRule type="cellIs" dxfId="1143" priority="527" operator="lessThan">
      <formula>2100</formula>
    </cfRule>
  </conditionalFormatting>
  <conditionalFormatting sqref="F97">
    <cfRule type="cellIs" dxfId="1142" priority="501" operator="greaterThan">
      <formula>3001</formula>
    </cfRule>
  </conditionalFormatting>
  <conditionalFormatting sqref="F100">
    <cfRule type="expression" dxfId="1141" priority="456">
      <formula>(C100="LED STRIP")</formula>
    </cfRule>
    <cfRule type="expression" dxfId="1140" priority="457">
      <formula>(C100="LIGHT SELECTION")</formula>
    </cfRule>
    <cfRule type="expression" dxfId="1139" priority="459">
      <formula>(C100="FLO")</formula>
    </cfRule>
  </conditionalFormatting>
  <conditionalFormatting sqref="F107:F108">
    <cfRule type="expression" dxfId="1138" priority="307">
      <formula>D107="NF"</formula>
    </cfRule>
    <cfRule type="expression" dxfId="1137" priority="308">
      <formula>D107="WW PODS"</formula>
    </cfRule>
    <cfRule type="expression" dxfId="1136" priority="309">
      <formula>D107="GRILLE"</formula>
    </cfRule>
    <cfRule type="expression" dxfId="1135" priority="310">
      <formula>D107="CENTREX"</formula>
    </cfRule>
    <cfRule type="expression" dxfId="1134" priority="311" stopIfTrue="1">
      <formula>D99="canopy type"</formula>
    </cfRule>
    <cfRule type="expression" dxfId="1133" priority="312">
      <formula>(((I99*3600)/(C107*I96))^2+20)&gt;300</formula>
    </cfRule>
    <cfRule type="expression" dxfId="1132" priority="313" stopIfTrue="1">
      <formula>(ISNUMBER(SEARCH("UV",D99)))</formula>
    </cfRule>
    <cfRule type="expression" dxfId="1131" priority="314">
      <formula>(((I99*3600)/(C107*I96))^2+20)&gt;180</formula>
    </cfRule>
    <cfRule type="expression" dxfId="1130" priority="315">
      <formula>D107="KSA"</formula>
    </cfRule>
  </conditionalFormatting>
  <conditionalFormatting sqref="F109">
    <cfRule type="cellIs" dxfId="1129" priority="495" operator="lessThan">
      <formula>2100</formula>
    </cfRule>
  </conditionalFormatting>
  <conditionalFormatting sqref="F114">
    <cfRule type="cellIs" dxfId="1128" priority="277" operator="greaterThan">
      <formula>3001</formula>
    </cfRule>
  </conditionalFormatting>
  <conditionalFormatting sqref="F117">
    <cfRule type="expression" dxfId="1127" priority="254">
      <formula>(C117="LED STRIP")</formula>
    </cfRule>
    <cfRule type="expression" dxfId="1126" priority="255">
      <formula>(C117="LIGHT SELECTION")</formula>
    </cfRule>
    <cfRule type="expression" dxfId="1125" priority="257">
      <formula>(C117="FLO")</formula>
    </cfRule>
  </conditionalFormatting>
  <conditionalFormatting sqref="F124:F125">
    <cfRule type="expression" dxfId="1124" priority="242">
      <formula>D124="NF"</formula>
    </cfRule>
    <cfRule type="expression" dxfId="1123" priority="243">
      <formula>D124="WW PODS"</formula>
    </cfRule>
    <cfRule type="expression" dxfId="1122" priority="244">
      <formula>D124="GRILLE"</formula>
    </cfRule>
    <cfRule type="expression" dxfId="1121" priority="245">
      <formula>D124="CENTREX"</formula>
    </cfRule>
    <cfRule type="expression" dxfId="1120" priority="246" stopIfTrue="1">
      <formula>D116="canopy type"</formula>
    </cfRule>
    <cfRule type="expression" dxfId="1119" priority="247">
      <formula>(((I116*3600)/(C124*I113))^2+20)&gt;300</formula>
    </cfRule>
    <cfRule type="expression" dxfId="1118" priority="248" stopIfTrue="1">
      <formula>(ISNUMBER(SEARCH("UV",D116)))</formula>
    </cfRule>
    <cfRule type="expression" dxfId="1117" priority="249">
      <formula>(((I116*3600)/(C124*I113))^2+20)&gt;180</formula>
    </cfRule>
    <cfRule type="expression" dxfId="1116" priority="250">
      <formula>D124="KSA"</formula>
    </cfRule>
  </conditionalFormatting>
  <conditionalFormatting sqref="F126">
    <cfRule type="cellIs" dxfId="1115" priority="271" operator="lessThan">
      <formula>2100</formula>
    </cfRule>
  </conditionalFormatting>
  <conditionalFormatting sqref="F131">
    <cfRule type="cellIs" dxfId="1114" priority="208" operator="greaterThan">
      <formula>3001</formula>
    </cfRule>
  </conditionalFormatting>
  <conditionalFormatting sqref="F134">
    <cfRule type="expression" dxfId="1113" priority="185">
      <formula>(C134="LED STRIP")</formula>
    </cfRule>
    <cfRule type="expression" dxfId="1112" priority="186">
      <formula>(C134="LIGHT SELECTION")</formula>
    </cfRule>
    <cfRule type="expression" dxfId="1111" priority="188">
      <formula>(C134="FLO")</formula>
    </cfRule>
  </conditionalFormatting>
  <conditionalFormatting sqref="F141:F142">
    <cfRule type="expression" dxfId="1110" priority="173">
      <formula>D141="NF"</formula>
    </cfRule>
    <cfRule type="expression" dxfId="1109" priority="174">
      <formula>D141="WW PODS"</formula>
    </cfRule>
    <cfRule type="expression" dxfId="1108" priority="175">
      <formula>D141="GRILLE"</formula>
    </cfRule>
    <cfRule type="expression" dxfId="1107" priority="176">
      <formula>D141="CENTREX"</formula>
    </cfRule>
    <cfRule type="expression" dxfId="1106" priority="177" stopIfTrue="1">
      <formula>D133="canopy type"</formula>
    </cfRule>
    <cfRule type="expression" dxfId="1105" priority="178">
      <formula>(((I133*3600)/(C141*I130))^2+20)&gt;300</formula>
    </cfRule>
    <cfRule type="expression" dxfId="1104" priority="179" stopIfTrue="1">
      <formula>(ISNUMBER(SEARCH("UV",D133)))</formula>
    </cfRule>
    <cfRule type="expression" dxfId="1103" priority="180">
      <formula>(((I133*3600)/(C141*I130))^2+20)&gt;180</formula>
    </cfRule>
    <cfRule type="expression" dxfId="1102" priority="181">
      <formula>D141="KSA"</formula>
    </cfRule>
  </conditionalFormatting>
  <conditionalFormatting sqref="F143">
    <cfRule type="cellIs" dxfId="1101" priority="202" operator="lessThan">
      <formula>2100</formula>
    </cfRule>
  </conditionalFormatting>
  <conditionalFormatting sqref="F148">
    <cfRule type="cellIs" dxfId="1100" priority="153" operator="greaterThan">
      <formula>3001</formula>
    </cfRule>
  </conditionalFormatting>
  <conditionalFormatting sqref="F151">
    <cfRule type="expression" dxfId="1099" priority="130">
      <formula>(C151="LED STRIP")</formula>
    </cfRule>
    <cfRule type="expression" dxfId="1098" priority="131">
      <formula>(C151="LIGHT SELECTION")</formula>
    </cfRule>
    <cfRule type="expression" dxfId="1097" priority="133">
      <formula>(C151="FLO")</formula>
    </cfRule>
  </conditionalFormatting>
  <conditionalFormatting sqref="F158:F159">
    <cfRule type="expression" dxfId="1096" priority="118">
      <formula>D158="NF"</formula>
    </cfRule>
    <cfRule type="expression" dxfId="1095" priority="119">
      <formula>D158="WW PODS"</formula>
    </cfRule>
    <cfRule type="expression" dxfId="1094" priority="120">
      <formula>D158="GRILLE"</formula>
    </cfRule>
    <cfRule type="expression" dxfId="1093" priority="121">
      <formula>D158="CENTREX"</formula>
    </cfRule>
    <cfRule type="expression" dxfId="1092" priority="122" stopIfTrue="1">
      <formula>D150="canopy type"</formula>
    </cfRule>
    <cfRule type="expression" dxfId="1091" priority="123">
      <formula>(((I150*3600)/(C158*I147))^2+20)&gt;300</formula>
    </cfRule>
    <cfRule type="expression" dxfId="1090" priority="124" stopIfTrue="1">
      <formula>(ISNUMBER(SEARCH("UV",D150)))</formula>
    </cfRule>
    <cfRule type="expression" dxfId="1089" priority="125">
      <formula>(((I150*3600)/(C158*I147))^2+20)&gt;180</formula>
    </cfRule>
    <cfRule type="expression" dxfId="1088" priority="126">
      <formula>D158="KSA"</formula>
    </cfRule>
  </conditionalFormatting>
  <conditionalFormatting sqref="F160">
    <cfRule type="cellIs" dxfId="1087" priority="147" operator="lessThan">
      <formula>2100</formula>
    </cfRule>
  </conditionalFormatting>
  <conditionalFormatting sqref="F165">
    <cfRule type="cellIs" dxfId="1086" priority="98" operator="greaterThan">
      <formula>3001</formula>
    </cfRule>
  </conditionalFormatting>
  <conditionalFormatting sqref="F168">
    <cfRule type="expression" dxfId="1085" priority="75">
      <formula>(C168="LED STRIP")</formula>
    </cfRule>
    <cfRule type="expression" dxfId="1084" priority="76">
      <formula>(C168="LIGHT SELECTION")</formula>
    </cfRule>
    <cfRule type="expression" dxfId="1083" priority="78">
      <formula>(C168="FLO")</formula>
    </cfRule>
  </conditionalFormatting>
  <conditionalFormatting sqref="F175:F176">
    <cfRule type="expression" dxfId="1082" priority="63">
      <formula>D175="NF"</formula>
    </cfRule>
    <cfRule type="expression" dxfId="1081" priority="64">
      <formula>D175="WW PODS"</formula>
    </cfRule>
    <cfRule type="expression" dxfId="1080" priority="65">
      <formula>D175="GRILLE"</formula>
    </cfRule>
    <cfRule type="expression" dxfId="1079" priority="66">
      <formula>D175="CENTREX"</formula>
    </cfRule>
    <cfRule type="expression" dxfId="1078" priority="67" stopIfTrue="1">
      <formula>D167="canopy type"</formula>
    </cfRule>
    <cfRule type="expression" dxfId="1077" priority="68">
      <formula>(((I167*3600)/(C175*I164))^2+20)&gt;300</formula>
    </cfRule>
    <cfRule type="expression" dxfId="1076" priority="69" stopIfTrue="1">
      <formula>(ISNUMBER(SEARCH("UV",D167)))</formula>
    </cfRule>
    <cfRule type="expression" dxfId="1075" priority="70">
      <formula>(((I167*3600)/(C175*I164))^2+20)&gt;180</formula>
    </cfRule>
    <cfRule type="expression" dxfId="1074" priority="71">
      <formula>D175="KSA"</formula>
    </cfRule>
  </conditionalFormatting>
  <conditionalFormatting sqref="F177">
    <cfRule type="cellIs" dxfId="1073" priority="92" operator="lessThan">
      <formula>2100</formula>
    </cfRule>
  </conditionalFormatting>
  <conditionalFormatting sqref="G11">
    <cfRule type="expression" dxfId="1072" priority="705">
      <formula>((F14-50)/H14)&lt;950</formula>
    </cfRule>
  </conditionalFormatting>
  <conditionalFormatting sqref="G12">
    <cfRule type="expression" dxfId="1071" priority="704">
      <formula>((F14-50)/H14)&lt;950</formula>
    </cfRule>
  </conditionalFormatting>
  <conditionalFormatting sqref="G14">
    <cfRule type="cellIs" dxfId="1070" priority="700" operator="lessThan">
      <formula>400</formula>
    </cfRule>
  </conditionalFormatting>
  <conditionalFormatting sqref="G28">
    <cfRule type="expression" dxfId="1069" priority="649">
      <formula>((F31-50)/H31)&lt;950</formula>
    </cfRule>
  </conditionalFormatting>
  <conditionalFormatting sqref="G29">
    <cfRule type="expression" dxfId="1068" priority="627">
      <formula>((F31-50)/H31)&lt;950</formula>
    </cfRule>
  </conditionalFormatting>
  <conditionalFormatting sqref="G31">
    <cfRule type="cellIs" dxfId="1067" priority="623" operator="lessThan">
      <formula>400</formula>
    </cfRule>
  </conditionalFormatting>
  <conditionalFormatting sqref="G45">
    <cfRule type="expression" dxfId="1066" priority="665">
      <formula>((F48-50)/H48)&lt;950</formula>
    </cfRule>
  </conditionalFormatting>
  <conditionalFormatting sqref="G46">
    <cfRule type="expression" dxfId="1065" priority="595">
      <formula>((F48-50)/H48)&lt;950</formula>
    </cfRule>
  </conditionalFormatting>
  <conditionalFormatting sqref="G48">
    <cfRule type="cellIs" dxfId="1064" priority="591" operator="lessThan">
      <formula>400</formula>
    </cfRule>
  </conditionalFormatting>
  <conditionalFormatting sqref="G62">
    <cfRule type="expression" dxfId="1063" priority="666">
      <formula>((F65-50)/H65)&lt;950</formula>
    </cfRule>
  </conditionalFormatting>
  <conditionalFormatting sqref="G63">
    <cfRule type="expression" dxfId="1062" priority="565">
      <formula>((F65-50)/H65)&lt;950</formula>
    </cfRule>
  </conditionalFormatting>
  <conditionalFormatting sqref="G65">
    <cfRule type="cellIs" dxfId="1061" priority="561" operator="lessThan">
      <formula>400</formula>
    </cfRule>
  </conditionalFormatting>
  <conditionalFormatting sqref="G79">
    <cfRule type="expression" dxfId="1060" priority="667">
      <formula>((F82-50)/H82)&lt;950</formula>
    </cfRule>
  </conditionalFormatting>
  <conditionalFormatting sqref="G80">
    <cfRule type="expression" dxfId="1059" priority="534">
      <formula>((F82-50)/H82)&lt;950</formula>
    </cfRule>
  </conditionalFormatting>
  <conditionalFormatting sqref="G82">
    <cfRule type="cellIs" dxfId="1058" priority="530" operator="lessThan">
      <formula>400</formula>
    </cfRule>
  </conditionalFormatting>
  <conditionalFormatting sqref="G96">
    <cfRule type="expression" dxfId="1057" priority="677">
      <formula>((F99-50)/H99)&lt;950</formula>
    </cfRule>
  </conditionalFormatting>
  <conditionalFormatting sqref="G97">
    <cfRule type="expression" dxfId="1056" priority="502">
      <formula>((F99-50)/H99)&lt;950</formula>
    </cfRule>
  </conditionalFormatting>
  <conditionalFormatting sqref="G99">
    <cfRule type="cellIs" dxfId="1055" priority="498" operator="lessThan">
      <formula>400</formula>
    </cfRule>
  </conditionalFormatting>
  <conditionalFormatting sqref="G113">
    <cfRule type="expression" dxfId="1054" priority="289">
      <formula>((F116-50)/H116)&lt;950</formula>
    </cfRule>
  </conditionalFormatting>
  <conditionalFormatting sqref="G114">
    <cfRule type="expression" dxfId="1053" priority="278">
      <formula>((F116-50)/H116)&lt;950</formula>
    </cfRule>
  </conditionalFormatting>
  <conditionalFormatting sqref="G116">
    <cfRule type="cellIs" dxfId="1052" priority="274" operator="lessThan">
      <formula>400</formula>
    </cfRule>
  </conditionalFormatting>
  <conditionalFormatting sqref="G130">
    <cfRule type="expression" dxfId="1051" priority="220">
      <formula>((F133-50)/H133)&lt;950</formula>
    </cfRule>
  </conditionalFormatting>
  <conditionalFormatting sqref="G131">
    <cfRule type="expression" dxfId="1050" priority="209">
      <formula>((F133-50)/H133)&lt;950</formula>
    </cfRule>
  </conditionalFormatting>
  <conditionalFormatting sqref="G133">
    <cfRule type="cellIs" dxfId="1049" priority="205" operator="lessThan">
      <formula>400</formula>
    </cfRule>
  </conditionalFormatting>
  <conditionalFormatting sqref="G147">
    <cfRule type="expression" dxfId="1048" priority="165">
      <formula>((F150-50)/H150)&lt;950</formula>
    </cfRule>
  </conditionalFormatting>
  <conditionalFormatting sqref="G148">
    <cfRule type="expression" dxfId="1047" priority="154">
      <formula>((F150-50)/H150)&lt;950</formula>
    </cfRule>
  </conditionalFormatting>
  <conditionalFormatting sqref="G150">
    <cfRule type="cellIs" dxfId="1046" priority="150" operator="lessThan">
      <formula>400</formula>
    </cfRule>
  </conditionalFormatting>
  <conditionalFormatting sqref="G164">
    <cfRule type="expression" dxfId="1045" priority="110">
      <formula>((F167-50)/H167)&lt;950</formula>
    </cfRule>
  </conditionalFormatting>
  <conditionalFormatting sqref="G165">
    <cfRule type="expression" dxfId="1044" priority="99">
      <formula>((F167-50)/H167)&lt;950</formula>
    </cfRule>
  </conditionalFormatting>
  <conditionalFormatting sqref="G167">
    <cfRule type="cellIs" dxfId="1043" priority="95" operator="lessThan">
      <formula>400</formula>
    </cfRule>
  </conditionalFormatting>
  <conditionalFormatting sqref="I14">
    <cfRule type="cellIs" dxfId="1042" priority="701" operator="lessThan">
      <formula>0.1</formula>
    </cfRule>
  </conditionalFormatting>
  <conditionalFormatting sqref="I31">
    <cfRule type="cellIs" dxfId="1041" priority="624" operator="lessThan">
      <formula>0.1</formula>
    </cfRule>
  </conditionalFormatting>
  <conditionalFormatting sqref="I48">
    <cfRule type="cellIs" dxfId="1040" priority="592" operator="lessThan">
      <formula>0.1</formula>
    </cfRule>
  </conditionalFormatting>
  <conditionalFormatting sqref="I65">
    <cfRule type="cellIs" dxfId="1039" priority="562" operator="lessThan">
      <formula>0.1</formula>
    </cfRule>
  </conditionalFormatting>
  <conditionalFormatting sqref="I82">
    <cfRule type="cellIs" dxfId="1038" priority="531" operator="lessThan">
      <formula>0.1</formula>
    </cfRule>
  </conditionalFormatting>
  <conditionalFormatting sqref="I99">
    <cfRule type="cellIs" dxfId="1037" priority="499" operator="lessThan">
      <formula>0.1</formula>
    </cfRule>
  </conditionalFormatting>
  <conditionalFormatting sqref="I116">
    <cfRule type="cellIs" dxfId="1036" priority="275" operator="lessThan">
      <formula>0.1</formula>
    </cfRule>
  </conditionalFormatting>
  <conditionalFormatting sqref="I133">
    <cfRule type="cellIs" dxfId="1035" priority="206" operator="lessThan">
      <formula>0.1</formula>
    </cfRule>
  </conditionalFormatting>
  <conditionalFormatting sqref="I150">
    <cfRule type="cellIs" dxfId="1034" priority="151" operator="lessThan">
      <formula>0.1</formula>
    </cfRule>
  </conditionalFormatting>
  <conditionalFormatting sqref="I167">
    <cfRule type="cellIs" dxfId="1033" priority="96" operator="lessThan">
      <formula>0.1</formula>
    </cfRule>
  </conditionalFormatting>
  <conditionalFormatting sqref="J14:J27">
    <cfRule type="cellIs" dxfId="1032" priority="422" operator="greaterThan">
      <formula>0</formula>
    </cfRule>
  </conditionalFormatting>
  <conditionalFormatting sqref="J31:J32 J34:J44">
    <cfRule type="cellIs" dxfId="1031" priority="395" operator="greaterThan">
      <formula>0</formula>
    </cfRule>
  </conditionalFormatting>
  <conditionalFormatting sqref="J48:J49 J51:J61">
    <cfRule type="cellIs" dxfId="1030" priority="369" operator="greaterThan">
      <formula>0</formula>
    </cfRule>
  </conditionalFormatting>
  <conditionalFormatting sqref="J65:J66 J68:J78">
    <cfRule type="cellIs" dxfId="1029" priority="343" operator="greaterThan">
      <formula>0</formula>
    </cfRule>
  </conditionalFormatting>
  <conditionalFormatting sqref="J82:J83 J85:J95">
    <cfRule type="cellIs" dxfId="1028" priority="317" operator="greaterThan">
      <formula>0</formula>
    </cfRule>
  </conditionalFormatting>
  <conditionalFormatting sqref="J99:J100 J102:J112">
    <cfRule type="cellIs" dxfId="1027" priority="291" operator="greaterThan">
      <formula>0</formula>
    </cfRule>
  </conditionalFormatting>
  <conditionalFormatting sqref="J116:J117 J133:J134 J150:J151 J167:J168 J119:J129 J136:J146 J153:J163 J170:J180">
    <cfRule type="cellIs" dxfId="1026" priority="226" operator="greaterThan">
      <formula>0</formula>
    </cfRule>
  </conditionalFormatting>
  <conditionalFormatting sqref="J183:J197">
    <cfRule type="expression" dxfId="1025" priority="221">
      <formula>C183&gt;0</formula>
    </cfRule>
  </conditionalFormatting>
  <conditionalFormatting sqref="J199">
    <cfRule type="expression" dxfId="1024" priority="682">
      <formula>#REF!="EURO"</formula>
    </cfRule>
  </conditionalFormatting>
  <conditionalFormatting sqref="K14:K27">
    <cfRule type="cellIs" dxfId="1023" priority="436" operator="greaterThan">
      <formula>0</formula>
    </cfRule>
  </conditionalFormatting>
  <conditionalFormatting sqref="K31:K32 K34:K44">
    <cfRule type="cellIs" dxfId="1022" priority="398" operator="greaterThan">
      <formula>0</formula>
    </cfRule>
  </conditionalFormatting>
  <conditionalFormatting sqref="K48:K49 K51:K61">
    <cfRule type="cellIs" dxfId="1021" priority="372" operator="greaterThan">
      <formula>0</formula>
    </cfRule>
  </conditionalFormatting>
  <conditionalFormatting sqref="K65:K66 K68:K78">
    <cfRule type="cellIs" dxfId="1020" priority="346" operator="greaterThan">
      <formula>0</formula>
    </cfRule>
  </conditionalFormatting>
  <conditionalFormatting sqref="K82:K83 K85:K95">
    <cfRule type="cellIs" dxfId="1019" priority="320" operator="greaterThan">
      <formula>0</formula>
    </cfRule>
  </conditionalFormatting>
  <conditionalFormatting sqref="K99:K100 K102:K112">
    <cfRule type="cellIs" dxfId="1018" priority="294" operator="greaterThan">
      <formula>0</formula>
    </cfRule>
  </conditionalFormatting>
  <conditionalFormatting sqref="K116:K117 K133:K134 K150:K151 K167:K168 K119:K129 K136:K146 K153:K163 K170:K180">
    <cfRule type="cellIs" dxfId="1017" priority="229" operator="greaterThan">
      <formula>0</formula>
    </cfRule>
  </conditionalFormatting>
  <conditionalFormatting sqref="K183:K197">
    <cfRule type="cellIs" dxfId="1016" priority="222" operator="greaterThan">
      <formula>0</formula>
    </cfRule>
  </conditionalFormatting>
  <conditionalFormatting sqref="K199">
    <cfRule type="expression" dxfId="1015" priority="678">
      <formula>$B$9="PLN"</formula>
    </cfRule>
    <cfRule type="expression" dxfId="1014" priority="679">
      <formula>$B$9="CZK"</formula>
    </cfRule>
    <cfRule type="expression" dxfId="1013" priority="680">
      <formula>$B$9="USD"</formula>
    </cfRule>
    <cfRule type="expression" dxfId="1012" priority="681">
      <formula>$B$9="EURO"</formula>
    </cfRule>
  </conditionalFormatting>
  <conditionalFormatting sqref="L14:L27">
    <cfRule type="expression" dxfId="1011" priority="433">
      <formula>$C$9&lt;0</formula>
    </cfRule>
    <cfRule type="expression" dxfId="1010" priority="434">
      <formula>$C$9&gt;0</formula>
    </cfRule>
  </conditionalFormatting>
  <conditionalFormatting sqref="L31:L44">
    <cfRule type="expression" dxfId="1009" priority="396">
      <formula>$C$9&lt;0</formula>
    </cfRule>
    <cfRule type="expression" dxfId="1008" priority="397">
      <formula>$C$9&gt;0</formula>
    </cfRule>
  </conditionalFormatting>
  <conditionalFormatting sqref="L48:L61">
    <cfRule type="expression" dxfId="1007" priority="370">
      <formula>$C$9&lt;0</formula>
    </cfRule>
    <cfRule type="expression" dxfId="1006" priority="371">
      <formula>$C$9&gt;0</formula>
    </cfRule>
  </conditionalFormatting>
  <conditionalFormatting sqref="L65:L78">
    <cfRule type="expression" dxfId="1005" priority="344">
      <formula>$C$9&lt;0</formula>
    </cfRule>
    <cfRule type="expression" dxfId="1004" priority="345">
      <formula>$C$9&gt;0</formula>
    </cfRule>
  </conditionalFormatting>
  <conditionalFormatting sqref="L82:L95">
    <cfRule type="expression" dxfId="1003" priority="318">
      <formula>$C$9&lt;0</formula>
    </cfRule>
    <cfRule type="expression" dxfId="1002" priority="319">
      <formula>$C$9&gt;0</formula>
    </cfRule>
  </conditionalFormatting>
  <conditionalFormatting sqref="L99:L112">
    <cfRule type="expression" dxfId="1001" priority="292">
      <formula>$C$9&lt;0</formula>
    </cfRule>
    <cfRule type="expression" dxfId="1000" priority="293">
      <formula>$C$9&gt;0</formula>
    </cfRule>
  </conditionalFormatting>
  <conditionalFormatting sqref="L116:L129 L133:L146 L150:L163 L167:L180">
    <cfRule type="expression" dxfId="999" priority="227">
      <formula>$C$9&lt;0</formula>
    </cfRule>
    <cfRule type="expression" dxfId="998" priority="228">
      <formula>$C$9&gt;0</formula>
    </cfRule>
  </conditionalFormatting>
  <conditionalFormatting sqref="L183:L197">
    <cfRule type="expression" dxfId="997" priority="668">
      <formula>$C$9&lt;0</formula>
    </cfRule>
    <cfRule type="expression" dxfId="996" priority="669">
      <formula>$C$9&gt;0</formula>
    </cfRule>
  </conditionalFormatting>
  <conditionalFormatting sqref="N9 N12">
    <cfRule type="expression" dxfId="995" priority="712">
      <formula>$B$9="PLN"</formula>
    </cfRule>
    <cfRule type="expression" dxfId="994" priority="713">
      <formula>$B$9="CZK"</formula>
    </cfRule>
    <cfRule type="expression" dxfId="993" priority="714">
      <formula>$B$9="USD"</formula>
    </cfRule>
    <cfRule type="expression" dxfId="992" priority="715">
      <formula>$B$9="EURO"</formula>
    </cfRule>
  </conditionalFormatting>
  <conditionalFormatting sqref="N14:N27">
    <cfRule type="cellIs" dxfId="991" priority="652" operator="greaterThan">
      <formula>0</formula>
    </cfRule>
    <cfRule type="expression" dxfId="990" priority="653">
      <formula>$B$9="EURO"</formula>
    </cfRule>
    <cfRule type="expression" dxfId="989" priority="654">
      <formula>$B$9="USD"</formula>
    </cfRule>
    <cfRule type="expression" dxfId="988" priority="655">
      <formula>$B$9="PLN"</formula>
    </cfRule>
    <cfRule type="expression" dxfId="987" priority="656">
      <formula>$B$9="CZK"</formula>
    </cfRule>
  </conditionalFormatting>
  <conditionalFormatting sqref="N29">
    <cfRule type="expression" dxfId="986" priority="633">
      <formula>$B$9="PLN"</formula>
    </cfRule>
    <cfRule type="expression" dxfId="985" priority="634">
      <formula>$B$9="CZK"</formula>
    </cfRule>
    <cfRule type="expression" dxfId="984" priority="635">
      <formula>$B$9="USD"</formula>
    </cfRule>
    <cfRule type="expression" dxfId="983" priority="636">
      <formula>$B$9="EURO"</formula>
    </cfRule>
  </conditionalFormatting>
  <conditionalFormatting sqref="N31:N44">
    <cfRule type="cellIs" dxfId="982" priority="401" operator="greaterThan">
      <formula>0</formula>
    </cfRule>
    <cfRule type="expression" dxfId="981" priority="402">
      <formula>$B$9="EURO"</formula>
    </cfRule>
    <cfRule type="expression" dxfId="980" priority="403">
      <formula>$B$9="USD"</formula>
    </cfRule>
    <cfRule type="expression" dxfId="979" priority="404">
      <formula>$B$9="PLN"</formula>
    </cfRule>
    <cfRule type="expression" dxfId="978" priority="405">
      <formula>$B$9="CZK"</formula>
    </cfRule>
  </conditionalFormatting>
  <conditionalFormatting sqref="N46">
    <cfRule type="expression" dxfId="977" priority="601">
      <formula>$B$9="PLN"</formula>
    </cfRule>
    <cfRule type="expression" dxfId="976" priority="602">
      <formula>$B$9="CZK"</formula>
    </cfRule>
    <cfRule type="expression" dxfId="975" priority="603">
      <formula>$B$9="USD"</formula>
    </cfRule>
    <cfRule type="expression" dxfId="974" priority="604">
      <formula>$B$9="EURO"</formula>
    </cfRule>
  </conditionalFormatting>
  <conditionalFormatting sqref="N48:N61">
    <cfRule type="cellIs" dxfId="973" priority="375" operator="greaterThan">
      <formula>0</formula>
    </cfRule>
    <cfRule type="expression" dxfId="972" priority="376">
      <formula>$B$9="EURO"</formula>
    </cfRule>
    <cfRule type="expression" dxfId="971" priority="377">
      <formula>$B$9="USD"</formula>
    </cfRule>
    <cfRule type="expression" dxfId="970" priority="378">
      <formula>$B$9="PLN"</formula>
    </cfRule>
    <cfRule type="expression" dxfId="969" priority="379">
      <formula>$B$9="CZK"</formula>
    </cfRule>
  </conditionalFormatting>
  <conditionalFormatting sqref="N63">
    <cfRule type="expression" dxfId="968" priority="571">
      <formula>$B$9="PLN"</formula>
    </cfRule>
    <cfRule type="expression" dxfId="967" priority="572">
      <formula>$B$9="CZK"</formula>
    </cfRule>
    <cfRule type="expression" dxfId="966" priority="573">
      <formula>$B$9="USD"</formula>
    </cfRule>
    <cfRule type="expression" dxfId="965" priority="574">
      <formula>$B$9="EURO"</formula>
    </cfRule>
  </conditionalFormatting>
  <conditionalFormatting sqref="N65:N78">
    <cfRule type="cellIs" dxfId="964" priority="349" operator="greaterThan">
      <formula>0</formula>
    </cfRule>
    <cfRule type="expression" dxfId="963" priority="350">
      <formula>$B$9="EURO"</formula>
    </cfRule>
    <cfRule type="expression" dxfId="962" priority="351">
      <formula>$B$9="USD"</formula>
    </cfRule>
    <cfRule type="expression" dxfId="961" priority="352">
      <formula>$B$9="PLN"</formula>
    </cfRule>
    <cfRule type="expression" dxfId="960" priority="353">
      <formula>$B$9="CZK"</formula>
    </cfRule>
  </conditionalFormatting>
  <conditionalFormatting sqref="N80">
    <cfRule type="expression" dxfId="959" priority="540">
      <formula>$B$9="PLN"</formula>
    </cfRule>
    <cfRule type="expression" dxfId="958" priority="541">
      <formula>$B$9="CZK"</formula>
    </cfRule>
    <cfRule type="expression" dxfId="957" priority="542">
      <formula>$B$9="USD"</formula>
    </cfRule>
    <cfRule type="expression" dxfId="956" priority="543">
      <formula>$B$9="EURO"</formula>
    </cfRule>
  </conditionalFormatting>
  <conditionalFormatting sqref="N82:N95">
    <cfRule type="cellIs" dxfId="955" priority="323" operator="greaterThan">
      <formula>0</formula>
    </cfRule>
    <cfRule type="expression" dxfId="954" priority="324">
      <formula>$B$9="EURO"</formula>
    </cfRule>
    <cfRule type="expression" dxfId="953" priority="325">
      <formula>$B$9="USD"</formula>
    </cfRule>
    <cfRule type="expression" dxfId="952" priority="326">
      <formula>$B$9="PLN"</formula>
    </cfRule>
    <cfRule type="expression" dxfId="951" priority="327">
      <formula>$B$9="CZK"</formula>
    </cfRule>
  </conditionalFormatting>
  <conditionalFormatting sqref="N97">
    <cfRule type="expression" dxfId="950" priority="508">
      <formula>$B$9="PLN"</formula>
    </cfRule>
    <cfRule type="expression" dxfId="949" priority="509">
      <formula>$B$9="CZK"</formula>
    </cfRule>
    <cfRule type="expression" dxfId="948" priority="510">
      <formula>$B$9="USD"</formula>
    </cfRule>
    <cfRule type="expression" dxfId="947" priority="511">
      <formula>$B$9="EURO"</formula>
    </cfRule>
  </conditionalFormatting>
  <conditionalFormatting sqref="N99:N112">
    <cfRule type="cellIs" dxfId="946" priority="297" operator="greaterThan">
      <formula>0</formula>
    </cfRule>
    <cfRule type="expression" dxfId="945" priority="298">
      <formula>$B$9="EURO"</formula>
    </cfRule>
    <cfRule type="expression" dxfId="944" priority="299">
      <formula>$B$9="USD"</formula>
    </cfRule>
    <cfRule type="expression" dxfId="943" priority="300">
      <formula>$B$9="PLN"</formula>
    </cfRule>
    <cfRule type="expression" dxfId="942" priority="301">
      <formula>$B$9="CZK"</formula>
    </cfRule>
  </conditionalFormatting>
  <conditionalFormatting sqref="N114">
    <cfRule type="expression" dxfId="941" priority="284">
      <formula>$B$9="PLN"</formula>
    </cfRule>
    <cfRule type="expression" dxfId="940" priority="285">
      <formula>$B$9="CZK"</formula>
    </cfRule>
    <cfRule type="expression" dxfId="939" priority="286">
      <formula>$B$9="USD"</formula>
    </cfRule>
    <cfRule type="expression" dxfId="938" priority="287">
      <formula>$B$9="EURO"</formula>
    </cfRule>
  </conditionalFormatting>
  <conditionalFormatting sqref="N116:N129 N133:N146 N150:N163 N167:N180">
    <cfRule type="cellIs" dxfId="937" priority="232" operator="greaterThan">
      <formula>0</formula>
    </cfRule>
    <cfRule type="expression" dxfId="936" priority="233">
      <formula>$B$9="EURO"</formula>
    </cfRule>
    <cfRule type="expression" dxfId="935" priority="234">
      <formula>$B$9="USD"</formula>
    </cfRule>
    <cfRule type="expression" dxfId="934" priority="235">
      <formula>$B$9="PLN"</formula>
    </cfRule>
    <cfRule type="expression" dxfId="933" priority="236">
      <formula>$B$9="CZK"</formula>
    </cfRule>
  </conditionalFormatting>
  <conditionalFormatting sqref="N131">
    <cfRule type="expression" dxfId="932" priority="215">
      <formula>$B$9="PLN"</formula>
    </cfRule>
    <cfRule type="expression" dxfId="931" priority="216">
      <formula>$B$9="CZK"</formula>
    </cfRule>
    <cfRule type="expression" dxfId="930" priority="217">
      <formula>$B$9="USD"</formula>
    </cfRule>
    <cfRule type="expression" dxfId="929" priority="218">
      <formula>$B$9="EURO"</formula>
    </cfRule>
  </conditionalFormatting>
  <conditionalFormatting sqref="N148">
    <cfRule type="expression" dxfId="928" priority="160">
      <formula>$B$9="PLN"</formula>
    </cfRule>
    <cfRule type="expression" dxfId="927" priority="161">
      <formula>$B$9="CZK"</formula>
    </cfRule>
    <cfRule type="expression" dxfId="926" priority="162">
      <formula>$B$9="USD"</formula>
    </cfRule>
    <cfRule type="expression" dxfId="925" priority="163">
      <formula>$B$9="EURO"</formula>
    </cfRule>
  </conditionalFormatting>
  <conditionalFormatting sqref="N165">
    <cfRule type="expression" dxfId="924" priority="105">
      <formula>$B$9="PLN"</formula>
    </cfRule>
    <cfRule type="expression" dxfId="923" priority="106">
      <formula>$B$9="CZK"</formula>
    </cfRule>
    <cfRule type="expression" dxfId="922" priority="107">
      <formula>$B$9="USD"</formula>
    </cfRule>
    <cfRule type="expression" dxfId="921" priority="108">
      <formula>$B$9="EURO"</formula>
    </cfRule>
  </conditionalFormatting>
  <conditionalFormatting sqref="N183:N197">
    <cfRule type="cellIs" dxfId="920" priority="660" operator="greaterThan">
      <formula>0</formula>
    </cfRule>
    <cfRule type="expression" dxfId="919" priority="661">
      <formula>$B$9="EURO"</formula>
    </cfRule>
    <cfRule type="expression" dxfId="918" priority="662">
      <formula>$B$9="USD"</formula>
    </cfRule>
    <cfRule type="expression" dxfId="917" priority="663">
      <formula>$B$9="PLN"</formula>
    </cfRule>
    <cfRule type="expression" dxfId="916" priority="664">
      <formula>$B$9="CZK"</formula>
    </cfRule>
  </conditionalFormatting>
  <conditionalFormatting sqref="N182:O182">
    <cfRule type="expression" dxfId="915" priority="670">
      <formula>$B$9="PLN"</formula>
    </cfRule>
    <cfRule type="expression" dxfId="914" priority="671">
      <formula>$B$9="CZK"</formula>
    </cfRule>
    <cfRule type="expression" dxfId="913" priority="672">
      <formula>$B$9="USD"</formula>
    </cfRule>
    <cfRule type="expression" dxfId="912" priority="673">
      <formula>$B$9="EURO"</formula>
    </cfRule>
  </conditionalFormatting>
  <conditionalFormatting sqref="O14:O27">
    <cfRule type="cellIs" dxfId="911" priority="657" operator="greaterThan">
      <formula>0</formula>
    </cfRule>
  </conditionalFormatting>
  <conditionalFormatting sqref="O31:O44">
    <cfRule type="cellIs" dxfId="910" priority="406" operator="greaterThan">
      <formula>0</formula>
    </cfRule>
  </conditionalFormatting>
  <conditionalFormatting sqref="O48:O61">
    <cfRule type="cellIs" dxfId="909" priority="380" operator="greaterThan">
      <formula>0</formula>
    </cfRule>
  </conditionalFormatting>
  <conditionalFormatting sqref="O65:O78">
    <cfRule type="cellIs" dxfId="908" priority="354" operator="greaterThan">
      <formula>0</formula>
    </cfRule>
  </conditionalFormatting>
  <conditionalFormatting sqref="O82:O95">
    <cfRule type="cellIs" dxfId="907" priority="328" operator="greaterThan">
      <formula>0</formula>
    </cfRule>
  </conditionalFormatting>
  <conditionalFormatting sqref="O99:O112">
    <cfRule type="cellIs" dxfId="906" priority="302" operator="greaterThan">
      <formula>0</formula>
    </cfRule>
  </conditionalFormatting>
  <conditionalFormatting sqref="O116:O129 O133:O146 O150:O163 O167:O180">
    <cfRule type="cellIs" dxfId="905" priority="237" operator="greaterThan">
      <formula>0</formula>
    </cfRule>
  </conditionalFormatting>
  <conditionalFormatting sqref="O183:O197">
    <cfRule type="cellIs" dxfId="904" priority="683" operator="greaterThan">
      <formula>0</formula>
    </cfRule>
  </conditionalFormatting>
  <conditionalFormatting sqref="Q16">
    <cfRule type="cellIs" dxfId="903" priority="423" operator="greaterThan">
      <formula>0</formula>
    </cfRule>
    <cfRule type="expression" dxfId="902" priority="424">
      <formula>$B$9="EURO"</formula>
    </cfRule>
    <cfRule type="expression" dxfId="901" priority="425">
      <formula>$B$9="USD"</formula>
    </cfRule>
    <cfRule type="expression" dxfId="900" priority="426">
      <formula>$B$9="PLN"</formula>
    </cfRule>
    <cfRule type="expression" dxfId="899" priority="427">
      <formula>$B$9="CZK"</formula>
    </cfRule>
  </conditionalFormatting>
  <conditionalFormatting sqref="B33">
    <cfRule type="expression" dxfId="898" priority="52">
      <formula>$J33&gt;0</formula>
    </cfRule>
  </conditionalFormatting>
  <conditionalFormatting sqref="D33">
    <cfRule type="expression" dxfId="896" priority="53">
      <formula>($C33="SELECT WORKS")</formula>
    </cfRule>
  </conditionalFormatting>
  <conditionalFormatting sqref="E33">
    <cfRule type="expression" dxfId="895" priority="49">
      <formula>$C33="SELECT WORKS"</formula>
    </cfRule>
  </conditionalFormatting>
  <conditionalFormatting sqref="J33">
    <cfRule type="cellIs" dxfId="894" priority="50" operator="greaterThan">
      <formula>0</formula>
    </cfRule>
  </conditionalFormatting>
  <conditionalFormatting sqref="K33">
    <cfRule type="cellIs" dxfId="893" priority="51" operator="greaterThan">
      <formula>0</formula>
    </cfRule>
  </conditionalFormatting>
  <conditionalFormatting sqref="B50">
    <cfRule type="expression" dxfId="892" priority="46">
      <formula>$J50&gt;0</formula>
    </cfRule>
  </conditionalFormatting>
  <conditionalFormatting sqref="D50">
    <cfRule type="expression" dxfId="890" priority="47">
      <formula>($C50="SELECT WORKS")</formula>
    </cfRule>
  </conditionalFormatting>
  <conditionalFormatting sqref="E50">
    <cfRule type="expression" dxfId="889" priority="43">
      <formula>$C50="SELECT WORKS"</formula>
    </cfRule>
  </conditionalFormatting>
  <conditionalFormatting sqref="J50">
    <cfRule type="cellIs" dxfId="888" priority="44" operator="greaterThan">
      <formula>0</formula>
    </cfRule>
  </conditionalFormatting>
  <conditionalFormatting sqref="K50">
    <cfRule type="cellIs" dxfId="887" priority="45" operator="greaterThan">
      <formula>0</formula>
    </cfRule>
  </conditionalFormatting>
  <conditionalFormatting sqref="B67">
    <cfRule type="expression" dxfId="886" priority="40">
      <formula>$J67&gt;0</formula>
    </cfRule>
  </conditionalFormatting>
  <conditionalFormatting sqref="D67">
    <cfRule type="expression" dxfId="884" priority="41">
      <formula>($C67="SELECT WORKS")</formula>
    </cfRule>
  </conditionalFormatting>
  <conditionalFormatting sqref="E67">
    <cfRule type="expression" dxfId="883" priority="37">
      <formula>$C67="SELECT WORKS"</formula>
    </cfRule>
  </conditionalFormatting>
  <conditionalFormatting sqref="J67">
    <cfRule type="cellIs" dxfId="882" priority="38" operator="greaterThan">
      <formula>0</formula>
    </cfRule>
  </conditionalFormatting>
  <conditionalFormatting sqref="K67">
    <cfRule type="cellIs" dxfId="881" priority="39" operator="greaterThan">
      <formula>0</formula>
    </cfRule>
  </conditionalFormatting>
  <conditionalFormatting sqref="B84">
    <cfRule type="expression" dxfId="880" priority="34">
      <formula>$J84&gt;0</formula>
    </cfRule>
  </conditionalFormatting>
  <conditionalFormatting sqref="D84">
    <cfRule type="expression" dxfId="878" priority="35">
      <formula>($C84="SELECT WORKS")</formula>
    </cfRule>
  </conditionalFormatting>
  <conditionalFormatting sqref="E84">
    <cfRule type="expression" dxfId="877" priority="31">
      <formula>$C84="SELECT WORKS"</formula>
    </cfRule>
  </conditionalFormatting>
  <conditionalFormatting sqref="J84">
    <cfRule type="cellIs" dxfId="876" priority="32" operator="greaterThan">
      <formula>0</formula>
    </cfRule>
  </conditionalFormatting>
  <conditionalFormatting sqref="K84">
    <cfRule type="cellIs" dxfId="875" priority="33" operator="greaterThan">
      <formula>0</formula>
    </cfRule>
  </conditionalFormatting>
  <conditionalFormatting sqref="B101">
    <cfRule type="expression" dxfId="874" priority="28">
      <formula>$J101&gt;0</formula>
    </cfRule>
  </conditionalFormatting>
  <conditionalFormatting sqref="D101">
    <cfRule type="expression" dxfId="872" priority="29">
      <formula>($C101="SELECT WORKS")</formula>
    </cfRule>
  </conditionalFormatting>
  <conditionalFormatting sqref="E101">
    <cfRule type="expression" dxfId="871" priority="25">
      <formula>$C101="SELECT WORKS"</formula>
    </cfRule>
  </conditionalFormatting>
  <conditionalFormatting sqref="J101">
    <cfRule type="cellIs" dxfId="870" priority="26" operator="greaterThan">
      <formula>0</formula>
    </cfRule>
  </conditionalFormatting>
  <conditionalFormatting sqref="K101">
    <cfRule type="cellIs" dxfId="869" priority="27" operator="greaterThan">
      <formula>0</formula>
    </cfRule>
  </conditionalFormatting>
  <conditionalFormatting sqref="B118">
    <cfRule type="expression" dxfId="868" priority="22">
      <formula>$J118&gt;0</formula>
    </cfRule>
  </conditionalFormatting>
  <conditionalFormatting sqref="D118">
    <cfRule type="expression" dxfId="866" priority="23">
      <formula>($C118="SELECT WORKS")</formula>
    </cfRule>
  </conditionalFormatting>
  <conditionalFormatting sqref="E118">
    <cfRule type="expression" dxfId="865" priority="19">
      <formula>$C118="SELECT WORKS"</formula>
    </cfRule>
  </conditionalFormatting>
  <conditionalFormatting sqref="J118">
    <cfRule type="cellIs" dxfId="864" priority="20" operator="greaterThan">
      <formula>0</formula>
    </cfRule>
  </conditionalFormatting>
  <conditionalFormatting sqref="K118">
    <cfRule type="cellIs" dxfId="863" priority="21" operator="greaterThan">
      <formula>0</formula>
    </cfRule>
  </conditionalFormatting>
  <conditionalFormatting sqref="B135">
    <cfRule type="expression" dxfId="862" priority="16">
      <formula>$J135&gt;0</formula>
    </cfRule>
  </conditionalFormatting>
  <conditionalFormatting sqref="D135">
    <cfRule type="expression" dxfId="860" priority="17">
      <formula>($C135="SELECT WORKS")</formula>
    </cfRule>
  </conditionalFormatting>
  <conditionalFormatting sqref="E135">
    <cfRule type="expression" dxfId="859" priority="13">
      <formula>$C135="SELECT WORKS"</formula>
    </cfRule>
  </conditionalFormatting>
  <conditionalFormatting sqref="J135">
    <cfRule type="cellIs" dxfId="858" priority="14" operator="greaterThan">
      <formula>0</formula>
    </cfRule>
  </conditionalFormatting>
  <conditionalFormatting sqref="K135">
    <cfRule type="cellIs" dxfId="857" priority="15" operator="greaterThan">
      <formula>0</formula>
    </cfRule>
  </conditionalFormatting>
  <conditionalFormatting sqref="B152">
    <cfRule type="expression" dxfId="856" priority="10">
      <formula>$J152&gt;0</formula>
    </cfRule>
  </conditionalFormatting>
  <conditionalFormatting sqref="D152">
    <cfRule type="expression" dxfId="854" priority="11">
      <formula>($C152="SELECT WORKS")</formula>
    </cfRule>
  </conditionalFormatting>
  <conditionalFormatting sqref="E152">
    <cfRule type="expression" dxfId="853" priority="7">
      <formula>$C152="SELECT WORKS"</formula>
    </cfRule>
  </conditionalFormatting>
  <conditionalFormatting sqref="J152">
    <cfRule type="cellIs" dxfId="852" priority="8" operator="greaterThan">
      <formula>0</formula>
    </cfRule>
  </conditionalFormatting>
  <conditionalFormatting sqref="K152">
    <cfRule type="cellIs" dxfId="851" priority="9" operator="greaterThan">
      <formula>0</formula>
    </cfRule>
  </conditionalFormatting>
  <conditionalFormatting sqref="B169">
    <cfRule type="expression" dxfId="850" priority="4">
      <formula>$J169&gt;0</formula>
    </cfRule>
  </conditionalFormatting>
  <conditionalFormatting sqref="D169">
    <cfRule type="expression" dxfId="848" priority="5">
      <formula>($C169="SELECT WORKS")</formula>
    </cfRule>
  </conditionalFormatting>
  <conditionalFormatting sqref="E169">
    <cfRule type="expression" dxfId="847" priority="1">
      <formula>$C169="SELECT WORKS"</formula>
    </cfRule>
  </conditionalFormatting>
  <conditionalFormatting sqref="J169">
    <cfRule type="cellIs" dxfId="846" priority="2" operator="greaterThan">
      <formula>0</formula>
    </cfRule>
  </conditionalFormatting>
  <conditionalFormatting sqref="K169">
    <cfRule type="cellIs" dxfId="845" priority="3" operator="greaterThan">
      <formula>0</formula>
    </cfRule>
  </conditionalFormatting>
  <dataValidations count="7">
    <dataValidation type="list" allowBlank="1" showInputMessage="1" showErrorMessage="1" sqref="D26 D94 D77 D60 D43 D111 D128 D145 D162 D179" xr:uid="{0AF3BA8C-8F4A-0D45-9DE5-F49403F392E3}">
      <formula1>"0,1,2,3,4,5,6,7,8,9,10"</formula1>
    </dataValidation>
    <dataValidation type="list" allowBlank="1" showInputMessage="1" showErrorMessage="1" sqref="G181" xr:uid="{FED6FFB0-7CE4-7444-8243-72A8960F91E9}">
      <formula1>#REF!</formula1>
    </dataValidation>
    <dataValidation type="list" allowBlank="1" showInputMessage="1" showErrorMessage="1" sqref="C99 C31 C82 C65 C48 C14 C116 C133 C150 C167" xr:uid="{58D5A35E-A24A-C644-8A44-813B89ACF9AD}">
      <formula1>"WALL, ISLAND"</formula1>
    </dataValidation>
    <dataValidation operator="greaterThan" allowBlank="1" showInputMessage="1" showErrorMessage="1" sqref="E14 E65 E48 E31 E82 E99 E116 E133 E150 E167" xr:uid="{85EE8C6D-B0B1-A74C-A156-DA5840AC38EF}"/>
    <dataValidation type="list" allowBlank="1" showInputMessage="1" showErrorMessage="1" sqref="C71:C72 C37:C38 C88:C89 C20:C21 C122:C123 C105:C106 C54:C55 C156:C157 C173:C174 C139:C140" xr:uid="{420629B1-67AC-A54A-822A-851DF39C3575}">
      <formula1>"0,1,2,3,4,5,6,7,8,9,10,11,12,13,14,15,16,17,18,19,20"</formula1>
    </dataValidation>
    <dataValidation type="list" allowBlank="1" showInputMessage="1" showErrorMessage="1" errorTitle="Minimum number of sections " error="Must be greater than zero" sqref="H14 H65 H48 H31 H82 H99 H116 H133 H150 H167" xr:uid="{036E1F6B-75AE-DA44-9986-E39B4B9E0E0E}">
      <formula1>"1,2,3,4,5,6,7,8,9,10"</formula1>
    </dataValidation>
    <dataValidation type="list" allowBlank="1" showInputMessage="1" showErrorMessage="1" sqref="C27 C78 C95 C44 C61 C112 C129 C146 C163 C180" xr:uid="{C3EFDDA2-A444-EF42-9358-8FFCC0EC9701}">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58" operator="containsText" id="{1E632A45-E992-3F4A-A516-3AEAB773EB5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76" operator="containsText" id="{61162BE1-BC97-7B45-8BC6-F2DCBC7173EC}">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13" operator="containsText" id="{9414D4E8-84D2-3E4B-BF93-AC0EA4A83E04}">
            <xm:f>NOT(ISERROR(SEARCH("SELECT WORKS",C34)))</xm:f>
            <xm:f>"SELECT WORKS"</xm:f>
            <x14:dxf>
              <font>
                <b/>
                <i val="0"/>
                <color rgb="FFC00000"/>
              </font>
              <fill>
                <patternFill>
                  <bgColor theme="0"/>
                </patternFill>
              </fill>
            </x14:dxf>
          </x14:cfRule>
          <xm:sqref>C34:C35</xm:sqref>
        </x14:conditionalFormatting>
        <x14:conditionalFormatting xmlns:xm="http://schemas.microsoft.com/office/excel/2006/main">
          <x14:cfRule type="containsText" priority="616" operator="containsText" id="{16F6EC97-8552-D444-A80B-83BBF8F23A2D}">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82" operator="containsText" id="{B399DBB1-4CDE-9948-8596-7386FE032B71}">
            <xm:f>NOT(ISERROR(SEARCH("SELECT WORKS",C51)))</xm:f>
            <xm:f>"SELECT WORKS"</xm:f>
            <x14:dxf>
              <font>
                <b/>
                <i val="0"/>
                <color rgb="FFC00000"/>
              </font>
              <fill>
                <patternFill>
                  <bgColor theme="0"/>
                </patternFill>
              </fill>
            </x14:dxf>
          </x14:cfRule>
          <xm:sqref>C51:C52</xm:sqref>
        </x14:conditionalFormatting>
        <x14:conditionalFormatting xmlns:xm="http://schemas.microsoft.com/office/excel/2006/main">
          <x14:cfRule type="containsText" priority="585" operator="containsText" id="{A60CEC56-80C1-6A41-8621-E36A5D404B4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51" operator="containsText" id="{CB85F7B8-3A6D-4B47-8D07-C9509145C0FF}">
            <xm:f>NOT(ISERROR(SEARCH("SELECT WORKS",C68)))</xm:f>
            <xm:f>"SELECT WORKS"</xm:f>
            <x14:dxf>
              <font>
                <b/>
                <i val="0"/>
                <color rgb="FFC00000"/>
              </font>
              <fill>
                <patternFill>
                  <bgColor theme="0"/>
                </patternFill>
              </fill>
            </x14:dxf>
          </x14:cfRule>
          <xm:sqref>C68:C69</xm:sqref>
        </x14:conditionalFormatting>
        <x14:conditionalFormatting xmlns:xm="http://schemas.microsoft.com/office/excel/2006/main">
          <x14:cfRule type="containsText" priority="555" operator="containsText" id="{0CA08C6C-9F31-754F-BECB-42A94B4EC8F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19" operator="containsText" id="{6CCD9F08-7A13-4545-AD4A-83396782B9AB}">
            <xm:f>NOT(ISERROR(SEARCH("SELECT WORKS",C85)))</xm:f>
            <xm:f>"SELECT WORKS"</xm:f>
            <x14:dxf>
              <font>
                <b/>
                <i val="0"/>
                <color rgb="FFC00000"/>
              </font>
              <fill>
                <patternFill>
                  <bgColor theme="0"/>
                </patternFill>
              </fill>
            </x14:dxf>
          </x14:cfRule>
          <xm:sqref>C85:C86</xm:sqref>
        </x14:conditionalFormatting>
        <x14:conditionalFormatting xmlns:xm="http://schemas.microsoft.com/office/excel/2006/main">
          <x14:cfRule type="containsText" priority="523" operator="containsText" id="{DD573456-3784-6F4C-B38C-5723AB573CC8}">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88" operator="containsText" id="{B79FCD14-963A-CF4E-9182-C25BA007D69E}">
            <xm:f>NOT(ISERROR(SEARCH("SELECT WORKS",C102)))</xm:f>
            <xm:f>"SELECT WORKS"</xm:f>
            <x14:dxf>
              <font>
                <b/>
                <i val="0"/>
                <color rgb="FFC00000"/>
              </font>
              <fill>
                <patternFill>
                  <bgColor theme="0"/>
                </patternFill>
              </fill>
            </x14:dxf>
          </x14:cfRule>
          <xm:sqref>C102:C103</xm:sqref>
        </x14:conditionalFormatting>
        <x14:conditionalFormatting xmlns:xm="http://schemas.microsoft.com/office/excel/2006/main">
          <x14:cfRule type="containsText" priority="491" operator="containsText" id="{933B2FE7-27C7-C342-83F8-33E3D74066FE}">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264" operator="containsText" id="{9CD3086B-41FE-D54B-BA99-993612132962}">
            <xm:f>NOT(ISERROR(SEARCH("SELECT WORKS",C119)))</xm:f>
            <xm:f>"SELECT WORKS"</xm:f>
            <x14:dxf>
              <font>
                <b/>
                <i val="0"/>
                <color rgb="FFC00000"/>
              </font>
              <fill>
                <patternFill>
                  <bgColor theme="0"/>
                </patternFill>
              </fill>
            </x14:dxf>
          </x14:cfRule>
          <xm:sqref>C119:C120</xm:sqref>
        </x14:conditionalFormatting>
        <x14:conditionalFormatting xmlns:xm="http://schemas.microsoft.com/office/excel/2006/main">
          <x14:cfRule type="containsText" priority="267" operator="containsText" id="{529DC2A2-BDA8-884E-9476-60F07C7A2E2D}">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95" operator="containsText" id="{752309C6-6B99-1B49-A212-9EA5A5B6A336}">
            <xm:f>NOT(ISERROR(SEARCH("SELECT WORKS",C136)))</xm:f>
            <xm:f>"SELECT WORKS"</xm:f>
            <x14:dxf>
              <font>
                <b/>
                <i val="0"/>
                <color rgb="FFC00000"/>
              </font>
              <fill>
                <patternFill>
                  <bgColor theme="0"/>
                </patternFill>
              </fill>
            </x14:dxf>
          </x14:cfRule>
          <xm:sqref>C136:C137</xm:sqref>
        </x14:conditionalFormatting>
        <x14:conditionalFormatting xmlns:xm="http://schemas.microsoft.com/office/excel/2006/main">
          <x14:cfRule type="containsText" priority="198" operator="containsText" id="{2600DC64-0BBA-1446-93A5-A65A619879D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40" operator="containsText" id="{7C6E72A0-B71E-5449-8345-1B53171FE1D3}">
            <xm:f>NOT(ISERROR(SEARCH("SELECT WORKS",C153)))</xm:f>
            <xm:f>"SELECT WORKS"</xm:f>
            <x14:dxf>
              <font>
                <b/>
                <i val="0"/>
                <color rgb="FFC00000"/>
              </font>
              <fill>
                <patternFill>
                  <bgColor theme="0"/>
                </patternFill>
              </fill>
            </x14:dxf>
          </x14:cfRule>
          <xm:sqref>C153:C154</xm:sqref>
        </x14:conditionalFormatting>
        <x14:conditionalFormatting xmlns:xm="http://schemas.microsoft.com/office/excel/2006/main">
          <x14:cfRule type="containsText" priority="143" operator="containsText" id="{BC6E0435-EC0C-E543-8A03-EF9077EC705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85" operator="containsText" id="{F21728E5-B5CB-C84E-9437-2BC54B667702}">
            <xm:f>NOT(ISERROR(SEARCH("SELECT WORKS",C170)))</xm:f>
            <xm:f>"SELECT WORKS"</xm:f>
            <x14:dxf>
              <font>
                <b/>
                <i val="0"/>
                <color rgb="FFC00000"/>
              </font>
              <fill>
                <patternFill>
                  <bgColor theme="0"/>
                </patternFill>
              </fill>
            </x14:dxf>
          </x14:cfRule>
          <xm:sqref>C170:C171</xm:sqref>
        </x14:conditionalFormatting>
        <x14:conditionalFormatting xmlns:xm="http://schemas.microsoft.com/office/excel/2006/main">
          <x14:cfRule type="containsText" priority="88" operator="containsText" id="{A4F387AE-0721-3D40-A819-2C37F6D1C5B4}">
            <xm:f>NOT(ISERROR(SEARCH("SELECT CLADDING",C172)))</xm:f>
            <xm:f>"SELECT CLADDING"</xm:f>
            <x14:dxf>
              <font>
                <b/>
                <i val="0"/>
                <color rgb="FFC00000"/>
              </font>
              <fill>
                <patternFill>
                  <bgColor theme="0"/>
                </patternFill>
              </fill>
            </x14:dxf>
          </x14:cfRule>
          <xm:sqref>C172</xm:sqref>
        </x14:conditionalFormatting>
        <x14:conditionalFormatting xmlns:xm="http://schemas.microsoft.com/office/excel/2006/main">
          <x14:cfRule type="containsText" priority="54" operator="containsText" id="{FF2386D3-786A-4E47-BA96-BBC64564D6E5}">
            <xm:f>NOT(ISERROR(SEARCH("SELECT WORKS",C33)))</xm:f>
            <xm:f>"SELECT WORKS"</xm:f>
            <x14:dxf>
              <font>
                <b/>
                <i val="0"/>
                <color rgb="FFC00000"/>
              </font>
              <fill>
                <patternFill>
                  <bgColor theme="0"/>
                </patternFill>
              </fill>
            </x14:dxf>
          </x14:cfRule>
          <xm:sqref>C33</xm:sqref>
        </x14:conditionalFormatting>
        <x14:conditionalFormatting xmlns:xm="http://schemas.microsoft.com/office/excel/2006/main">
          <x14:cfRule type="containsText" priority="48" operator="containsText" id="{2D0682DD-0CEC-E346-B85C-6F949AB18EFE}">
            <xm:f>NOT(ISERROR(SEARCH("SELECT WORKS",C50)))</xm:f>
            <xm:f>"SELECT WORKS"</xm:f>
            <x14:dxf>
              <font>
                <b/>
                <i val="0"/>
                <color rgb="FFC00000"/>
              </font>
              <fill>
                <patternFill>
                  <bgColor theme="0"/>
                </patternFill>
              </fill>
            </x14:dxf>
          </x14:cfRule>
          <xm:sqref>C50</xm:sqref>
        </x14:conditionalFormatting>
        <x14:conditionalFormatting xmlns:xm="http://schemas.microsoft.com/office/excel/2006/main">
          <x14:cfRule type="containsText" priority="42" operator="containsText" id="{8974DBFD-ED45-5E44-AE06-1AE04D0C2B73}">
            <xm:f>NOT(ISERROR(SEARCH("SELECT WORKS",C67)))</xm:f>
            <xm:f>"SELECT WORKS"</xm:f>
            <x14:dxf>
              <font>
                <b/>
                <i val="0"/>
                <color rgb="FFC00000"/>
              </font>
              <fill>
                <patternFill>
                  <bgColor theme="0"/>
                </patternFill>
              </fill>
            </x14:dxf>
          </x14:cfRule>
          <xm:sqref>C67</xm:sqref>
        </x14:conditionalFormatting>
        <x14:conditionalFormatting xmlns:xm="http://schemas.microsoft.com/office/excel/2006/main">
          <x14:cfRule type="containsText" priority="36" operator="containsText" id="{E7B602D0-CAE5-A841-80A4-ACD43361DD4C}">
            <xm:f>NOT(ISERROR(SEARCH("SELECT WORKS",C84)))</xm:f>
            <xm:f>"SELECT WORKS"</xm:f>
            <x14:dxf>
              <font>
                <b/>
                <i val="0"/>
                <color rgb="FFC00000"/>
              </font>
              <fill>
                <patternFill>
                  <bgColor theme="0"/>
                </patternFill>
              </fill>
            </x14:dxf>
          </x14:cfRule>
          <xm:sqref>C84</xm:sqref>
        </x14:conditionalFormatting>
        <x14:conditionalFormatting xmlns:xm="http://schemas.microsoft.com/office/excel/2006/main">
          <x14:cfRule type="containsText" priority="30" operator="containsText" id="{C3543801-41F3-9D4F-B407-39D7010ADDCA}">
            <xm:f>NOT(ISERROR(SEARCH("SELECT WORKS",C101)))</xm:f>
            <xm:f>"SELECT WORKS"</xm:f>
            <x14:dxf>
              <font>
                <b/>
                <i val="0"/>
                <color rgb="FFC00000"/>
              </font>
              <fill>
                <patternFill>
                  <bgColor theme="0"/>
                </patternFill>
              </fill>
            </x14:dxf>
          </x14:cfRule>
          <xm:sqref>C101</xm:sqref>
        </x14:conditionalFormatting>
        <x14:conditionalFormatting xmlns:xm="http://schemas.microsoft.com/office/excel/2006/main">
          <x14:cfRule type="containsText" priority="24" operator="containsText" id="{4A3728E6-E1F1-4D4F-89C6-8B4A2A40839F}">
            <xm:f>NOT(ISERROR(SEARCH("SELECT WORKS",C118)))</xm:f>
            <xm:f>"SELECT WORKS"</xm:f>
            <x14:dxf>
              <font>
                <b/>
                <i val="0"/>
                <color rgb="FFC00000"/>
              </font>
              <fill>
                <patternFill>
                  <bgColor theme="0"/>
                </patternFill>
              </fill>
            </x14:dxf>
          </x14:cfRule>
          <xm:sqref>C118</xm:sqref>
        </x14:conditionalFormatting>
        <x14:conditionalFormatting xmlns:xm="http://schemas.microsoft.com/office/excel/2006/main">
          <x14:cfRule type="containsText" priority="18" operator="containsText" id="{E568A31F-6296-4D45-9568-C16025411883}">
            <xm:f>NOT(ISERROR(SEARCH("SELECT WORKS",C135)))</xm:f>
            <xm:f>"SELECT WORKS"</xm:f>
            <x14:dxf>
              <font>
                <b/>
                <i val="0"/>
                <color rgb="FFC00000"/>
              </font>
              <fill>
                <patternFill>
                  <bgColor theme="0"/>
                </patternFill>
              </fill>
            </x14:dxf>
          </x14:cfRule>
          <xm:sqref>C135</xm:sqref>
        </x14:conditionalFormatting>
        <x14:conditionalFormatting xmlns:xm="http://schemas.microsoft.com/office/excel/2006/main">
          <x14:cfRule type="containsText" priority="12" operator="containsText" id="{4CAED041-6334-6842-9141-1BB6FCBB4C73}">
            <xm:f>NOT(ISERROR(SEARCH("SELECT WORKS",C152)))</xm:f>
            <xm:f>"SELECT WORKS"</xm:f>
            <x14:dxf>
              <font>
                <b/>
                <i val="0"/>
                <color rgb="FFC00000"/>
              </font>
              <fill>
                <patternFill>
                  <bgColor theme="0"/>
                </patternFill>
              </fill>
            </x14:dxf>
          </x14:cfRule>
          <xm:sqref>C152</xm:sqref>
        </x14:conditionalFormatting>
        <x14:conditionalFormatting xmlns:xm="http://schemas.microsoft.com/office/excel/2006/main">
          <x14:cfRule type="containsText" priority="6" operator="containsText" id="{5A491BE4-44CD-5A4D-8DED-F5E3382748A1}">
            <xm:f>NOT(ISERROR(SEARCH("SELECT WORKS",C169)))</xm:f>
            <xm:f>"SELECT WORKS"</xm:f>
            <x14:dxf>
              <font>
                <b/>
                <i val="0"/>
                <color rgb="FFC00000"/>
              </font>
              <fill>
                <patternFill>
                  <bgColor theme="0"/>
                </patternFill>
              </fill>
            </x14:dxf>
          </x14:cfRule>
          <xm:sqref>C169</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F569C51F-55FE-634C-9C74-8141CC43CE94}">
          <x14:formula1>
            <xm:f>'Base Costs'!$Q$35:$Q$45</xm:f>
          </x14:formula1>
          <xm:sqref>C43 C179 C162 C145 C60 C77 C94 C111 C26 C128</xm:sqref>
        </x14:dataValidation>
        <x14:dataValidation type="list" allowBlank="1" showInputMessage="1" showErrorMessage="1" xr:uid="{2FC03932-CCB7-CE4C-AA01-15B5111D14AB}">
          <x14:formula1>
            <xm:f>'Base Costs'!$A$19:$A$22</xm:f>
          </x14:formula1>
          <xm:sqref>C19 C172 C155 C138 C36 C87 C70 C53 C104 C121</xm:sqref>
        </x14:dataValidation>
        <x14:dataValidation type="list" allowBlank="1" showInputMessage="1" showErrorMessage="1" xr:uid="{635D6A06-51D3-7344-AF24-8CBCE272F3A5}">
          <x14:formula1>
            <xm:f>'Base Costs'!$A$4:$A$16</xm:f>
          </x14:formula1>
          <xm:sqref>D184:D185</xm:sqref>
        </x14:dataValidation>
        <x14:dataValidation type="list" allowBlank="1" showInputMessage="1" showErrorMessage="1" xr:uid="{32162C26-CC46-9946-A8E3-556F7EC0AA7E}">
          <x14:formula1>
            <xm:f>'Base Costs'!$E$4:$E$213</xm:f>
          </x14:formula1>
          <xm:sqref>D183 D186</xm:sqref>
        </x14:dataValidation>
        <x14:dataValidation type="list" allowBlank="1" showInputMessage="1" showErrorMessage="1" xr:uid="{20DCC4EE-088A-B249-9F17-43A324978D21}">
          <x14:formula1>
            <xm:f>'Base Costs'!$A$32:$A$37</xm:f>
          </x14:formula1>
          <xm:sqref>B9</xm:sqref>
        </x14:dataValidation>
        <x14:dataValidation type="list" allowBlank="1" showInputMessage="1" showErrorMessage="1" xr:uid="{895ADDC3-4D6F-9A4F-9B7E-E3C05972575D}">
          <x14:formula1>
            <xm:f>CCBASE!$A$81:$A$85</xm:f>
          </x14:formula1>
          <xm:sqref>C25 C42 C93 C76 C59 C110 C127 C144 C161 C178</xm:sqref>
        </x14:dataValidation>
        <x14:dataValidation type="list" allowBlank="1" showInputMessage="1" showErrorMessage="1" xr:uid="{BEF5CCF8-9202-9C44-9374-34C15062EA01}">
          <x14:formula1>
            <xm:f>CCBASE!$A$53:$A$73</xm:f>
          </x14:formula1>
          <xm:sqref>C67:C69 C84:C86 C33:C35 C50:C52 C16:C18 C101:C103 C118:C120 C135:C137 C152:C154 C169:C171</xm:sqref>
        </x14:dataValidation>
        <x14:dataValidation type="list" allowBlank="1" showInputMessage="1" showErrorMessage="1" xr:uid="{38CDC0C0-CEBE-AD4E-BE4D-56093EC880FE}">
          <x14:formula1>
            <xm:f>'Base Costs'!$A$39:$A$53</xm:f>
          </x14:formula1>
          <xm:sqref>D14 D167 D150 D133 D31 D99 D48 D82 D65 D116</xm:sqref>
        </x14:dataValidation>
        <x14:dataValidation type="list" allowBlank="1" showInputMessage="1" showErrorMessage="1" xr:uid="{69AED1E0-BA46-774C-AEA1-42339ABAC3FF}">
          <x14:formula1>
            <xm:f>'Base Costs'!$M$4:$M$21</xm:f>
          </x14:formula1>
          <xm:sqref>C32 C168 C151 C134 C100 C49 C66 C83 C117</xm:sqref>
        </x14:dataValidation>
        <x14:dataValidation type="list" allowBlank="1" showInputMessage="1" showErrorMessage="1" xr:uid="{32B9029A-CA07-9846-A594-BAF66EC07006}">
          <x14:formula1>
            <xm:f>'Base Costs'!$M$4:$M$23</xm:f>
          </x14:formula1>
          <xm:sqref>C15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BBCEF-DF10-8842-8814-4A4CE7B60BCD}">
  <sheetPr>
    <tabColor theme="8" tint="0.79998168889431442"/>
    <pageSetUpPr fitToPage="1"/>
  </sheetPr>
  <dimension ref="A1:AB310"/>
  <sheetViews>
    <sheetView showGridLines="0" zoomScale="80" zoomScaleNormal="80" zoomScaleSheetLayoutView="50" workbookViewId="0">
      <selection activeCell="R29" sqref="R29"/>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e">
        <f>IF(#REF!="","",#REF!)</f>
        <v>#REF!</v>
      </c>
      <c r="D3" s="1113"/>
      <c r="F3" s="690" t="s">
        <v>78</v>
      </c>
      <c r="G3" s="1084" t="e">
        <f>IF(#REF!="","",#REF!)</f>
        <v>#REF!</v>
      </c>
      <c r="H3" s="1114"/>
      <c r="I3" s="1114" t="e">
        <f>IF(#REF!="","",#REF!)</f>
        <v>#REF!</v>
      </c>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e">
        <f>IF(#REF!="","",#REF!)</f>
        <v>#REF!</v>
      </c>
      <c r="D5" s="1083"/>
      <c r="F5" s="690" t="s">
        <v>77</v>
      </c>
      <c r="G5" s="1084" t="e">
        <f>IF(#REF!="","",#REF!)</f>
        <v>#REF!</v>
      </c>
      <c r="H5" s="1114"/>
      <c r="I5" s="1114" t="e">
        <f>IF(#REF!="","",#REF!)</f>
        <v>#REF!</v>
      </c>
      <c r="J5" s="1114"/>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e">
        <f>IF(#REF!="","",#REF!)</f>
        <v>#REF!</v>
      </c>
      <c r="D7" s="1113"/>
      <c r="F7" s="690" t="s">
        <v>76</v>
      </c>
      <c r="G7" s="1086" t="e">
        <f>IF(#REF!="","",#REF!)</f>
        <v>#REF!</v>
      </c>
      <c r="H7" s="1115"/>
      <c r="I7" s="1115" t="e">
        <f>IF(#REF!="","",#REF!)</f>
        <v>#REF!</v>
      </c>
      <c r="J7" s="1115"/>
      <c r="N7" s="699" t="s">
        <v>79</v>
      </c>
      <c r="O7" s="917" t="e">
        <f>IF(#REF!="","",#REF!)</f>
        <v>#REF!</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2"/>
      <c r="F9" s="1112"/>
      <c r="G9" s="1125"/>
      <c r="H9" s="1126"/>
      <c r="I9" s="1126"/>
      <c r="J9" s="1126"/>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7"/>
      <c r="F35" s="1108"/>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0" t="s">
        <v>1092</v>
      </c>
      <c r="F36" s="1108"/>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0" t="s">
        <v>1092</v>
      </c>
      <c r="F53" s="1108"/>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0" t="s">
        <v>1092</v>
      </c>
      <c r="F138" s="1108"/>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1027.2</v>
      </c>
      <c r="L182" s="704">
        <f>IF(K182=0,"-",O182/M182)</f>
        <v>0.39213566507684156</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7" t="s">
        <v>732</v>
      </c>
      <c r="F183" s="1108"/>
      <c r="G183" s="1109"/>
      <c r="H183" s="1109"/>
      <c r="I183" s="110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2" t="s">
        <v>892</v>
      </c>
      <c r="F185" s="1143"/>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4" t="s">
        <v>1412</v>
      </c>
      <c r="F186" s="1145"/>
      <c r="G186" s="1109"/>
      <c r="H186" s="1109"/>
      <c r="I186" s="110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0" t="s">
        <v>1414</v>
      </c>
      <c r="E189" s="1141"/>
      <c r="F189" s="1141"/>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0" t="s">
        <v>1416</v>
      </c>
      <c r="E190" s="1141"/>
      <c r="F190" s="1141"/>
      <c r="G190" s="1136" t="s">
        <v>1464</v>
      </c>
      <c r="H190" s="1136"/>
      <c r="I190" s="113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17"/>
      <c r="F193" s="111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E186:F186"/>
    <mergeCell ref="G186:I186"/>
    <mergeCell ref="D189:F189"/>
    <mergeCell ref="D190:F190"/>
    <mergeCell ref="G190:I190"/>
    <mergeCell ref="D193:F193"/>
    <mergeCell ref="H176:I176"/>
    <mergeCell ref="B182:G182"/>
    <mergeCell ref="E183:F183"/>
    <mergeCell ref="G183:I183"/>
    <mergeCell ref="E184:F184"/>
    <mergeCell ref="E185:F185"/>
    <mergeCell ref="H157:I157"/>
    <mergeCell ref="H158:I158"/>
    <mergeCell ref="H159:I159"/>
    <mergeCell ref="E172:F172"/>
    <mergeCell ref="H174:I174"/>
    <mergeCell ref="H175:I175"/>
    <mergeCell ref="H125:I125"/>
    <mergeCell ref="E138:F138"/>
    <mergeCell ref="H140:I140"/>
    <mergeCell ref="H141:I141"/>
    <mergeCell ref="H142:I142"/>
    <mergeCell ref="E155:F155"/>
    <mergeCell ref="H106:I106"/>
    <mergeCell ref="H107:I107"/>
    <mergeCell ref="H108:I108"/>
    <mergeCell ref="E121:F121"/>
    <mergeCell ref="H123:I123"/>
    <mergeCell ref="H124:I124"/>
    <mergeCell ref="H74:I74"/>
    <mergeCell ref="E87:F87"/>
    <mergeCell ref="H89:I89"/>
    <mergeCell ref="H90:I90"/>
    <mergeCell ref="H91:I91"/>
    <mergeCell ref="E104:F104"/>
    <mergeCell ref="H55:I55"/>
    <mergeCell ref="H56:I56"/>
    <mergeCell ref="H57:I57"/>
    <mergeCell ref="E70:F70"/>
    <mergeCell ref="H72:I72"/>
    <mergeCell ref="H73:I73"/>
    <mergeCell ref="E35:F35"/>
    <mergeCell ref="E36:F36"/>
    <mergeCell ref="H38:I38"/>
    <mergeCell ref="H39:I39"/>
    <mergeCell ref="H40:I40"/>
    <mergeCell ref="E53:F53"/>
    <mergeCell ref="E9:F9"/>
    <mergeCell ref="G9:J9"/>
    <mergeCell ref="E19:F19"/>
    <mergeCell ref="H21:I21"/>
    <mergeCell ref="H22:I22"/>
    <mergeCell ref="H23:I23"/>
    <mergeCell ref="B1:C1"/>
    <mergeCell ref="C3:D3"/>
    <mergeCell ref="G3:J3"/>
    <mergeCell ref="C5:D5"/>
    <mergeCell ref="G5:J5"/>
    <mergeCell ref="C7:D7"/>
    <mergeCell ref="G7:J7"/>
  </mergeCells>
  <conditionalFormatting sqref="B9">
    <cfRule type="containsText" dxfId="844" priority="665" operator="containsText" text="SELECT">
      <formula>NOT(ISERROR(SEARCH("SELECT",B9)))</formula>
    </cfRule>
    <cfRule type="expression" dxfId="843" priority="666">
      <formula>B9="CURRENCY"</formula>
    </cfRule>
  </conditionalFormatting>
  <conditionalFormatting sqref="B11">
    <cfRule type="expression" dxfId="842" priority="627">
      <formula>$B11&lt;&gt;""</formula>
    </cfRule>
  </conditionalFormatting>
  <conditionalFormatting sqref="B14:B23">
    <cfRule type="expression" dxfId="841" priority="619">
      <formula>$J14&gt;0</formula>
    </cfRule>
  </conditionalFormatting>
  <conditionalFormatting sqref="B24">
    <cfRule type="expression" dxfId="840" priority="616">
      <formula>ISNUMBER(SEARCH("UV",$D14))</formula>
    </cfRule>
    <cfRule type="expression" dxfId="839" priority="617">
      <formula>($D14="CANOPY TYPE")</formula>
    </cfRule>
  </conditionalFormatting>
  <conditionalFormatting sqref="B25:B27">
    <cfRule type="expression" dxfId="838" priority="437">
      <formula>$J25&gt;0</formula>
    </cfRule>
  </conditionalFormatting>
  <conditionalFormatting sqref="B28">
    <cfRule type="expression" dxfId="837" priority="625">
      <formula>$B28&lt;&gt;""</formula>
    </cfRule>
  </conditionalFormatting>
  <conditionalFormatting sqref="B31:B40">
    <cfRule type="expression" dxfId="836" priority="263">
      <formula>$J31&gt;0</formula>
    </cfRule>
  </conditionalFormatting>
  <conditionalFormatting sqref="B41">
    <cfRule type="expression" dxfId="835" priority="585">
      <formula>ISNUMBER(SEARCH("UV",$D31))</formula>
    </cfRule>
    <cfRule type="expression" dxfId="834" priority="586">
      <formula>($D31="CANOPY TYPE")</formula>
    </cfRule>
  </conditionalFormatting>
  <conditionalFormatting sqref="B42:B44">
    <cfRule type="expression" dxfId="833" priority="587">
      <formula>$J42&gt;0</formula>
    </cfRule>
  </conditionalFormatting>
  <conditionalFormatting sqref="B45">
    <cfRule type="expression" dxfId="832" priority="624">
      <formula>$B45&lt;&gt;""</formula>
    </cfRule>
  </conditionalFormatting>
  <conditionalFormatting sqref="B48:B57">
    <cfRule type="expression" dxfId="831" priority="252">
      <formula>$J48&gt;0</formula>
    </cfRule>
  </conditionalFormatting>
  <conditionalFormatting sqref="B58">
    <cfRule type="expression" dxfId="830" priority="556">
      <formula>ISNUMBER(SEARCH("UV",$D48))</formula>
    </cfRule>
    <cfRule type="expression" dxfId="829" priority="557">
      <formula>($D48="CANOPY TYPE")</formula>
    </cfRule>
  </conditionalFormatting>
  <conditionalFormatting sqref="B59:B61">
    <cfRule type="expression" dxfId="828" priority="436">
      <formula>$J59&gt;0</formula>
    </cfRule>
  </conditionalFormatting>
  <conditionalFormatting sqref="B62">
    <cfRule type="expression" dxfId="827" priority="623">
      <formula>$B62&lt;&gt;""</formula>
    </cfRule>
  </conditionalFormatting>
  <conditionalFormatting sqref="B65:B74">
    <cfRule type="expression" dxfId="826" priority="241">
      <formula>$J65&gt;0</formula>
    </cfRule>
  </conditionalFormatting>
  <conditionalFormatting sqref="B75">
    <cfRule type="expression" dxfId="825" priority="526">
      <formula>ISNUMBER(SEARCH("UV",$D65))</formula>
    </cfRule>
    <cfRule type="expression" dxfId="824" priority="527">
      <formula>($D65="CANOPY TYPE")</formula>
    </cfRule>
  </conditionalFormatting>
  <conditionalFormatting sqref="B76:B78">
    <cfRule type="expression" dxfId="823" priority="435">
      <formula>$J76&gt;0</formula>
    </cfRule>
  </conditionalFormatting>
  <conditionalFormatting sqref="B79">
    <cfRule type="expression" dxfId="822" priority="622">
      <formula>$B79&lt;&gt;""</formula>
    </cfRule>
  </conditionalFormatting>
  <conditionalFormatting sqref="B82:B91">
    <cfRule type="expression" dxfId="821" priority="230">
      <formula>$J82&gt;0</formula>
    </cfRule>
  </conditionalFormatting>
  <conditionalFormatting sqref="B92">
    <cfRule type="expression" dxfId="820" priority="495">
      <formula>ISNUMBER(SEARCH("UV",$D82))</formula>
    </cfRule>
    <cfRule type="expression" dxfId="819" priority="496">
      <formula>($D82="CANOPY TYPE")</formula>
    </cfRule>
  </conditionalFormatting>
  <conditionalFormatting sqref="B93:B95">
    <cfRule type="expression" dxfId="818" priority="434">
      <formula>$J93&gt;0</formula>
    </cfRule>
  </conditionalFormatting>
  <conditionalFormatting sqref="B96">
    <cfRule type="expression" dxfId="817" priority="621">
      <formula>$B96&lt;&gt;""</formula>
    </cfRule>
  </conditionalFormatting>
  <conditionalFormatting sqref="B99:B108">
    <cfRule type="expression" dxfId="816" priority="219">
      <formula>$J99&gt;0</formula>
    </cfRule>
  </conditionalFormatting>
  <conditionalFormatting sqref="B109">
    <cfRule type="expression" dxfId="815" priority="465">
      <formula>ISNUMBER(SEARCH("UV",$D99))</formula>
    </cfRule>
    <cfRule type="expression" dxfId="814" priority="466">
      <formula>($D99="CANOPY TYPE")</formula>
    </cfRule>
  </conditionalFormatting>
  <conditionalFormatting sqref="B110:B112 B127:B129 B161:B163 B178:B180">
    <cfRule type="expression" dxfId="813" priority="433">
      <formula>$J110&gt;0</formula>
    </cfRule>
  </conditionalFormatting>
  <conditionalFormatting sqref="B113">
    <cfRule type="expression" dxfId="812" priority="325">
      <formula>$B113&lt;&gt;""</formula>
    </cfRule>
  </conditionalFormatting>
  <conditionalFormatting sqref="B116:B125">
    <cfRule type="expression" dxfId="811" priority="208">
      <formula>$J116&gt;0</formula>
    </cfRule>
  </conditionalFormatting>
  <conditionalFormatting sqref="B126">
    <cfRule type="expression" dxfId="810" priority="298">
      <formula>ISNUMBER(SEARCH("UV",$D116))</formula>
    </cfRule>
    <cfRule type="expression" dxfId="809" priority="299">
      <formula>($D116="CANOPY TYPE")</formula>
    </cfRule>
  </conditionalFormatting>
  <conditionalFormatting sqref="B130">
    <cfRule type="expression" dxfId="808" priority="189">
      <formula>$B130&lt;&gt;""</formula>
    </cfRule>
  </conditionalFormatting>
  <conditionalFormatting sqref="B133:B142">
    <cfRule type="expression" dxfId="807" priority="21">
      <formula>$J133&gt;0</formula>
    </cfRule>
  </conditionalFormatting>
  <conditionalFormatting sqref="B143">
    <cfRule type="expression" dxfId="806" priority="159">
      <formula>ISNUMBER(SEARCH("UV",$D133))</formula>
    </cfRule>
    <cfRule type="expression" dxfId="805" priority="160">
      <formula>($D133="CANOPY TYPE")</formula>
    </cfRule>
  </conditionalFormatting>
  <conditionalFormatting sqref="B144:B146">
    <cfRule type="expression" dxfId="804" priority="118">
      <formula>$J144&gt;0</formula>
    </cfRule>
  </conditionalFormatting>
  <conditionalFormatting sqref="B147">
    <cfRule type="expression" dxfId="803" priority="188">
      <formula>$B147&lt;&gt;""</formula>
    </cfRule>
  </conditionalFormatting>
  <conditionalFormatting sqref="B150:B159">
    <cfRule type="expression" dxfId="802" priority="10">
      <formula>$J150&gt;0</formula>
    </cfRule>
  </conditionalFormatting>
  <conditionalFormatting sqref="B160">
    <cfRule type="expression" dxfId="801" priority="130">
      <formula>ISNUMBER(SEARCH("UV",$D150))</formula>
    </cfRule>
    <cfRule type="expression" dxfId="800" priority="131">
      <formula>($D150="CANOPY TYPE")</formula>
    </cfRule>
  </conditionalFormatting>
  <conditionalFormatting sqref="B164">
    <cfRule type="expression" dxfId="799" priority="81">
      <formula>$B164&lt;&gt;""</formula>
    </cfRule>
  </conditionalFormatting>
  <conditionalFormatting sqref="B167:B176">
    <cfRule type="expression" dxfId="798" priority="5">
      <formula>$J167&gt;0</formula>
    </cfRule>
  </conditionalFormatting>
  <conditionalFormatting sqref="B177">
    <cfRule type="expression" dxfId="797" priority="54">
      <formula>ISNUMBER(SEARCH("UV",$D167))</formula>
    </cfRule>
    <cfRule type="expression" dxfId="796" priority="55">
      <formula>($D167="CANOPY TYPE")</formula>
    </cfRule>
  </conditionalFormatting>
  <conditionalFormatting sqref="B183:B197">
    <cfRule type="expression" dxfId="795" priority="618">
      <formula>$C183&gt;0</formula>
    </cfRule>
  </conditionalFormatting>
  <conditionalFormatting sqref="C14">
    <cfRule type="containsText" dxfId="794" priority="423" operator="containsText" text="CONFIG">
      <formula>NOT(ISERROR(SEARCH("CONFIG",C14)))</formula>
    </cfRule>
  </conditionalFormatting>
  <conditionalFormatting sqref="C15">
    <cfRule type="containsText" dxfId="793" priority="428" operator="containsText" text="LIGHT SELECTION">
      <formula>NOT(ISERROR(SEARCH("LIGHT SELECTION",C15)))</formula>
    </cfRule>
  </conditionalFormatting>
  <conditionalFormatting sqref="C16:C17">
    <cfRule type="containsText" dxfId="792" priority="674" operator="containsText" text="ANSUL SELECTION">
      <formula>NOT(ISERROR(SEARCH("ANSUL SELECTION",C16)))</formula>
    </cfRule>
  </conditionalFormatting>
  <conditionalFormatting sqref="C20:C21">
    <cfRule type="cellIs" dxfId="789" priority="671" operator="lessThan">
      <formula>1</formula>
    </cfRule>
  </conditionalFormatting>
  <conditionalFormatting sqref="C22:C23">
    <cfRule type="expression" dxfId="788" priority="403">
      <formula>D22="WW PODS"</formula>
    </cfRule>
  </conditionalFormatting>
  <conditionalFormatting sqref="C24">
    <cfRule type="expression" dxfId="787" priority="689">
      <formula>ISNUMBER(SEARCH("UV",D14))</formula>
    </cfRule>
  </conditionalFormatting>
  <conditionalFormatting sqref="C25">
    <cfRule type="expression" dxfId="786" priority="651">
      <formula>(ISNUMBER(SEARCH("CMW",D14)))=TRUE</formula>
    </cfRule>
  </conditionalFormatting>
  <conditionalFormatting sqref="C26">
    <cfRule type="expression" dxfId="785" priority="650">
      <formula>(ISNUMBER(SEARCH("CMW",D14)))=TRUE</formula>
    </cfRule>
  </conditionalFormatting>
  <conditionalFormatting sqref="C27">
    <cfRule type="expression" dxfId="784" priority="620">
      <formula>(ISNUMBER(SEARCH("CMW",$D14)))=TRUE</formula>
    </cfRule>
  </conditionalFormatting>
  <conditionalFormatting sqref="C31">
    <cfRule type="containsText" dxfId="783" priority="595" operator="containsText" text="CONFIG">
      <formula>NOT(ISERROR(SEARCH("CONFIG",C31)))</formula>
    </cfRule>
  </conditionalFormatting>
  <conditionalFormatting sqref="C32">
    <cfRule type="containsText" dxfId="782" priority="430" operator="containsText" text="LIGHT SELECTION">
      <formula>NOT(ISERROR(SEARCH("LIGHT SELECTION",C32)))</formula>
    </cfRule>
  </conditionalFormatting>
  <conditionalFormatting sqref="C33:C34">
    <cfRule type="containsText" dxfId="781" priority="271" operator="containsText" text="ANSUL SELECTION">
      <formula>NOT(ISERROR(SEARCH("ANSUL SELECTION",C33)))</formula>
    </cfRule>
  </conditionalFormatting>
  <conditionalFormatting sqref="C37:C38">
    <cfRule type="cellIs" dxfId="778" priority="594" operator="lessThan">
      <formula>1</formula>
    </cfRule>
  </conditionalFormatting>
  <conditionalFormatting sqref="C39:C40">
    <cfRule type="expression" dxfId="777" priority="388">
      <formula>D39="WW PODS"</formula>
    </cfRule>
  </conditionalFormatting>
  <conditionalFormatting sqref="C41">
    <cfRule type="expression" dxfId="776" priority="609">
      <formula>ISNUMBER(SEARCH("UV",D31))</formula>
    </cfRule>
  </conditionalFormatting>
  <conditionalFormatting sqref="C42">
    <cfRule type="expression" dxfId="775" priority="592">
      <formula>(ISNUMBER(SEARCH("CMW",D31)))=TRUE</formula>
    </cfRule>
  </conditionalFormatting>
  <conditionalFormatting sqref="C43">
    <cfRule type="expression" dxfId="774" priority="462">
      <formula>(ISNUMBER(SEARCH("CMW",D31)))=TRUE</formula>
    </cfRule>
  </conditionalFormatting>
  <conditionalFormatting sqref="C44">
    <cfRule type="expression" dxfId="773" priority="588">
      <formula>(ISNUMBER(SEARCH("CMW",$D31)))=TRUE</formula>
    </cfRule>
  </conditionalFormatting>
  <conditionalFormatting sqref="C48">
    <cfRule type="containsText" dxfId="772" priority="565" operator="containsText" text="CONFIG">
      <formula>NOT(ISERROR(SEARCH("CONFIG",C48)))</formula>
    </cfRule>
  </conditionalFormatting>
  <conditionalFormatting sqref="C49">
    <cfRule type="containsText" dxfId="771" priority="427" operator="containsText" text="LIGHT SELECTION">
      <formula>NOT(ISERROR(SEARCH("LIGHT SELECTION",C49)))</formula>
    </cfRule>
  </conditionalFormatting>
  <conditionalFormatting sqref="C50:C51">
    <cfRule type="containsText" dxfId="770" priority="260" operator="containsText" text="ANSUL SELECTION">
      <formula>NOT(ISERROR(SEARCH("ANSUL SELECTION",C50)))</formula>
    </cfRule>
  </conditionalFormatting>
  <conditionalFormatting sqref="C54:C55">
    <cfRule type="cellIs" dxfId="767" priority="564" operator="lessThan">
      <formula>1</formula>
    </cfRule>
  </conditionalFormatting>
  <conditionalFormatting sqref="C56:C57">
    <cfRule type="expression" dxfId="766" priority="373">
      <formula>D56="WW PODS"</formula>
    </cfRule>
  </conditionalFormatting>
  <conditionalFormatting sqref="C58">
    <cfRule type="expression" dxfId="765" priority="578">
      <formula>ISNUMBER(SEARCH("UV",D48))</formula>
    </cfRule>
  </conditionalFormatting>
  <conditionalFormatting sqref="C59">
    <cfRule type="expression" dxfId="764" priority="562">
      <formula>(ISNUMBER(SEARCH("CMW",D48)))=TRUE</formula>
    </cfRule>
  </conditionalFormatting>
  <conditionalFormatting sqref="C60">
    <cfRule type="expression" dxfId="763" priority="461">
      <formula>(ISNUMBER(SEARCH("CMW",D48)))=TRUE</formula>
    </cfRule>
  </conditionalFormatting>
  <conditionalFormatting sqref="C61">
    <cfRule type="expression" dxfId="762" priority="558">
      <formula>(ISNUMBER(SEARCH("CMW",$D48)))=TRUE</formula>
    </cfRule>
  </conditionalFormatting>
  <conditionalFormatting sqref="C65">
    <cfRule type="containsText" dxfId="761" priority="536" operator="containsText" text="CONFIG">
      <formula>NOT(ISERROR(SEARCH("CONFIG",C65)))</formula>
    </cfRule>
  </conditionalFormatting>
  <conditionalFormatting sqref="C66">
    <cfRule type="containsText" dxfId="760" priority="426" operator="containsText" text="LIGHT SELECTION">
      <formula>NOT(ISERROR(SEARCH("LIGHT SELECTION",C66)))</formula>
    </cfRule>
  </conditionalFormatting>
  <conditionalFormatting sqref="C67:C68">
    <cfRule type="containsText" dxfId="759" priority="249" operator="containsText" text="ANSUL SELECTION">
      <formula>NOT(ISERROR(SEARCH("ANSUL SELECTION",C67)))</formula>
    </cfRule>
  </conditionalFormatting>
  <conditionalFormatting sqref="C71:C72">
    <cfRule type="cellIs" dxfId="756" priority="535" operator="lessThan">
      <formula>1</formula>
    </cfRule>
  </conditionalFormatting>
  <conditionalFormatting sqref="C73:C74">
    <cfRule type="expression" dxfId="755" priority="358">
      <formula>D73="WW PODS"</formula>
    </cfRule>
  </conditionalFormatting>
  <conditionalFormatting sqref="C75">
    <cfRule type="expression" dxfId="754" priority="549">
      <formula>ISNUMBER(SEARCH("UV",D65))</formula>
    </cfRule>
  </conditionalFormatting>
  <conditionalFormatting sqref="C76">
    <cfRule type="expression" dxfId="753" priority="532">
      <formula>(ISNUMBER(SEARCH("CMW",D65)))=TRUE</formula>
    </cfRule>
  </conditionalFormatting>
  <conditionalFormatting sqref="C77">
    <cfRule type="expression" dxfId="752" priority="460">
      <formula>(ISNUMBER(SEARCH("CMW",D65)))=TRUE</formula>
    </cfRule>
  </conditionalFormatting>
  <conditionalFormatting sqref="C78">
    <cfRule type="expression" dxfId="751" priority="528">
      <formula>(ISNUMBER(SEARCH("CMW",$D65)))=TRUE</formula>
    </cfRule>
  </conditionalFormatting>
  <conditionalFormatting sqref="C82">
    <cfRule type="containsText" dxfId="750" priority="505" operator="containsText" text="CONFIG">
      <formula>NOT(ISERROR(SEARCH("CONFIG",C82)))</formula>
    </cfRule>
  </conditionalFormatting>
  <conditionalFormatting sqref="C83">
    <cfRule type="containsText" dxfId="749" priority="425" operator="containsText" text="LIGHT SELECTION">
      <formula>NOT(ISERROR(SEARCH("LIGHT SELECTION",C83)))</formula>
    </cfRule>
  </conditionalFormatting>
  <conditionalFormatting sqref="C84:C85">
    <cfRule type="containsText" dxfId="748" priority="238" operator="containsText" text="ANSUL SELECTION">
      <formula>NOT(ISERROR(SEARCH("ANSUL SELECTION",C84)))</formula>
    </cfRule>
  </conditionalFormatting>
  <conditionalFormatting sqref="C88:C89">
    <cfRule type="cellIs" dxfId="745" priority="504" operator="lessThan">
      <formula>1</formula>
    </cfRule>
  </conditionalFormatting>
  <conditionalFormatting sqref="C90:C91">
    <cfRule type="expression" dxfId="744" priority="343">
      <formula>D90="WW PODS"</formula>
    </cfRule>
  </conditionalFormatting>
  <conditionalFormatting sqref="C92">
    <cfRule type="expression" dxfId="743" priority="519">
      <formula>ISNUMBER(SEARCH("UV",D82))</formula>
    </cfRule>
  </conditionalFormatting>
  <conditionalFormatting sqref="C93">
    <cfRule type="expression" dxfId="742" priority="501">
      <formula>(ISNUMBER(SEARCH("CMW",D82)))=TRUE</formula>
    </cfRule>
  </conditionalFormatting>
  <conditionalFormatting sqref="C94">
    <cfRule type="expression" dxfId="741" priority="459">
      <formula>(ISNUMBER(SEARCH("CMW",D82)))=TRUE</formula>
    </cfRule>
  </conditionalFormatting>
  <conditionalFormatting sqref="C95">
    <cfRule type="expression" dxfId="740" priority="497">
      <formula>(ISNUMBER(SEARCH("CMW",$D82)))=TRUE</formula>
    </cfRule>
  </conditionalFormatting>
  <conditionalFormatting sqref="C99">
    <cfRule type="containsText" dxfId="739" priority="474" operator="containsText" text="CONFIG">
      <formula>NOT(ISERROR(SEARCH("CONFIG",C99)))</formula>
    </cfRule>
  </conditionalFormatting>
  <conditionalFormatting sqref="C100">
    <cfRule type="containsText" dxfId="738" priority="424" operator="containsText" text="LIGHT SELECTION">
      <formula>NOT(ISERROR(SEARCH("LIGHT SELECTION",C100)))</formula>
    </cfRule>
  </conditionalFormatting>
  <conditionalFormatting sqref="C101:C102">
    <cfRule type="containsText" dxfId="737" priority="227" operator="containsText" text="ANSUL SELECTION">
      <formula>NOT(ISERROR(SEARCH("ANSUL SELECTION",C101)))</formula>
    </cfRule>
  </conditionalFormatting>
  <conditionalFormatting sqref="C105:C106">
    <cfRule type="cellIs" dxfId="734" priority="473" operator="lessThan">
      <formula>1</formula>
    </cfRule>
  </conditionalFormatting>
  <conditionalFormatting sqref="C107:C108">
    <cfRule type="expression" dxfId="733" priority="328">
      <formula>D107="WW PODS"</formula>
    </cfRule>
  </conditionalFormatting>
  <conditionalFormatting sqref="C109">
    <cfRule type="expression" dxfId="732" priority="488">
      <formula>ISNUMBER(SEARCH("UV",D99))</formula>
    </cfRule>
  </conditionalFormatting>
  <conditionalFormatting sqref="C110">
    <cfRule type="expression" dxfId="731" priority="471">
      <formula>(ISNUMBER(SEARCH("CMW",D99)))=TRUE</formula>
    </cfRule>
  </conditionalFormatting>
  <conditionalFormatting sqref="C111">
    <cfRule type="expression" dxfId="730" priority="458">
      <formula>(ISNUMBER(SEARCH("CMW",D99)))=TRUE</formula>
    </cfRule>
  </conditionalFormatting>
  <conditionalFormatting sqref="C112 C129 C163 C180">
    <cfRule type="expression" dxfId="729" priority="467">
      <formula>(ISNUMBER(SEARCH("CMW",$D99)))=TRUE</formula>
    </cfRule>
  </conditionalFormatting>
  <conditionalFormatting sqref="C116">
    <cfRule type="containsText" dxfId="728" priority="306" operator="containsText" text="CONFIG">
      <formula>NOT(ISERROR(SEARCH("CONFIG",C116)))</formula>
    </cfRule>
  </conditionalFormatting>
  <conditionalFormatting sqref="C117">
    <cfRule type="containsText" dxfId="727" priority="291" operator="containsText" text="LIGHT SELECTION">
      <formula>NOT(ISERROR(SEARCH("LIGHT SELECTION",C117)))</formula>
    </cfRule>
  </conditionalFormatting>
  <conditionalFormatting sqref="C118:C119">
    <cfRule type="containsText" dxfId="726" priority="216" operator="containsText" text="ANSUL SELECTION">
      <formula>NOT(ISERROR(SEARCH("ANSUL SELECTION",C118)))</formula>
    </cfRule>
  </conditionalFormatting>
  <conditionalFormatting sqref="C122:C123">
    <cfRule type="cellIs" dxfId="723" priority="305" operator="lessThan">
      <formula>1</formula>
    </cfRule>
  </conditionalFormatting>
  <conditionalFormatting sqref="C124:C125">
    <cfRule type="expression" dxfId="722" priority="275">
      <formula>D124="WW PODS"</formula>
    </cfRule>
  </conditionalFormatting>
  <conditionalFormatting sqref="C126">
    <cfRule type="expression" dxfId="721" priority="320">
      <formula>ISNUMBER(SEARCH("UV",D116))</formula>
    </cfRule>
  </conditionalFormatting>
  <conditionalFormatting sqref="C127">
    <cfRule type="expression" dxfId="720" priority="303">
      <formula>(ISNUMBER(SEARCH("CMW",D116)))=TRUE</formula>
    </cfRule>
  </conditionalFormatting>
  <conditionalFormatting sqref="C128">
    <cfRule type="expression" dxfId="719" priority="296">
      <formula>(ISNUMBER(SEARCH("CMW",D116)))=TRUE</formula>
    </cfRule>
  </conditionalFormatting>
  <conditionalFormatting sqref="C133">
    <cfRule type="containsText" dxfId="718" priority="169" operator="containsText" text="CONFIG">
      <formula>NOT(ISERROR(SEARCH("CONFIG",C133)))</formula>
    </cfRule>
  </conditionalFormatting>
  <conditionalFormatting sqref="C134">
    <cfRule type="containsText" dxfId="717" priority="117" operator="containsText" text="LIGHT SELECTION">
      <formula>NOT(ISERROR(SEARCH("LIGHT SELECTION",C134)))</formula>
    </cfRule>
  </conditionalFormatting>
  <conditionalFormatting sqref="C135:C136">
    <cfRule type="containsText" dxfId="716" priority="29" operator="containsText" text="ANSUL SELECTION">
      <formula>NOT(ISERROR(SEARCH("ANSUL SELECTION",C135)))</formula>
    </cfRule>
  </conditionalFormatting>
  <conditionalFormatting sqref="C139:C140">
    <cfRule type="cellIs" dxfId="713" priority="168" operator="lessThan">
      <formula>1</formula>
    </cfRule>
  </conditionalFormatting>
  <conditionalFormatting sqref="C141:C142">
    <cfRule type="expression" dxfId="712" priority="99">
      <formula>D141="WW PODS"</formula>
    </cfRule>
  </conditionalFormatting>
  <conditionalFormatting sqref="C143">
    <cfRule type="expression" dxfId="711" priority="183">
      <formula>ISNUMBER(SEARCH("UV",D133))</formula>
    </cfRule>
  </conditionalFormatting>
  <conditionalFormatting sqref="C144">
    <cfRule type="expression" dxfId="710" priority="165">
      <formula>(ISNUMBER(SEARCH("CMW",D133)))=TRUE</formula>
    </cfRule>
  </conditionalFormatting>
  <conditionalFormatting sqref="C145">
    <cfRule type="expression" dxfId="709" priority="128">
      <formula>(ISNUMBER(SEARCH("CMW",D133)))=TRUE</formula>
    </cfRule>
  </conditionalFormatting>
  <conditionalFormatting sqref="C146">
    <cfRule type="expression" dxfId="708" priority="161">
      <formula>(ISNUMBER(SEARCH("CMW",$D133)))=TRUE</formula>
    </cfRule>
  </conditionalFormatting>
  <conditionalFormatting sqref="C150">
    <cfRule type="containsText" dxfId="707" priority="138" operator="containsText" text="CONFIG">
      <formula>NOT(ISERROR(SEARCH("CONFIG",C150)))</formula>
    </cfRule>
  </conditionalFormatting>
  <conditionalFormatting sqref="C151">
    <cfRule type="containsText" dxfId="706" priority="116" operator="containsText" text="LIGHT SELECTION">
      <formula>NOT(ISERROR(SEARCH("LIGHT SELECTION",C151)))</formula>
    </cfRule>
  </conditionalFormatting>
  <conditionalFormatting sqref="C152:C153">
    <cfRule type="containsText" dxfId="705" priority="18" operator="containsText" text="ANSUL SELECTION">
      <formula>NOT(ISERROR(SEARCH("ANSUL SELECTION",C152)))</formula>
    </cfRule>
  </conditionalFormatting>
  <conditionalFormatting sqref="C156:C157">
    <cfRule type="cellIs" dxfId="702" priority="137" operator="lessThan">
      <formula>1</formula>
    </cfRule>
  </conditionalFormatting>
  <conditionalFormatting sqref="C158:C159">
    <cfRule type="expression" dxfId="701" priority="84">
      <formula>D158="WW PODS"</formula>
    </cfRule>
  </conditionalFormatting>
  <conditionalFormatting sqref="C160">
    <cfRule type="expression" dxfId="700" priority="152">
      <formula>ISNUMBER(SEARCH("UV",D150))</formula>
    </cfRule>
  </conditionalFormatting>
  <conditionalFormatting sqref="C161">
    <cfRule type="expression" dxfId="699" priority="135">
      <formula>(ISNUMBER(SEARCH("CMW",D150)))=TRUE</formula>
    </cfRule>
  </conditionalFormatting>
  <conditionalFormatting sqref="C162">
    <cfRule type="expression" dxfId="698" priority="127">
      <formula>(ISNUMBER(SEARCH("CMW",D150)))=TRUE</formula>
    </cfRule>
  </conditionalFormatting>
  <conditionalFormatting sqref="C167">
    <cfRule type="containsText" dxfId="697" priority="62" operator="containsText" text="CONFIG">
      <formula>NOT(ISERROR(SEARCH("CONFIG",C167)))</formula>
    </cfRule>
  </conditionalFormatting>
  <conditionalFormatting sqref="C168">
    <cfRule type="containsText" dxfId="696" priority="47" operator="containsText" text="LIGHT SELECTION">
      <formula>NOT(ISERROR(SEARCH("LIGHT SELECTION",C168)))</formula>
    </cfRule>
  </conditionalFormatting>
  <conditionalFormatting sqref="C169:C170">
    <cfRule type="containsText" dxfId="695" priority="7" operator="containsText" text="ANSUL SELECTION">
      <formula>NOT(ISERROR(SEARCH("ANSUL SELECTION",C169)))</formula>
    </cfRule>
  </conditionalFormatting>
  <conditionalFormatting sqref="C173:C174">
    <cfRule type="cellIs" dxfId="692" priority="61" operator="lessThan">
      <formula>1</formula>
    </cfRule>
  </conditionalFormatting>
  <conditionalFormatting sqref="C175:C176">
    <cfRule type="expression" dxfId="691" priority="31">
      <formula>D175="WW PODS"</formula>
    </cfRule>
  </conditionalFormatting>
  <conditionalFormatting sqref="C177">
    <cfRule type="expression" dxfId="690" priority="76">
      <formula>ISNUMBER(SEARCH("UV",D167))</formula>
    </cfRule>
  </conditionalFormatting>
  <conditionalFormatting sqref="C178">
    <cfRule type="expression" dxfId="689" priority="59">
      <formula>(ISNUMBER(SEARCH("CMW",D167)))=TRUE</formula>
    </cfRule>
  </conditionalFormatting>
  <conditionalFormatting sqref="C179">
    <cfRule type="expression" dxfId="688" priority="52">
      <formula>(ISNUMBER(SEARCH("CMW",D167)))=TRUE</formula>
    </cfRule>
  </conditionalFormatting>
  <conditionalFormatting sqref="C183:C184">
    <cfRule type="cellIs" dxfId="687" priority="673" operator="lessThan">
      <formula>1</formula>
    </cfRule>
  </conditionalFormatting>
  <conditionalFormatting sqref="C185:C186">
    <cfRule type="cellIs" dxfId="686" priority="662" operator="lessThan">
      <formula>1</formula>
    </cfRule>
  </conditionalFormatting>
  <conditionalFormatting sqref="C187:C197">
    <cfRule type="cellIs" dxfId="685" priority="273" operator="lessThan">
      <formula>1</formula>
    </cfRule>
  </conditionalFormatting>
  <conditionalFormatting sqref="C9:D9">
    <cfRule type="cellIs" dxfId="684" priority="663" operator="lessThan">
      <formula>0</formula>
    </cfRule>
    <cfRule type="cellIs" dxfId="683" priority="664" operator="greaterThan">
      <formula>0</formula>
    </cfRule>
  </conditionalFormatting>
  <conditionalFormatting sqref="D14">
    <cfRule type="containsText" dxfId="682" priority="675" operator="containsText" text="CANOPY TYPE">
      <formula>NOT(ISERROR(SEARCH("CANOPY TYPE",D14)))</formula>
    </cfRule>
  </conditionalFormatting>
  <conditionalFormatting sqref="D15">
    <cfRule type="expression" dxfId="681" priority="419">
      <formula>(C15="LIGHT SELECTION")</formula>
    </cfRule>
  </conditionalFormatting>
  <conditionalFormatting sqref="D18">
    <cfRule type="expression" dxfId="680" priority="629">
      <formula>($C18="SELECT WORKS")</formula>
    </cfRule>
  </conditionalFormatting>
  <conditionalFormatting sqref="D19">
    <cfRule type="expression" dxfId="679" priority="272">
      <formula>$C19="SELECT CLADDING"</formula>
    </cfRule>
  </conditionalFormatting>
  <conditionalFormatting sqref="D22:D23">
    <cfRule type="expression" dxfId="678" priority="402">
      <formula>($D$14="CANOPY TYPE")</formula>
    </cfRule>
  </conditionalFormatting>
  <conditionalFormatting sqref="D24">
    <cfRule type="expression" dxfId="677" priority="688">
      <formula>ISNUMBER(SEARCH("UV",D14))</formula>
    </cfRule>
  </conditionalFormatting>
  <conditionalFormatting sqref="D25">
    <cfRule type="expression" dxfId="676" priority="614">
      <formula>($D$14="CANOPY TYPE")</formula>
    </cfRule>
  </conditionalFormatting>
  <conditionalFormatting sqref="D26">
    <cfRule type="expression" dxfId="675" priority="637">
      <formula>(ISNUMBER(SEARCH("CMW",D14)))=TRUE</formula>
    </cfRule>
  </conditionalFormatting>
  <conditionalFormatting sqref="D31">
    <cfRule type="containsText" dxfId="674" priority="596" operator="containsText" text="CANOPY TYPE">
      <formula>NOT(ISERROR(SEARCH("CANOPY TYPE",D31)))</formula>
    </cfRule>
  </conditionalFormatting>
  <conditionalFormatting sqref="D32">
    <cfRule type="expression" dxfId="673" priority="432">
      <formula>(C32="LIGHT SELECTION")</formula>
    </cfRule>
  </conditionalFormatting>
  <conditionalFormatting sqref="D35">
    <cfRule type="expression" dxfId="672" priority="589">
      <formula>($C35="SELECT WORKS")</formula>
    </cfRule>
  </conditionalFormatting>
  <conditionalFormatting sqref="D36">
    <cfRule type="expression" dxfId="671" priority="411">
      <formula>$C36="SELECT CLADDING"</formula>
    </cfRule>
  </conditionalFormatting>
  <conditionalFormatting sqref="D39:D40">
    <cfRule type="expression" dxfId="670" priority="387">
      <formula>($D$14="CANOPY TYPE")</formula>
    </cfRule>
  </conditionalFormatting>
  <conditionalFormatting sqref="D41">
    <cfRule type="expression" dxfId="669" priority="608">
      <formula>ISNUMBER(SEARCH("UV",D31))</formula>
    </cfRule>
  </conditionalFormatting>
  <conditionalFormatting sqref="D42">
    <cfRule type="expression" dxfId="668" priority="583">
      <formula>($D$14="CANOPY TYPE")</formula>
    </cfRule>
  </conditionalFormatting>
  <conditionalFormatting sqref="D43">
    <cfRule type="expression" dxfId="667" priority="591">
      <formula>(ISNUMBER(SEARCH("CMW",D31)))=TRUE</formula>
    </cfRule>
  </conditionalFormatting>
  <conditionalFormatting sqref="D48">
    <cfRule type="containsText" dxfId="666" priority="414" operator="containsText" text="CANOPY TYPE">
      <formula>NOT(ISERROR(SEARCH("CANOPY TYPE",D48)))</formula>
    </cfRule>
  </conditionalFormatting>
  <conditionalFormatting sqref="D49">
    <cfRule type="expression" dxfId="665" priority="429">
      <formula>(C15="LIGHT SELECTION")</formula>
    </cfRule>
  </conditionalFormatting>
  <conditionalFormatting sqref="D52">
    <cfRule type="expression" dxfId="664" priority="559">
      <formula>($C52="SELECT WORKS")</formula>
    </cfRule>
  </conditionalFormatting>
  <conditionalFormatting sqref="D53">
    <cfRule type="expression" dxfId="663" priority="412">
      <formula>$C53="SELECT CLADDING"</formula>
    </cfRule>
  </conditionalFormatting>
  <conditionalFormatting sqref="D56:D57">
    <cfRule type="expression" dxfId="662" priority="372">
      <formula>($D$14="CANOPY TYPE")</formula>
    </cfRule>
  </conditionalFormatting>
  <conditionalFormatting sqref="D58">
    <cfRule type="expression" dxfId="661" priority="577">
      <formula>ISNUMBER(SEARCH("UV",D48))</formula>
    </cfRule>
  </conditionalFormatting>
  <conditionalFormatting sqref="D59">
    <cfRule type="expression" dxfId="660" priority="554">
      <formula>($D$14="CANOPY TYPE")</formula>
    </cfRule>
  </conditionalFormatting>
  <conditionalFormatting sqref="D60">
    <cfRule type="expression" dxfId="659" priority="561">
      <formula>(ISNUMBER(SEARCH("CMW",D48)))=TRUE</formula>
    </cfRule>
  </conditionalFormatting>
  <conditionalFormatting sqref="D65">
    <cfRule type="containsText" dxfId="658" priority="413" operator="containsText" text="CANOPY TYPE">
      <formula>NOT(ISERROR(SEARCH("CANOPY TYPE",D65)))</formula>
    </cfRule>
  </conditionalFormatting>
  <conditionalFormatting sqref="D66">
    <cfRule type="expression" dxfId="657" priority="422">
      <formula>(C66="LIGHT SELECTION")</formula>
    </cfRule>
  </conditionalFormatting>
  <conditionalFormatting sqref="D69">
    <cfRule type="expression" dxfId="656" priority="529">
      <formula>($C69="SELECT WORKS")</formula>
    </cfRule>
  </conditionalFormatting>
  <conditionalFormatting sqref="D70">
    <cfRule type="expression" dxfId="655" priority="533">
      <formula>$C70="SELECT CLADDING"</formula>
    </cfRule>
  </conditionalFormatting>
  <conditionalFormatting sqref="D73:D74">
    <cfRule type="expression" dxfId="654" priority="357">
      <formula>($D$14="CANOPY TYPE")</formula>
    </cfRule>
  </conditionalFormatting>
  <conditionalFormatting sqref="D75">
    <cfRule type="expression" dxfId="653" priority="548">
      <formula>ISNUMBER(SEARCH("UV",D65))</formula>
    </cfRule>
  </conditionalFormatting>
  <conditionalFormatting sqref="D76">
    <cfRule type="expression" dxfId="652" priority="524">
      <formula>($D$14="CANOPY TYPE")</formula>
    </cfRule>
  </conditionalFormatting>
  <conditionalFormatting sqref="D77">
    <cfRule type="expression" dxfId="651" priority="531">
      <formula>(ISNUMBER(SEARCH("CMW",D65)))=TRUE</formula>
    </cfRule>
  </conditionalFormatting>
  <conditionalFormatting sqref="D82">
    <cfRule type="containsText" dxfId="650" priority="506" operator="containsText" text="CANOPY TYPE">
      <formula>NOT(ISERROR(SEARCH("CANOPY TYPE",D82)))</formula>
    </cfRule>
  </conditionalFormatting>
  <conditionalFormatting sqref="D83">
    <cfRule type="expression" dxfId="649" priority="421">
      <formula>(C83="LIGHT SELECTION")</formula>
    </cfRule>
  </conditionalFormatting>
  <conditionalFormatting sqref="D86">
    <cfRule type="expression" dxfId="648" priority="498">
      <formula>($C86="SELECT WORKS")</formula>
    </cfRule>
  </conditionalFormatting>
  <conditionalFormatting sqref="D87">
    <cfRule type="expression" dxfId="647" priority="502">
      <formula>$C87="SELECT CLADDING"</formula>
    </cfRule>
  </conditionalFormatting>
  <conditionalFormatting sqref="D90:D91">
    <cfRule type="expression" dxfId="646" priority="342">
      <formula>($D$14="CANOPY TYPE")</formula>
    </cfRule>
  </conditionalFormatting>
  <conditionalFormatting sqref="D92">
    <cfRule type="expression" dxfId="645" priority="518">
      <formula>ISNUMBER(SEARCH("UV",D82))</formula>
    </cfRule>
  </conditionalFormatting>
  <conditionalFormatting sqref="D93">
    <cfRule type="expression" dxfId="644" priority="493">
      <formula>($D$14="CANOPY TYPE")</formula>
    </cfRule>
  </conditionalFormatting>
  <conditionalFormatting sqref="D94">
    <cfRule type="expression" dxfId="643" priority="500">
      <formula>(ISNUMBER(SEARCH("CMW",D82)))=TRUE</formula>
    </cfRule>
  </conditionalFormatting>
  <conditionalFormatting sqref="D99">
    <cfRule type="containsText" dxfId="642" priority="475" operator="containsText" text="CANOPY TYPE">
      <formula>NOT(ISERROR(SEARCH("CANOPY TYPE",D99)))</formula>
    </cfRule>
  </conditionalFormatting>
  <conditionalFormatting sqref="D100">
    <cfRule type="expression" dxfId="641" priority="420">
      <formula>(C100="LIGHT SELECTION")</formula>
    </cfRule>
  </conditionalFormatting>
  <conditionalFormatting sqref="D103">
    <cfRule type="expression" dxfId="640" priority="468">
      <formula>($C103="SELECT WORKS")</formula>
    </cfRule>
  </conditionalFormatting>
  <conditionalFormatting sqref="D104">
    <cfRule type="expression" dxfId="639" priority="410">
      <formula>$C104="SELECT CLADDING"</formula>
    </cfRule>
  </conditionalFormatting>
  <conditionalFormatting sqref="D107:D108">
    <cfRule type="expression" dxfId="638" priority="327">
      <formula>($D$14="CANOPY TYPE")</formula>
    </cfRule>
  </conditionalFormatting>
  <conditionalFormatting sqref="D109">
    <cfRule type="expression" dxfId="637" priority="487">
      <formula>ISNUMBER(SEARCH("UV",D99))</formula>
    </cfRule>
  </conditionalFormatting>
  <conditionalFormatting sqref="D110">
    <cfRule type="expression" dxfId="636" priority="463">
      <formula>($D$14="CANOPY TYPE")</formula>
    </cfRule>
  </conditionalFormatting>
  <conditionalFormatting sqref="D111">
    <cfRule type="expression" dxfId="635" priority="470">
      <formula>(ISNUMBER(SEARCH("CMW",D99)))=TRUE</formula>
    </cfRule>
  </conditionalFormatting>
  <conditionalFormatting sqref="D116">
    <cfRule type="containsText" dxfId="634" priority="307" operator="containsText" text="CANOPY TYPE">
      <formula>NOT(ISERROR(SEARCH("CANOPY TYPE",D116)))</formula>
    </cfRule>
  </conditionalFormatting>
  <conditionalFormatting sqref="D117">
    <cfRule type="expression" dxfId="633" priority="290">
      <formula>(C117="LIGHT SELECTION")</formula>
    </cfRule>
  </conditionalFormatting>
  <conditionalFormatting sqref="D120">
    <cfRule type="expression" dxfId="632" priority="300">
      <formula>($C120="SELECT WORKS")</formula>
    </cfRule>
  </conditionalFormatting>
  <conditionalFormatting sqref="D121">
    <cfRule type="expression" dxfId="631" priority="289">
      <formula>$C121="SELECT CLADDING"</formula>
    </cfRule>
  </conditionalFormatting>
  <conditionalFormatting sqref="D124:D125">
    <cfRule type="expression" dxfId="630" priority="274">
      <formula>($D$14="CANOPY TYPE")</formula>
    </cfRule>
  </conditionalFormatting>
  <conditionalFormatting sqref="D126">
    <cfRule type="expression" dxfId="629" priority="319">
      <formula>ISNUMBER(SEARCH("UV",D116))</formula>
    </cfRule>
  </conditionalFormatting>
  <conditionalFormatting sqref="D127">
    <cfRule type="expression" dxfId="628" priority="297">
      <formula>($D$14="CANOPY TYPE")</formula>
    </cfRule>
  </conditionalFormatting>
  <conditionalFormatting sqref="D128">
    <cfRule type="expression" dxfId="627" priority="302">
      <formula>(ISNUMBER(SEARCH("CMW",D116)))=TRUE</formula>
    </cfRule>
  </conditionalFormatting>
  <conditionalFormatting sqref="D133">
    <cfRule type="containsText" dxfId="626" priority="170" operator="containsText" text="CANOPY TYPE">
      <formula>NOT(ISERROR(SEARCH("CANOPY TYPE",D133)))</formula>
    </cfRule>
  </conditionalFormatting>
  <conditionalFormatting sqref="D134">
    <cfRule type="expression" dxfId="625" priority="115">
      <formula>(C134="LIGHT SELECTION")</formula>
    </cfRule>
  </conditionalFormatting>
  <conditionalFormatting sqref="D137">
    <cfRule type="expression" dxfId="624" priority="162">
      <formula>($C137="SELECT WORKS")</formula>
    </cfRule>
  </conditionalFormatting>
  <conditionalFormatting sqref="D138">
    <cfRule type="expression" dxfId="623" priority="166">
      <formula>$C138="SELECT CLADDING"</formula>
    </cfRule>
  </conditionalFormatting>
  <conditionalFormatting sqref="D141:D142">
    <cfRule type="expression" dxfId="622" priority="98">
      <formula>($D$14="CANOPY TYPE")</formula>
    </cfRule>
  </conditionalFormatting>
  <conditionalFormatting sqref="D143">
    <cfRule type="expression" dxfId="621" priority="182">
      <formula>ISNUMBER(SEARCH("UV",D133))</formula>
    </cfRule>
  </conditionalFormatting>
  <conditionalFormatting sqref="D144">
    <cfRule type="expression" dxfId="620" priority="157">
      <formula>($D$14="CANOPY TYPE")</formula>
    </cfRule>
  </conditionalFormatting>
  <conditionalFormatting sqref="D145">
    <cfRule type="expression" dxfId="619" priority="164">
      <formula>(ISNUMBER(SEARCH("CMW",D133)))=TRUE</formula>
    </cfRule>
  </conditionalFormatting>
  <conditionalFormatting sqref="D150">
    <cfRule type="containsText" dxfId="618" priority="139" operator="containsText" text="CANOPY TYPE">
      <formula>NOT(ISERROR(SEARCH("CANOPY TYPE",D150)))</formula>
    </cfRule>
  </conditionalFormatting>
  <conditionalFormatting sqref="D151">
    <cfRule type="expression" dxfId="617" priority="114">
      <formula>(C151="LIGHT SELECTION")</formula>
    </cfRule>
  </conditionalFormatting>
  <conditionalFormatting sqref="D154">
    <cfRule type="expression" dxfId="616" priority="132">
      <formula>($C154="SELECT WORKS")</formula>
    </cfRule>
  </conditionalFormatting>
  <conditionalFormatting sqref="D155">
    <cfRule type="expression" dxfId="615" priority="113">
      <formula>$C155="SELECT CLADDING"</formula>
    </cfRule>
  </conditionalFormatting>
  <conditionalFormatting sqref="D158:D159">
    <cfRule type="expression" dxfId="614" priority="83">
      <formula>($D$14="CANOPY TYPE")</formula>
    </cfRule>
  </conditionalFormatting>
  <conditionalFormatting sqref="D160">
    <cfRule type="expression" dxfId="613" priority="151">
      <formula>ISNUMBER(SEARCH("UV",D150))</formula>
    </cfRule>
  </conditionalFormatting>
  <conditionalFormatting sqref="D161">
    <cfRule type="expression" dxfId="612" priority="129">
      <formula>($D$14="CANOPY TYPE")</formula>
    </cfRule>
  </conditionalFormatting>
  <conditionalFormatting sqref="D162">
    <cfRule type="expression" dxfId="611" priority="134">
      <formula>(ISNUMBER(SEARCH("CMW",D150)))=TRUE</formula>
    </cfRule>
  </conditionalFormatting>
  <conditionalFormatting sqref="D167">
    <cfRule type="containsText" dxfId="610" priority="63" operator="containsText" text="CANOPY TYPE">
      <formula>NOT(ISERROR(SEARCH("CANOPY TYPE",D167)))</formula>
    </cfRule>
  </conditionalFormatting>
  <conditionalFormatting sqref="D168">
    <cfRule type="expression" dxfId="609" priority="46">
      <formula>(C168="LIGHT SELECTION")</formula>
    </cfRule>
  </conditionalFormatting>
  <conditionalFormatting sqref="D171">
    <cfRule type="expression" dxfId="608" priority="56">
      <formula>($C171="SELECT WORKS")</formula>
    </cfRule>
  </conditionalFormatting>
  <conditionalFormatting sqref="D172">
    <cfRule type="expression" dxfId="607" priority="45">
      <formula>$C172="SELECT CLADDING"</formula>
    </cfRule>
  </conditionalFormatting>
  <conditionalFormatting sqref="D175:D176">
    <cfRule type="expression" dxfId="606" priority="30">
      <formula>($D$14="CANOPY TYPE")</formula>
    </cfRule>
  </conditionalFormatting>
  <conditionalFormatting sqref="D177">
    <cfRule type="expression" dxfId="605" priority="75">
      <formula>ISNUMBER(SEARCH("UV",D167))</formula>
    </cfRule>
  </conditionalFormatting>
  <conditionalFormatting sqref="D178">
    <cfRule type="expression" dxfId="604" priority="53">
      <formula>($D$14="CANOPY TYPE")</formula>
    </cfRule>
  </conditionalFormatting>
  <conditionalFormatting sqref="D179">
    <cfRule type="expression" dxfId="603" priority="58">
      <formula>(ISNUMBER(SEARCH("CMW",D167)))=TRUE</formula>
    </cfRule>
  </conditionalFormatting>
  <conditionalFormatting sqref="E12">
    <cfRule type="expression" dxfId="602" priority="685">
      <formula>AND((ISNUMBER(SEARCH("I-MUAP",$D$14))),E12&lt;2500)</formula>
    </cfRule>
    <cfRule type="expression" dxfId="601" priority="686">
      <formula>ISNUMBER(SEARCH("I-MUAP",$D$14))</formula>
    </cfRule>
    <cfRule type="cellIs" dxfId="600" priority="687" operator="greaterThan">
      <formula>2000</formula>
    </cfRule>
  </conditionalFormatting>
  <conditionalFormatting sqref="E15">
    <cfRule type="expression" dxfId="599" priority="417">
      <formula>(C15="LIGHT SELECTION")</formula>
    </cfRule>
  </conditionalFormatting>
  <conditionalFormatting sqref="E17:E18">
    <cfRule type="expression" dxfId="598" priority="628">
      <formula>$C17="SELECT WORKS"</formula>
    </cfRule>
  </conditionalFormatting>
  <conditionalFormatting sqref="E22:E23">
    <cfRule type="expression" dxfId="597" priority="667">
      <formula>D22="WW PODS"</formula>
    </cfRule>
    <cfRule type="expression" dxfId="596" priority="668">
      <formula>D22="FILTER TYPE"</formula>
    </cfRule>
    <cfRule type="expression" dxfId="595" priority="669">
      <formula>D22="KSA"</formula>
    </cfRule>
    <cfRule type="expression" dxfId="594" priority="690">
      <formula>(D14="CANOPY TYPE")</formula>
    </cfRule>
  </conditionalFormatting>
  <conditionalFormatting sqref="E24">
    <cfRule type="containsText" dxfId="593" priority="677" operator="containsText" text="LONG ">
      <formula>NOT(ISERROR(SEARCH("LONG ",E24)))</formula>
    </cfRule>
  </conditionalFormatting>
  <conditionalFormatting sqref="E29">
    <cfRule type="expression" dxfId="592" priority="605">
      <formula>AND((ISNUMBER(SEARCH("I-MUAP",$D$14))),E29&lt;2500)</formula>
    </cfRule>
    <cfRule type="expression" dxfId="591" priority="606">
      <formula>ISNUMBER(SEARCH("I-MUAP",$D$14))</formula>
    </cfRule>
    <cfRule type="cellIs" dxfId="590" priority="607" operator="greaterThan">
      <formula>2000</formula>
    </cfRule>
  </conditionalFormatting>
  <conditionalFormatting sqref="E34">
    <cfRule type="expression" dxfId="589" priority="264">
      <formula>$C34="SELECT WORKS"</formula>
    </cfRule>
  </conditionalFormatting>
  <conditionalFormatting sqref="E39:E40">
    <cfRule type="expression" dxfId="588" priority="389">
      <formula>D39="WW PODS"</formula>
    </cfRule>
    <cfRule type="expression" dxfId="587" priority="390">
      <formula>D39="FILTER TYPE"</formula>
    </cfRule>
    <cfRule type="expression" dxfId="586" priority="391">
      <formula>D39="KSA"</formula>
    </cfRule>
    <cfRule type="expression" dxfId="585" priority="392">
      <formula>(D31="CANOPY TYPE")</formula>
    </cfRule>
  </conditionalFormatting>
  <conditionalFormatting sqref="E41">
    <cfRule type="containsText" dxfId="584" priority="598" operator="containsText" text="LONG ">
      <formula>NOT(ISERROR(SEARCH("LONG ",E41)))</formula>
    </cfRule>
  </conditionalFormatting>
  <conditionalFormatting sqref="E46">
    <cfRule type="expression" dxfId="583" priority="574">
      <formula>AND((ISNUMBER(SEARCH("I-MUAP",$D$14))),E46&lt;2500)</formula>
    </cfRule>
    <cfRule type="expression" dxfId="582" priority="575">
      <formula>ISNUMBER(SEARCH("I-MUAP",$D$14))</formula>
    </cfRule>
    <cfRule type="cellIs" dxfId="581" priority="576" operator="greaterThan">
      <formula>2000</formula>
    </cfRule>
  </conditionalFormatting>
  <conditionalFormatting sqref="E49">
    <cfRule type="expression" dxfId="580" priority="431">
      <formula>(C49="LIGHT SELECTION")</formula>
    </cfRule>
  </conditionalFormatting>
  <conditionalFormatting sqref="E51:E52">
    <cfRule type="expression" dxfId="579" priority="253">
      <formula>$C51="SELECT WORKS"</formula>
    </cfRule>
  </conditionalFormatting>
  <conditionalFormatting sqref="E56:E57">
    <cfRule type="expression" dxfId="578" priority="374">
      <formula>D56="WW PODS"</formula>
    </cfRule>
    <cfRule type="expression" dxfId="577" priority="375">
      <formula>D56="FILTER TYPE"</formula>
    </cfRule>
    <cfRule type="expression" dxfId="576" priority="376">
      <formula>D56="KSA"</formula>
    </cfRule>
    <cfRule type="expression" dxfId="575" priority="377">
      <formula>(D48="CANOPY TYPE")</formula>
    </cfRule>
  </conditionalFormatting>
  <conditionalFormatting sqref="E58">
    <cfRule type="containsText" dxfId="574" priority="567" operator="containsText" text="LONG ">
      <formula>NOT(ISERROR(SEARCH("LONG ",E58)))</formula>
    </cfRule>
  </conditionalFormatting>
  <conditionalFormatting sqref="E63">
    <cfRule type="expression" dxfId="573" priority="545">
      <formula>AND((ISNUMBER(SEARCH("I-MUAP",$D$14))),E63&lt;2500)</formula>
    </cfRule>
    <cfRule type="expression" dxfId="572" priority="546">
      <formula>ISNUMBER(SEARCH("I-MUAP",$D$14))</formula>
    </cfRule>
    <cfRule type="cellIs" dxfId="571" priority="547" operator="greaterThan">
      <formula>2000</formula>
    </cfRule>
  </conditionalFormatting>
  <conditionalFormatting sqref="E68:E69">
    <cfRule type="expression" dxfId="570" priority="242">
      <formula>$C68="SELECT WORKS"</formula>
    </cfRule>
  </conditionalFormatting>
  <conditionalFormatting sqref="E73:E74">
    <cfRule type="expression" dxfId="569" priority="359">
      <formula>D73="WW PODS"</formula>
    </cfRule>
    <cfRule type="expression" dxfId="568" priority="360">
      <formula>D73="FILTER TYPE"</formula>
    </cfRule>
    <cfRule type="expression" dxfId="567" priority="361">
      <formula>D73="KSA"</formula>
    </cfRule>
    <cfRule type="expression" dxfId="566" priority="362">
      <formula>(D65="CANOPY TYPE")</formula>
    </cfRule>
  </conditionalFormatting>
  <conditionalFormatting sqref="E75">
    <cfRule type="containsText" dxfId="565" priority="538" operator="containsText" text="LONG ">
      <formula>NOT(ISERROR(SEARCH("LONG ",E75)))</formula>
    </cfRule>
  </conditionalFormatting>
  <conditionalFormatting sqref="E80">
    <cfRule type="expression" dxfId="564" priority="515">
      <formula>AND((ISNUMBER(SEARCH("I-MUAP",$D$14))),E80&lt;2500)</formula>
    </cfRule>
    <cfRule type="expression" dxfId="563" priority="516">
      <formula>ISNUMBER(SEARCH("I-MUAP",$D$14))</formula>
    </cfRule>
    <cfRule type="cellIs" dxfId="562" priority="517" operator="greaterThan">
      <formula>2000</formula>
    </cfRule>
  </conditionalFormatting>
  <conditionalFormatting sqref="E85:E86">
    <cfRule type="expression" dxfId="561" priority="231">
      <formula>$C85="SELECT WORKS"</formula>
    </cfRule>
  </conditionalFormatting>
  <conditionalFormatting sqref="E90:E91">
    <cfRule type="expression" dxfId="560" priority="344">
      <formula>D90="WW PODS"</formula>
    </cfRule>
    <cfRule type="expression" dxfId="559" priority="345">
      <formula>D90="FILTER TYPE"</formula>
    </cfRule>
    <cfRule type="expression" dxfId="558" priority="346">
      <formula>D90="KSA"</formula>
    </cfRule>
    <cfRule type="expression" dxfId="557" priority="347">
      <formula>(D82="CANOPY TYPE")</formula>
    </cfRule>
  </conditionalFormatting>
  <conditionalFormatting sqref="E92">
    <cfRule type="containsText" dxfId="556" priority="508" operator="containsText" text="LONG ">
      <formula>NOT(ISERROR(SEARCH("LONG ",E92)))</formula>
    </cfRule>
  </conditionalFormatting>
  <conditionalFormatting sqref="E97">
    <cfRule type="expression" dxfId="555" priority="484">
      <formula>AND((ISNUMBER(SEARCH("I-MUAP",$D$14))),E97&lt;2500)</formula>
    </cfRule>
    <cfRule type="expression" dxfId="554" priority="485">
      <formula>ISNUMBER(SEARCH("I-MUAP",$D$14))</formula>
    </cfRule>
    <cfRule type="cellIs" dxfId="553" priority="486" operator="greaterThan">
      <formula>2000</formula>
    </cfRule>
  </conditionalFormatting>
  <conditionalFormatting sqref="E102:E103">
    <cfRule type="expression" dxfId="552" priority="220">
      <formula>$C102="SELECT WORKS"</formula>
    </cfRule>
  </conditionalFormatting>
  <conditionalFormatting sqref="E107:E108">
    <cfRule type="expression" dxfId="551" priority="329">
      <formula>D107="WW PODS"</formula>
    </cfRule>
    <cfRule type="expression" dxfId="550" priority="330">
      <formula>D107="FILTER TYPE"</formula>
    </cfRule>
    <cfRule type="expression" dxfId="549" priority="331">
      <formula>D107="KSA"</formula>
    </cfRule>
    <cfRule type="expression" dxfId="548" priority="332">
      <formula>(D99="CANOPY TYPE")</formula>
    </cfRule>
  </conditionalFormatting>
  <conditionalFormatting sqref="E109">
    <cfRule type="containsText" dxfId="547" priority="477" operator="containsText" text="LONG ">
      <formula>NOT(ISERROR(SEARCH("LONG ",E109)))</formula>
    </cfRule>
  </conditionalFormatting>
  <conditionalFormatting sqref="E114">
    <cfRule type="expression" dxfId="546" priority="316">
      <formula>AND((ISNUMBER(SEARCH("I-MUAP",$D$14))),E114&lt;2500)</formula>
    </cfRule>
    <cfRule type="expression" dxfId="545" priority="317">
      <formula>ISNUMBER(SEARCH("I-MUAP",$D$14))</formula>
    </cfRule>
    <cfRule type="cellIs" dxfId="544" priority="318" operator="greaterThan">
      <formula>2000</formula>
    </cfRule>
  </conditionalFormatting>
  <conditionalFormatting sqref="E119:E120">
    <cfRule type="expression" dxfId="543" priority="209">
      <formula>$C119="SELECT WORKS"</formula>
    </cfRule>
  </conditionalFormatting>
  <conditionalFormatting sqref="E124:E125">
    <cfRule type="expression" dxfId="542" priority="276">
      <formula>D124="WW PODS"</formula>
    </cfRule>
    <cfRule type="expression" dxfId="541" priority="277">
      <formula>D124="FILTER TYPE"</formula>
    </cfRule>
    <cfRule type="expression" dxfId="540" priority="278">
      <formula>D124="KSA"</formula>
    </cfRule>
    <cfRule type="expression" dxfId="539" priority="279">
      <formula>(D116="CANOPY TYPE")</formula>
    </cfRule>
  </conditionalFormatting>
  <conditionalFormatting sqref="E126">
    <cfRule type="containsText" dxfId="538" priority="309" operator="containsText" text="LONG ">
      <formula>NOT(ISERROR(SEARCH("LONG ",E126)))</formula>
    </cfRule>
  </conditionalFormatting>
  <conditionalFormatting sqref="E131">
    <cfRule type="expression" dxfId="537" priority="179">
      <formula>AND((ISNUMBER(SEARCH("I-MUAP",$D$14))),E131&lt;2500)</formula>
    </cfRule>
    <cfRule type="expression" dxfId="536" priority="180">
      <formula>ISNUMBER(SEARCH("I-MUAP",$D$14))</formula>
    </cfRule>
    <cfRule type="cellIs" dxfId="535" priority="181" operator="greaterThan">
      <formula>2000</formula>
    </cfRule>
  </conditionalFormatting>
  <conditionalFormatting sqref="E136:E137">
    <cfRule type="expression" dxfId="534" priority="22">
      <formula>$C136="SELECT WORKS"</formula>
    </cfRule>
  </conditionalFormatting>
  <conditionalFormatting sqref="E141:E142">
    <cfRule type="expression" dxfId="533" priority="100">
      <formula>D141="WW PODS"</formula>
    </cfRule>
    <cfRule type="expression" dxfId="532" priority="101">
      <formula>D141="FILTER TYPE"</formula>
    </cfRule>
    <cfRule type="expression" dxfId="531" priority="102">
      <formula>D141="KSA"</formula>
    </cfRule>
    <cfRule type="expression" dxfId="530" priority="103">
      <formula>(D133="CANOPY TYPE")</formula>
    </cfRule>
  </conditionalFormatting>
  <conditionalFormatting sqref="E143">
    <cfRule type="containsText" dxfId="529" priority="172" operator="containsText" text="LONG ">
      <formula>NOT(ISERROR(SEARCH("LONG ",E143)))</formula>
    </cfRule>
  </conditionalFormatting>
  <conditionalFormatting sqref="E148">
    <cfRule type="expression" dxfId="528" priority="148">
      <formula>AND((ISNUMBER(SEARCH("I-MUAP",$D$14))),E148&lt;2500)</formula>
    </cfRule>
    <cfRule type="expression" dxfId="527" priority="149">
      <formula>ISNUMBER(SEARCH("I-MUAP",$D$14))</formula>
    </cfRule>
    <cfRule type="cellIs" dxfId="526" priority="150" operator="greaterThan">
      <formula>2000</formula>
    </cfRule>
  </conditionalFormatting>
  <conditionalFormatting sqref="E153:E154">
    <cfRule type="expression" dxfId="525" priority="11">
      <formula>$C153="SELECT WORKS"</formula>
    </cfRule>
  </conditionalFormatting>
  <conditionalFormatting sqref="E158:E159">
    <cfRule type="expression" dxfId="524" priority="85">
      <formula>D158="WW PODS"</formula>
    </cfRule>
    <cfRule type="expression" dxfId="523" priority="86">
      <formula>D158="FILTER TYPE"</formula>
    </cfRule>
    <cfRule type="expression" dxfId="522" priority="87">
      <formula>D158="KSA"</formula>
    </cfRule>
    <cfRule type="expression" dxfId="521" priority="88">
      <formula>(D150="CANOPY TYPE")</formula>
    </cfRule>
  </conditionalFormatting>
  <conditionalFormatting sqref="E160">
    <cfRule type="containsText" dxfId="520" priority="141" operator="containsText" text="LONG ">
      <formula>NOT(ISERROR(SEARCH("LONG ",E160)))</formula>
    </cfRule>
  </conditionalFormatting>
  <conditionalFormatting sqref="E165">
    <cfRule type="expression" dxfId="519" priority="72">
      <formula>AND((ISNUMBER(SEARCH("I-MUAP",$D$14))),E165&lt;2500)</formula>
    </cfRule>
    <cfRule type="expression" dxfId="518" priority="73">
      <formula>ISNUMBER(SEARCH("I-MUAP",$D$14))</formula>
    </cfRule>
    <cfRule type="cellIs" dxfId="517" priority="74" operator="greaterThan">
      <formula>2000</formula>
    </cfRule>
  </conditionalFormatting>
  <conditionalFormatting sqref="E170:E171">
    <cfRule type="expression" dxfId="516" priority="6">
      <formula>$C170="SELECT WORKS"</formula>
    </cfRule>
  </conditionalFormatting>
  <conditionalFormatting sqref="E175:E176">
    <cfRule type="expression" dxfId="515" priority="32">
      <formula>D175="WW PODS"</formula>
    </cfRule>
    <cfRule type="expression" dxfId="514" priority="33">
      <formula>D175="FILTER TYPE"</formula>
    </cfRule>
    <cfRule type="expression" dxfId="513" priority="34">
      <formula>D175="KSA"</formula>
    </cfRule>
    <cfRule type="expression" dxfId="512" priority="35">
      <formula>(D167="CANOPY TYPE")</formula>
    </cfRule>
  </conditionalFormatting>
  <conditionalFormatting sqref="E177">
    <cfRule type="containsText" dxfId="511" priority="65" operator="containsText" text="LONG ">
      <formula>NOT(ISERROR(SEARCH("LONG ",E177)))</formula>
    </cfRule>
  </conditionalFormatting>
  <conditionalFormatting sqref="E12:F12">
    <cfRule type="cellIs" dxfId="510" priority="681" operator="lessThan">
      <formula>1000</formula>
    </cfRule>
  </conditionalFormatting>
  <conditionalFormatting sqref="E14:F14">
    <cfRule type="cellIs" dxfId="509" priority="678" operator="lessThan">
      <formula>1000</formula>
    </cfRule>
  </conditionalFormatting>
  <conditionalFormatting sqref="E25:F27">
    <cfRule type="expression" dxfId="508" priority="615">
      <formula>($D$14="CANOPY TYPE")</formula>
    </cfRule>
  </conditionalFormatting>
  <conditionalFormatting sqref="E29:F29">
    <cfRule type="cellIs" dxfId="507" priority="602" operator="lessThan">
      <formula>1000</formula>
    </cfRule>
  </conditionalFormatting>
  <conditionalFormatting sqref="E31:F31">
    <cfRule type="cellIs" dxfId="506" priority="599" operator="lessThan">
      <formula>1000</formula>
    </cfRule>
  </conditionalFormatting>
  <conditionalFormatting sqref="E32:F32">
    <cfRule type="expression" dxfId="505" priority="455">
      <formula>(C32="LIGHT SELECTION")</formula>
    </cfRule>
  </conditionalFormatting>
  <conditionalFormatting sqref="E42:F44">
    <cfRule type="expression" dxfId="504" priority="584">
      <formula>($D$14="CANOPY TYPE")</formula>
    </cfRule>
  </conditionalFormatting>
  <conditionalFormatting sqref="E46:F46">
    <cfRule type="cellIs" dxfId="503" priority="571" operator="lessThan">
      <formula>1000</formula>
    </cfRule>
  </conditionalFormatting>
  <conditionalFormatting sqref="E48:F48">
    <cfRule type="cellIs" dxfId="502" priority="568" operator="lessThan">
      <formula>1000</formula>
    </cfRule>
  </conditionalFormatting>
  <conditionalFormatting sqref="E59:F61">
    <cfRule type="expression" dxfId="501" priority="555">
      <formula>($D$14="CANOPY TYPE")</formula>
    </cfRule>
  </conditionalFormatting>
  <conditionalFormatting sqref="E63:F63">
    <cfRule type="cellIs" dxfId="500" priority="542" operator="lessThan">
      <formula>1000</formula>
    </cfRule>
  </conditionalFormatting>
  <conditionalFormatting sqref="E65:F65">
    <cfRule type="cellIs" dxfId="499" priority="539" operator="lessThan">
      <formula>1000</formula>
    </cfRule>
  </conditionalFormatting>
  <conditionalFormatting sqref="E66:F66">
    <cfRule type="expression" dxfId="498" priority="448">
      <formula>(C66="LIGHT SELECTION")</formula>
    </cfRule>
  </conditionalFormatting>
  <conditionalFormatting sqref="E76:F78">
    <cfRule type="expression" dxfId="497" priority="525">
      <formula>($D$14="CANOPY TYPE")</formula>
    </cfRule>
  </conditionalFormatting>
  <conditionalFormatting sqref="E80:F80">
    <cfRule type="cellIs" dxfId="496" priority="512" operator="lessThan">
      <formula>1000</formula>
    </cfRule>
  </conditionalFormatting>
  <conditionalFormatting sqref="E82:F82">
    <cfRule type="cellIs" dxfId="495" priority="509" operator="lessThan">
      <formula>1000</formula>
    </cfRule>
  </conditionalFormatting>
  <conditionalFormatting sqref="E83:F83">
    <cfRule type="expression" dxfId="494" priority="444">
      <formula>(C83="LIGHT SELECTION")</formula>
    </cfRule>
  </conditionalFormatting>
  <conditionalFormatting sqref="E93:F95">
    <cfRule type="expression" dxfId="493" priority="494">
      <formula>($D$14="CANOPY TYPE")</formula>
    </cfRule>
  </conditionalFormatting>
  <conditionalFormatting sqref="E97:F97">
    <cfRule type="cellIs" dxfId="492" priority="481" operator="lessThan">
      <formula>1000</formula>
    </cfRule>
  </conditionalFormatting>
  <conditionalFormatting sqref="E99:F99">
    <cfRule type="cellIs" dxfId="491" priority="478" operator="lessThan">
      <formula>1000</formula>
    </cfRule>
  </conditionalFormatting>
  <conditionalFormatting sqref="E100:F100">
    <cfRule type="expression" dxfId="490" priority="440">
      <formula>(C100="LIGHT SELECTION")</formula>
    </cfRule>
  </conditionalFormatting>
  <conditionalFormatting sqref="E110:F112 E127:F129 E161:F163 E178:F180">
    <cfRule type="expression" dxfId="489" priority="464">
      <formula>($D$14="CANOPY TYPE")</formula>
    </cfRule>
  </conditionalFormatting>
  <conditionalFormatting sqref="E114:F114">
    <cfRule type="cellIs" dxfId="488" priority="313" operator="lessThan">
      <formula>1000</formula>
    </cfRule>
  </conditionalFormatting>
  <conditionalFormatting sqref="E116:F116">
    <cfRule type="cellIs" dxfId="487" priority="310" operator="lessThan">
      <formula>1000</formula>
    </cfRule>
  </conditionalFormatting>
  <conditionalFormatting sqref="E117:F117">
    <cfRule type="expression" dxfId="486" priority="294">
      <formula>(C117="LIGHT SELECTION")</formula>
    </cfRule>
  </conditionalFormatting>
  <conditionalFormatting sqref="E131:F131">
    <cfRule type="cellIs" dxfId="485" priority="176" operator="lessThan">
      <formula>1000</formula>
    </cfRule>
  </conditionalFormatting>
  <conditionalFormatting sqref="E133:F133">
    <cfRule type="cellIs" dxfId="484" priority="173" operator="lessThan">
      <formula>1000</formula>
    </cfRule>
  </conditionalFormatting>
  <conditionalFormatting sqref="E134:F134">
    <cfRule type="expression" dxfId="483" priority="125">
      <formula>(C134="LIGHT SELECTION")</formula>
    </cfRule>
  </conditionalFormatting>
  <conditionalFormatting sqref="E144:F146">
    <cfRule type="expression" dxfId="482" priority="158">
      <formula>($D$14="CANOPY TYPE")</formula>
    </cfRule>
  </conditionalFormatting>
  <conditionalFormatting sqref="E148:F148">
    <cfRule type="cellIs" dxfId="481" priority="145" operator="lessThan">
      <formula>1000</formula>
    </cfRule>
  </conditionalFormatting>
  <conditionalFormatting sqref="E150:F150">
    <cfRule type="cellIs" dxfId="480" priority="142" operator="lessThan">
      <formula>1000</formula>
    </cfRule>
  </conditionalFormatting>
  <conditionalFormatting sqref="E151:F151">
    <cfRule type="expression" dxfId="479" priority="121">
      <formula>(C151="LIGHT SELECTION")</formula>
    </cfRule>
  </conditionalFormatting>
  <conditionalFormatting sqref="E165:F165">
    <cfRule type="cellIs" dxfId="478" priority="69" operator="lessThan">
      <formula>1000</formula>
    </cfRule>
  </conditionalFormatting>
  <conditionalFormatting sqref="E167:F167">
    <cfRule type="cellIs" dxfId="477" priority="66" operator="lessThan">
      <formula>1000</formula>
    </cfRule>
  </conditionalFormatting>
  <conditionalFormatting sqref="E168:F168">
    <cfRule type="expression" dxfId="476" priority="50">
      <formula>(C168="LIGHT SELECTION")</formula>
    </cfRule>
  </conditionalFormatting>
  <conditionalFormatting sqref="F12">
    <cfRule type="cellIs" dxfId="475" priority="682" operator="greaterThan">
      <formula>3001</formula>
    </cfRule>
  </conditionalFormatting>
  <conditionalFormatting sqref="F15">
    <cfRule type="expression" dxfId="474" priority="457">
      <formula>(C15="LED STRIP")</formula>
    </cfRule>
    <cfRule type="expression" dxfId="473" priority="670">
      <formula>(C15="LIGHT SELECTION")</formula>
    </cfRule>
    <cfRule type="expression" dxfId="472" priority="672">
      <formula>(C15="FLO")</formula>
    </cfRule>
    <cfRule type="expression" dxfId="471" priority="704">
      <formula>(D49="LIGHT SELECTION")</formula>
    </cfRule>
  </conditionalFormatting>
  <conditionalFormatting sqref="F22:F23">
    <cfRule type="expression" dxfId="470" priority="695">
      <formula>D22="NF"</formula>
    </cfRule>
    <cfRule type="expression" dxfId="469" priority="696">
      <formula>D22="WW PODS"</formula>
    </cfRule>
    <cfRule type="expression" dxfId="468" priority="697">
      <formula>D22="GRILLE"</formula>
    </cfRule>
    <cfRule type="expression" dxfId="467" priority="698">
      <formula>D22="CENTREX"</formula>
    </cfRule>
    <cfRule type="expression" dxfId="466" priority="699" stopIfTrue="1">
      <formula>D14="canopy type"</formula>
    </cfRule>
    <cfRule type="expression" dxfId="465" priority="700">
      <formula>(((I14*3600)/(C22*I11))^2+20)&gt;300</formula>
    </cfRule>
    <cfRule type="expression" dxfId="464" priority="701" stopIfTrue="1">
      <formula>(ISNUMBER(SEARCH("UV",D14)))</formula>
    </cfRule>
    <cfRule type="expression" dxfId="463" priority="702">
      <formula>(((I14*3600)/(C22*I11))^2+20)&gt;180</formula>
    </cfRule>
    <cfRule type="expression" dxfId="462" priority="703">
      <formula>D22="KSA"</formula>
    </cfRule>
  </conditionalFormatting>
  <conditionalFormatting sqref="F24">
    <cfRule type="cellIs" dxfId="461" priority="676" operator="lessThan">
      <formula>2100</formula>
    </cfRule>
  </conditionalFormatting>
  <conditionalFormatting sqref="F29">
    <cfRule type="cellIs" dxfId="460" priority="603" operator="greaterThan">
      <formula>3001</formula>
    </cfRule>
  </conditionalFormatting>
  <conditionalFormatting sqref="F32">
    <cfRule type="expression" dxfId="459" priority="453">
      <formula>(C32="LED STRIP")</formula>
    </cfRule>
    <cfRule type="expression" dxfId="458" priority="454">
      <formula>(C32="LIGHT SELECTION")</formula>
    </cfRule>
    <cfRule type="expression" dxfId="457" priority="456">
      <formula>(C32="FLO")</formula>
    </cfRule>
  </conditionalFormatting>
  <conditionalFormatting sqref="F39:F40">
    <cfRule type="expression" dxfId="456" priority="393">
      <formula>D39="NF"</formula>
    </cfRule>
    <cfRule type="expression" dxfId="455" priority="394">
      <formula>D39="WW PODS"</formula>
    </cfRule>
    <cfRule type="expression" dxfId="454" priority="395">
      <formula>D39="GRILLE"</formula>
    </cfRule>
    <cfRule type="expression" dxfId="453" priority="396">
      <formula>D39="CENTREX"</formula>
    </cfRule>
    <cfRule type="expression" dxfId="452" priority="397" stopIfTrue="1">
      <formula>D31="canopy type"</formula>
    </cfRule>
    <cfRule type="expression" dxfId="451" priority="398">
      <formula>(((I31*3600)/(C39*I28))^2+20)&gt;300</formula>
    </cfRule>
    <cfRule type="expression" dxfId="450" priority="399" stopIfTrue="1">
      <formula>(ISNUMBER(SEARCH("UV",D31)))</formula>
    </cfRule>
    <cfRule type="expression" dxfId="449" priority="400">
      <formula>(((I31*3600)/(C39*I28))^2+20)&gt;180</formula>
    </cfRule>
    <cfRule type="expression" dxfId="448" priority="401">
      <formula>D39="KSA"</formula>
    </cfRule>
  </conditionalFormatting>
  <conditionalFormatting sqref="F41">
    <cfRule type="cellIs" dxfId="447" priority="597" operator="lessThan">
      <formula>2100</formula>
    </cfRule>
  </conditionalFormatting>
  <conditionalFormatting sqref="F46">
    <cfRule type="cellIs" dxfId="446" priority="572" operator="greaterThan">
      <formula>3001</formula>
    </cfRule>
  </conditionalFormatting>
  <conditionalFormatting sqref="F49">
    <cfRule type="expression" dxfId="445" priority="450">
      <formula>(C49="LED STRIP")</formula>
    </cfRule>
    <cfRule type="expression" dxfId="444" priority="451">
      <formula>(C49="LIGHT SELECTION")</formula>
    </cfRule>
    <cfRule type="expression" dxfId="443" priority="452">
      <formula>(C49="FLO")</formula>
    </cfRule>
    <cfRule type="expression" dxfId="442" priority="705">
      <formula>(#REF!="LIGHT SELECTION")</formula>
    </cfRule>
  </conditionalFormatting>
  <conditionalFormatting sqref="F56:F57">
    <cfRule type="expression" dxfId="441" priority="378">
      <formula>D56="NF"</formula>
    </cfRule>
    <cfRule type="expression" dxfId="440" priority="379">
      <formula>D56="WW PODS"</formula>
    </cfRule>
    <cfRule type="expression" dxfId="439" priority="380">
      <formula>D56="GRILLE"</formula>
    </cfRule>
    <cfRule type="expression" dxfId="438" priority="381">
      <formula>D56="CENTREX"</formula>
    </cfRule>
    <cfRule type="expression" dxfId="437" priority="382" stopIfTrue="1">
      <formula>D48="canopy type"</formula>
    </cfRule>
    <cfRule type="expression" dxfId="436" priority="383">
      <formula>(((I48*3600)/(C56*I45))^2+20)&gt;300</formula>
    </cfRule>
    <cfRule type="expression" dxfId="435" priority="384" stopIfTrue="1">
      <formula>(ISNUMBER(SEARCH("UV",D48)))</formula>
    </cfRule>
    <cfRule type="expression" dxfId="434" priority="385">
      <formula>(((I48*3600)/(C56*I45))^2+20)&gt;180</formula>
    </cfRule>
    <cfRule type="expression" dxfId="433" priority="386">
      <formula>D56="KSA"</formula>
    </cfRule>
  </conditionalFormatting>
  <conditionalFormatting sqref="F58">
    <cfRule type="cellIs" dxfId="432" priority="566" operator="lessThan">
      <formula>2100</formula>
    </cfRule>
  </conditionalFormatting>
  <conditionalFormatting sqref="F63">
    <cfRule type="cellIs" dxfId="431" priority="543" operator="greaterThan">
      <formula>3001</formula>
    </cfRule>
  </conditionalFormatting>
  <conditionalFormatting sqref="F66">
    <cfRule type="expression" dxfId="430" priority="446">
      <formula>(C66="LED STRIP")</formula>
    </cfRule>
    <cfRule type="expression" dxfId="429" priority="447">
      <formula>(C66="LIGHT SELECTION")</formula>
    </cfRule>
    <cfRule type="expression" dxfId="428" priority="449">
      <formula>(C66="FLO")</formula>
    </cfRule>
  </conditionalFormatting>
  <conditionalFormatting sqref="F73:F74">
    <cfRule type="expression" dxfId="427" priority="363">
      <formula>D73="NF"</formula>
    </cfRule>
    <cfRule type="expression" dxfId="426" priority="364">
      <formula>D73="WW PODS"</formula>
    </cfRule>
    <cfRule type="expression" dxfId="425" priority="365">
      <formula>D73="GRILLE"</formula>
    </cfRule>
    <cfRule type="expression" dxfId="424" priority="366">
      <formula>D73="CENTREX"</formula>
    </cfRule>
    <cfRule type="expression" dxfId="423" priority="367" stopIfTrue="1">
      <formula>D65="canopy type"</formula>
    </cfRule>
    <cfRule type="expression" dxfId="422" priority="368">
      <formula>(((I65*3600)/(C73*I62))^2+20)&gt;300</formula>
    </cfRule>
    <cfRule type="expression" dxfId="421" priority="369" stopIfTrue="1">
      <formula>(ISNUMBER(SEARCH("UV",D65)))</formula>
    </cfRule>
    <cfRule type="expression" dxfId="420" priority="370">
      <formula>(((I65*3600)/(C73*I62))^2+20)&gt;180</formula>
    </cfRule>
    <cfRule type="expression" dxfId="419" priority="371">
      <formula>D73="KSA"</formula>
    </cfRule>
  </conditionalFormatting>
  <conditionalFormatting sqref="F75">
    <cfRule type="cellIs" dxfId="418" priority="537" operator="lessThan">
      <formula>2100</formula>
    </cfRule>
  </conditionalFormatting>
  <conditionalFormatting sqref="F80">
    <cfRule type="cellIs" dxfId="417" priority="513" operator="greaterThan">
      <formula>3001</formula>
    </cfRule>
  </conditionalFormatting>
  <conditionalFormatting sqref="F83">
    <cfRule type="expression" dxfId="416" priority="442">
      <formula>(C83="LED STRIP")</formula>
    </cfRule>
    <cfRule type="expression" dxfId="415" priority="443">
      <formula>(C83="LIGHT SELECTION")</formula>
    </cfRule>
    <cfRule type="expression" dxfId="414" priority="445">
      <formula>(C83="FLO")</formula>
    </cfRule>
  </conditionalFormatting>
  <conditionalFormatting sqref="F90:F91">
    <cfRule type="expression" dxfId="413" priority="348">
      <formula>D90="NF"</formula>
    </cfRule>
    <cfRule type="expression" dxfId="412" priority="349">
      <formula>D90="WW PODS"</formula>
    </cfRule>
    <cfRule type="expression" dxfId="411" priority="350">
      <formula>D90="GRILLE"</formula>
    </cfRule>
    <cfRule type="expression" dxfId="410" priority="351">
      <formula>D90="CENTREX"</formula>
    </cfRule>
    <cfRule type="expression" dxfId="409" priority="352" stopIfTrue="1">
      <formula>D82="canopy type"</formula>
    </cfRule>
    <cfRule type="expression" dxfId="408" priority="353">
      <formula>(((I82*3600)/(C90*I79))^2+20)&gt;300</formula>
    </cfRule>
    <cfRule type="expression" dxfId="407" priority="354" stopIfTrue="1">
      <formula>(ISNUMBER(SEARCH("UV",D82)))</formula>
    </cfRule>
    <cfRule type="expression" dxfId="406" priority="355">
      <formula>(((I82*3600)/(C90*I79))^2+20)&gt;180</formula>
    </cfRule>
    <cfRule type="expression" dxfId="405" priority="356">
      <formula>D90="KSA"</formula>
    </cfRule>
  </conditionalFormatting>
  <conditionalFormatting sqref="F92">
    <cfRule type="cellIs" dxfId="404" priority="507" operator="lessThan">
      <formula>2100</formula>
    </cfRule>
  </conditionalFormatting>
  <conditionalFormatting sqref="F97">
    <cfRule type="cellIs" dxfId="403" priority="482" operator="greaterThan">
      <formula>3001</formula>
    </cfRule>
  </conditionalFormatting>
  <conditionalFormatting sqref="F100">
    <cfRule type="expression" dxfId="402" priority="438">
      <formula>(C100="LED STRIP")</formula>
    </cfRule>
    <cfRule type="expression" dxfId="401" priority="439">
      <formula>(C100="LIGHT SELECTION")</formula>
    </cfRule>
    <cfRule type="expression" dxfId="400" priority="441">
      <formula>(C100="FLO")</formula>
    </cfRule>
  </conditionalFormatting>
  <conditionalFormatting sqref="F107:F108">
    <cfRule type="expression" dxfId="399" priority="333">
      <formula>D107="NF"</formula>
    </cfRule>
    <cfRule type="expression" dxfId="398" priority="334">
      <formula>D107="WW PODS"</formula>
    </cfRule>
    <cfRule type="expression" dxfId="397" priority="335">
      <formula>D107="GRILLE"</formula>
    </cfRule>
    <cfRule type="expression" dxfId="396" priority="336">
      <formula>D107="CENTREX"</formula>
    </cfRule>
    <cfRule type="expression" dxfId="395" priority="337" stopIfTrue="1">
      <formula>D99="canopy type"</formula>
    </cfRule>
    <cfRule type="expression" dxfId="394" priority="338">
      <formula>(((I99*3600)/(C107*I96))^2+20)&gt;300</formula>
    </cfRule>
    <cfRule type="expression" dxfId="393" priority="339" stopIfTrue="1">
      <formula>(ISNUMBER(SEARCH("UV",D99)))</formula>
    </cfRule>
    <cfRule type="expression" dxfId="392" priority="340">
      <formula>(((I99*3600)/(C107*I96))^2+20)&gt;180</formula>
    </cfRule>
    <cfRule type="expression" dxfId="391" priority="341">
      <formula>D107="KSA"</formula>
    </cfRule>
  </conditionalFormatting>
  <conditionalFormatting sqref="F109">
    <cfRule type="cellIs" dxfId="390" priority="476" operator="lessThan">
      <formula>2100</formula>
    </cfRule>
  </conditionalFormatting>
  <conditionalFormatting sqref="F114">
    <cfRule type="cellIs" dxfId="389" priority="314" operator="greaterThan">
      <formula>3001</formula>
    </cfRule>
  </conditionalFormatting>
  <conditionalFormatting sqref="F117">
    <cfRule type="expression" dxfId="388" priority="292">
      <formula>(C117="LED STRIP")</formula>
    </cfRule>
    <cfRule type="expression" dxfId="387" priority="293">
      <formula>(C117="LIGHT SELECTION")</formula>
    </cfRule>
    <cfRule type="expression" dxfId="386" priority="295">
      <formula>(C117="FLO")</formula>
    </cfRule>
  </conditionalFormatting>
  <conditionalFormatting sqref="F124:F125">
    <cfRule type="expression" dxfId="385" priority="280">
      <formula>D124="NF"</formula>
    </cfRule>
    <cfRule type="expression" dxfId="384" priority="281">
      <formula>D124="WW PODS"</formula>
    </cfRule>
    <cfRule type="expression" dxfId="383" priority="282">
      <formula>D124="GRILLE"</formula>
    </cfRule>
    <cfRule type="expression" dxfId="382" priority="283">
      <formula>D124="CENTREX"</formula>
    </cfRule>
    <cfRule type="expression" dxfId="381" priority="284" stopIfTrue="1">
      <formula>D116="canopy type"</formula>
    </cfRule>
    <cfRule type="expression" dxfId="380" priority="285">
      <formula>(((I116*3600)/(C124*I113))^2+20)&gt;300</formula>
    </cfRule>
    <cfRule type="expression" dxfId="379" priority="286" stopIfTrue="1">
      <formula>(ISNUMBER(SEARCH("UV",D116)))</formula>
    </cfRule>
    <cfRule type="expression" dxfId="378" priority="287">
      <formula>(((I116*3600)/(C124*I113))^2+20)&gt;180</formula>
    </cfRule>
    <cfRule type="expression" dxfId="377" priority="288">
      <formula>D124="KSA"</formula>
    </cfRule>
  </conditionalFormatting>
  <conditionalFormatting sqref="F126">
    <cfRule type="cellIs" dxfId="376" priority="308" operator="lessThan">
      <formula>2100</formula>
    </cfRule>
  </conditionalFormatting>
  <conditionalFormatting sqref="F131">
    <cfRule type="cellIs" dxfId="375" priority="177" operator="greaterThan">
      <formula>3001</formula>
    </cfRule>
  </conditionalFormatting>
  <conditionalFormatting sqref="F134">
    <cfRule type="expression" dxfId="374" priority="123">
      <formula>(C134="LED STRIP")</formula>
    </cfRule>
    <cfRule type="expression" dxfId="373" priority="124">
      <formula>(C134="LIGHT SELECTION")</formula>
    </cfRule>
    <cfRule type="expression" dxfId="372" priority="126">
      <formula>(C134="FLO")</formula>
    </cfRule>
  </conditionalFormatting>
  <conditionalFormatting sqref="F141:F142">
    <cfRule type="expression" dxfId="371" priority="104">
      <formula>D141="NF"</formula>
    </cfRule>
    <cfRule type="expression" dxfId="370" priority="105">
      <formula>D141="WW PODS"</formula>
    </cfRule>
    <cfRule type="expression" dxfId="369" priority="106">
      <formula>D141="GRILLE"</formula>
    </cfRule>
    <cfRule type="expression" dxfId="368" priority="107">
      <formula>D141="CENTREX"</formula>
    </cfRule>
    <cfRule type="expression" dxfId="367" priority="108" stopIfTrue="1">
      <formula>D133="canopy type"</formula>
    </cfRule>
    <cfRule type="expression" dxfId="366" priority="109">
      <formula>(((I133*3600)/(C141*I130))^2+20)&gt;300</formula>
    </cfRule>
    <cfRule type="expression" dxfId="365" priority="110" stopIfTrue="1">
      <formula>(ISNUMBER(SEARCH("UV",D133)))</formula>
    </cfRule>
    <cfRule type="expression" dxfId="364" priority="111">
      <formula>(((I133*3600)/(C141*I130))^2+20)&gt;180</formula>
    </cfRule>
    <cfRule type="expression" dxfId="363" priority="112">
      <formula>D141="KSA"</formula>
    </cfRule>
  </conditionalFormatting>
  <conditionalFormatting sqref="F143">
    <cfRule type="cellIs" dxfId="362" priority="171" operator="lessThan">
      <formula>2100</formula>
    </cfRule>
  </conditionalFormatting>
  <conditionalFormatting sqref="F148">
    <cfRule type="cellIs" dxfId="361" priority="146" operator="greaterThan">
      <formula>3001</formula>
    </cfRule>
  </conditionalFormatting>
  <conditionalFormatting sqref="F151">
    <cfRule type="expression" dxfId="360" priority="119">
      <formula>(C151="LED STRIP")</formula>
    </cfRule>
    <cfRule type="expression" dxfId="359" priority="120">
      <formula>(C151="LIGHT SELECTION")</formula>
    </cfRule>
    <cfRule type="expression" dxfId="358" priority="122">
      <formula>(C151="FLO")</formula>
    </cfRule>
  </conditionalFormatting>
  <conditionalFormatting sqref="F158:F159">
    <cfRule type="expression" dxfId="357" priority="89">
      <formula>D158="NF"</formula>
    </cfRule>
    <cfRule type="expression" dxfId="356" priority="90">
      <formula>D158="WW PODS"</formula>
    </cfRule>
    <cfRule type="expression" dxfId="355" priority="91">
      <formula>D158="GRILLE"</formula>
    </cfRule>
    <cfRule type="expression" dxfId="354" priority="92">
      <formula>D158="CENTREX"</formula>
    </cfRule>
    <cfRule type="expression" dxfId="353" priority="93" stopIfTrue="1">
      <formula>D150="canopy type"</formula>
    </cfRule>
    <cfRule type="expression" dxfId="352" priority="94">
      <formula>(((I150*3600)/(C158*I147))^2+20)&gt;300</formula>
    </cfRule>
    <cfRule type="expression" dxfId="351" priority="95" stopIfTrue="1">
      <formula>(ISNUMBER(SEARCH("UV",D150)))</formula>
    </cfRule>
    <cfRule type="expression" dxfId="350" priority="96">
      <formula>(((I150*3600)/(C158*I147))^2+20)&gt;180</formula>
    </cfRule>
    <cfRule type="expression" dxfId="349" priority="97">
      <formula>D158="KSA"</formula>
    </cfRule>
  </conditionalFormatting>
  <conditionalFormatting sqref="F160">
    <cfRule type="cellIs" dxfId="348" priority="140" operator="lessThan">
      <formula>2100</formula>
    </cfRule>
  </conditionalFormatting>
  <conditionalFormatting sqref="F165">
    <cfRule type="cellIs" dxfId="347" priority="70" operator="greaterThan">
      <formula>3001</formula>
    </cfRule>
  </conditionalFormatting>
  <conditionalFormatting sqref="F168">
    <cfRule type="expression" dxfId="346" priority="48">
      <formula>(C168="LED STRIP")</formula>
    </cfRule>
    <cfRule type="expression" dxfId="345" priority="49">
      <formula>(C168="LIGHT SELECTION")</formula>
    </cfRule>
    <cfRule type="expression" dxfId="344" priority="51">
      <formula>(C168="FLO")</formula>
    </cfRule>
  </conditionalFormatting>
  <conditionalFormatting sqref="F175:F176">
    <cfRule type="expression" dxfId="343" priority="36">
      <formula>D175="NF"</formula>
    </cfRule>
    <cfRule type="expression" dxfId="342" priority="37">
      <formula>D175="WW PODS"</formula>
    </cfRule>
    <cfRule type="expression" dxfId="341" priority="38">
      <formula>D175="GRILLE"</formula>
    </cfRule>
    <cfRule type="expression" dxfId="340" priority="39">
      <formula>D175="CENTREX"</formula>
    </cfRule>
    <cfRule type="expression" dxfId="339" priority="40" stopIfTrue="1">
      <formula>D167="canopy type"</formula>
    </cfRule>
    <cfRule type="expression" dxfId="338" priority="41">
      <formula>(((I167*3600)/(C175*I164))^2+20)&gt;300</formula>
    </cfRule>
    <cfRule type="expression" dxfId="337" priority="42" stopIfTrue="1">
      <formula>(ISNUMBER(SEARCH("UV",D167)))</formula>
    </cfRule>
    <cfRule type="expression" dxfId="336" priority="43">
      <formula>(((I167*3600)/(C175*I164))^2+20)&gt;180</formula>
    </cfRule>
    <cfRule type="expression" dxfId="335" priority="44">
      <formula>D175="KSA"</formula>
    </cfRule>
  </conditionalFormatting>
  <conditionalFormatting sqref="F177">
    <cfRule type="cellIs" dxfId="334" priority="64" operator="lessThan">
      <formula>2100</formula>
    </cfRule>
  </conditionalFormatting>
  <conditionalFormatting sqref="G11">
    <cfRule type="expression" dxfId="333" priority="684">
      <formula>((F14-50)/H14)&lt;950</formula>
    </cfRule>
  </conditionalFormatting>
  <conditionalFormatting sqref="G12">
    <cfRule type="expression" dxfId="332" priority="683">
      <formula>((F14-50)/H14)&lt;950</formula>
    </cfRule>
  </conditionalFormatting>
  <conditionalFormatting sqref="G14">
    <cfRule type="cellIs" dxfId="331" priority="679" operator="lessThan">
      <formula>400</formula>
    </cfRule>
  </conditionalFormatting>
  <conditionalFormatting sqref="G28">
    <cfRule type="expression" dxfId="330" priority="626">
      <formula>((F31-50)/H31)&lt;950</formula>
    </cfRule>
  </conditionalFormatting>
  <conditionalFormatting sqref="G29">
    <cfRule type="expression" dxfId="329" priority="604">
      <formula>((F31-50)/H31)&lt;950</formula>
    </cfRule>
  </conditionalFormatting>
  <conditionalFormatting sqref="G31">
    <cfRule type="cellIs" dxfId="328" priority="600" operator="lessThan">
      <formula>400</formula>
    </cfRule>
  </conditionalFormatting>
  <conditionalFormatting sqref="G45">
    <cfRule type="expression" dxfId="327" priority="643">
      <formula>((F48-50)/H48)&lt;950</formula>
    </cfRule>
  </conditionalFormatting>
  <conditionalFormatting sqref="G46">
    <cfRule type="expression" dxfId="326" priority="573">
      <formula>((F48-50)/H48)&lt;950</formula>
    </cfRule>
  </conditionalFormatting>
  <conditionalFormatting sqref="G48">
    <cfRule type="cellIs" dxfId="325" priority="569" operator="lessThan">
      <formula>400</formula>
    </cfRule>
  </conditionalFormatting>
  <conditionalFormatting sqref="G62">
    <cfRule type="expression" dxfId="324" priority="644">
      <formula>((F65-50)/H65)&lt;950</formula>
    </cfRule>
  </conditionalFormatting>
  <conditionalFormatting sqref="G63">
    <cfRule type="expression" dxfId="323" priority="544">
      <formula>((F65-50)/H65)&lt;950</formula>
    </cfRule>
  </conditionalFormatting>
  <conditionalFormatting sqref="G65">
    <cfRule type="cellIs" dxfId="322" priority="540" operator="lessThan">
      <formula>400</formula>
    </cfRule>
  </conditionalFormatting>
  <conditionalFormatting sqref="G79">
    <cfRule type="expression" dxfId="321" priority="645">
      <formula>((F82-50)/H82)&lt;950</formula>
    </cfRule>
  </conditionalFormatting>
  <conditionalFormatting sqref="G80">
    <cfRule type="expression" dxfId="320" priority="514">
      <formula>((F82-50)/H82)&lt;950</formula>
    </cfRule>
  </conditionalFormatting>
  <conditionalFormatting sqref="G82">
    <cfRule type="cellIs" dxfId="319" priority="510" operator="lessThan">
      <formula>400</formula>
    </cfRule>
  </conditionalFormatting>
  <conditionalFormatting sqref="G96">
    <cfRule type="expression" dxfId="318" priority="653">
      <formula>((F99-50)/H99)&lt;950</formula>
    </cfRule>
  </conditionalFormatting>
  <conditionalFormatting sqref="G97">
    <cfRule type="expression" dxfId="317" priority="483">
      <formula>((F99-50)/H99)&lt;950</formula>
    </cfRule>
  </conditionalFormatting>
  <conditionalFormatting sqref="G99">
    <cfRule type="cellIs" dxfId="316" priority="479" operator="lessThan">
      <formula>400</formula>
    </cfRule>
  </conditionalFormatting>
  <conditionalFormatting sqref="G113">
    <cfRule type="expression" dxfId="315" priority="326">
      <formula>((F116-50)/H116)&lt;950</formula>
    </cfRule>
  </conditionalFormatting>
  <conditionalFormatting sqref="G114">
    <cfRule type="expression" dxfId="314" priority="315">
      <formula>((F116-50)/H116)&lt;950</formula>
    </cfRule>
  </conditionalFormatting>
  <conditionalFormatting sqref="G116">
    <cfRule type="cellIs" dxfId="313" priority="311" operator="lessThan">
      <formula>400</formula>
    </cfRule>
  </conditionalFormatting>
  <conditionalFormatting sqref="G130">
    <cfRule type="expression" dxfId="312" priority="190">
      <formula>((F133-50)/H133)&lt;950</formula>
    </cfRule>
  </conditionalFormatting>
  <conditionalFormatting sqref="G131">
    <cfRule type="expression" dxfId="311" priority="178">
      <formula>((F133-50)/H133)&lt;950</formula>
    </cfRule>
  </conditionalFormatting>
  <conditionalFormatting sqref="G133">
    <cfRule type="cellIs" dxfId="310" priority="174" operator="lessThan">
      <formula>400</formula>
    </cfRule>
  </conditionalFormatting>
  <conditionalFormatting sqref="G147">
    <cfRule type="expression" dxfId="309" priority="191">
      <formula>((F150-50)/H150)&lt;950</formula>
    </cfRule>
  </conditionalFormatting>
  <conditionalFormatting sqref="G148">
    <cfRule type="expression" dxfId="308" priority="147">
      <formula>((F150-50)/H150)&lt;950</formula>
    </cfRule>
  </conditionalFormatting>
  <conditionalFormatting sqref="G150">
    <cfRule type="cellIs" dxfId="307" priority="143" operator="lessThan">
      <formula>400</formula>
    </cfRule>
  </conditionalFormatting>
  <conditionalFormatting sqref="G164">
    <cfRule type="expression" dxfId="306" priority="82">
      <formula>((F167-50)/H167)&lt;950</formula>
    </cfRule>
  </conditionalFormatting>
  <conditionalFormatting sqref="G165">
    <cfRule type="expression" dxfId="305" priority="71">
      <formula>((F167-50)/H167)&lt;950</formula>
    </cfRule>
  </conditionalFormatting>
  <conditionalFormatting sqref="G167">
    <cfRule type="cellIs" dxfId="304" priority="67" operator="lessThan">
      <formula>400</formula>
    </cfRule>
  </conditionalFormatting>
  <conditionalFormatting sqref="I14">
    <cfRule type="cellIs" dxfId="303" priority="680" operator="lessThan">
      <formula>0.1</formula>
    </cfRule>
  </conditionalFormatting>
  <conditionalFormatting sqref="I31">
    <cfRule type="cellIs" dxfId="302" priority="601" operator="lessThan">
      <formula>0.1</formula>
    </cfRule>
  </conditionalFormatting>
  <conditionalFormatting sqref="I48">
    <cfRule type="cellIs" dxfId="301" priority="570" operator="lessThan">
      <formula>0.1</formula>
    </cfRule>
  </conditionalFormatting>
  <conditionalFormatting sqref="I65">
    <cfRule type="cellIs" dxfId="300" priority="541" operator="lessThan">
      <formula>0.1</formula>
    </cfRule>
  </conditionalFormatting>
  <conditionalFormatting sqref="I82">
    <cfRule type="cellIs" dxfId="299" priority="511" operator="lessThan">
      <formula>0.1</formula>
    </cfRule>
  </conditionalFormatting>
  <conditionalFormatting sqref="I99">
    <cfRule type="cellIs" dxfId="298" priority="480" operator="lessThan">
      <formula>0.1</formula>
    </cfRule>
  </conditionalFormatting>
  <conditionalFormatting sqref="I116">
    <cfRule type="cellIs" dxfId="297" priority="312" operator="lessThan">
      <formula>0.1</formula>
    </cfRule>
  </conditionalFormatting>
  <conditionalFormatting sqref="I133">
    <cfRule type="cellIs" dxfId="296" priority="175" operator="lessThan">
      <formula>0.1</formula>
    </cfRule>
  </conditionalFormatting>
  <conditionalFormatting sqref="I150">
    <cfRule type="cellIs" dxfId="295" priority="144" operator="lessThan">
      <formula>0.1</formula>
    </cfRule>
  </conditionalFormatting>
  <conditionalFormatting sqref="I167">
    <cfRule type="cellIs" dxfId="294" priority="68" operator="lessThan">
      <formula>0.1</formula>
    </cfRule>
  </conditionalFormatting>
  <conditionalFormatting sqref="J14:J27">
    <cfRule type="cellIs" dxfId="293" priority="404" operator="greaterThan">
      <formula>0</formula>
    </cfRule>
  </conditionalFormatting>
  <conditionalFormatting sqref="J31:J44">
    <cfRule type="cellIs" dxfId="292" priority="261" operator="greaterThan">
      <formula>0</formula>
    </cfRule>
  </conditionalFormatting>
  <conditionalFormatting sqref="J48:J61">
    <cfRule type="cellIs" dxfId="291" priority="250" operator="greaterThan">
      <formula>0</formula>
    </cfRule>
  </conditionalFormatting>
  <conditionalFormatting sqref="J65:J78">
    <cfRule type="cellIs" dxfId="290" priority="239" operator="greaterThan">
      <formula>0</formula>
    </cfRule>
  </conditionalFormatting>
  <conditionalFormatting sqref="J82:J95">
    <cfRule type="cellIs" dxfId="289" priority="228" operator="greaterThan">
      <formula>0</formula>
    </cfRule>
  </conditionalFormatting>
  <conditionalFormatting sqref="J99:J112">
    <cfRule type="cellIs" dxfId="288" priority="217" operator="greaterThan">
      <formula>0</formula>
    </cfRule>
  </conditionalFormatting>
  <conditionalFormatting sqref="J116:J129 J167:J180">
    <cfRule type="cellIs" dxfId="287" priority="206" operator="greaterThan">
      <formula>0</formula>
    </cfRule>
  </conditionalFormatting>
  <conditionalFormatting sqref="J133:J146">
    <cfRule type="cellIs" dxfId="286" priority="19" operator="greaterThan">
      <formula>0</formula>
    </cfRule>
  </conditionalFormatting>
  <conditionalFormatting sqref="J150:J163">
    <cfRule type="cellIs" dxfId="285" priority="8" operator="greaterThan">
      <formula>0</formula>
    </cfRule>
  </conditionalFormatting>
  <conditionalFormatting sqref="J183:J197">
    <cfRule type="expression" dxfId="284" priority="654">
      <formula>C183&gt;0</formula>
    </cfRule>
  </conditionalFormatting>
  <conditionalFormatting sqref="J199">
    <cfRule type="expression" dxfId="283" priority="659">
      <formula>#REF!="EURO"</formula>
    </cfRule>
  </conditionalFormatting>
  <conditionalFormatting sqref="K14:K27">
    <cfRule type="cellIs" dxfId="282" priority="418" operator="greaterThan">
      <formula>0</formula>
    </cfRule>
  </conditionalFormatting>
  <conditionalFormatting sqref="K31:K44">
    <cfRule type="cellIs" dxfId="281" priority="262" operator="greaterThan">
      <formula>0</formula>
    </cfRule>
  </conditionalFormatting>
  <conditionalFormatting sqref="K48:K61">
    <cfRule type="cellIs" dxfId="280" priority="251" operator="greaterThan">
      <formula>0</formula>
    </cfRule>
  </conditionalFormatting>
  <conditionalFormatting sqref="K65:K78">
    <cfRule type="cellIs" dxfId="279" priority="240" operator="greaterThan">
      <formula>0</formula>
    </cfRule>
  </conditionalFormatting>
  <conditionalFormatting sqref="K82:K95">
    <cfRule type="cellIs" dxfId="278" priority="229" operator="greaterThan">
      <formula>0</formula>
    </cfRule>
  </conditionalFormatting>
  <conditionalFormatting sqref="K99:K112">
    <cfRule type="cellIs" dxfId="277" priority="218" operator="greaterThan">
      <formula>0</formula>
    </cfRule>
  </conditionalFormatting>
  <conditionalFormatting sqref="K116:K129 K167:K180">
    <cfRule type="cellIs" dxfId="276" priority="207" operator="greaterThan">
      <formula>0</formula>
    </cfRule>
  </conditionalFormatting>
  <conditionalFormatting sqref="K133:K146">
    <cfRule type="cellIs" dxfId="275" priority="20" operator="greaterThan">
      <formula>0</formula>
    </cfRule>
  </conditionalFormatting>
  <conditionalFormatting sqref="K150:K163">
    <cfRule type="cellIs" dxfId="274" priority="9" operator="greaterThan">
      <formula>0</formula>
    </cfRule>
  </conditionalFormatting>
  <conditionalFormatting sqref="K183:K197">
    <cfRule type="cellIs" dxfId="273" priority="661" operator="greaterThan">
      <formula>0</formula>
    </cfRule>
  </conditionalFormatting>
  <conditionalFormatting sqref="K199">
    <cfRule type="expression" dxfId="272" priority="655">
      <formula>$B$9="PLN"</formula>
    </cfRule>
    <cfRule type="expression" dxfId="271" priority="656">
      <formula>$B$9="CZK"</formula>
    </cfRule>
    <cfRule type="expression" dxfId="270" priority="657">
      <formula>$B$9="USD"</formula>
    </cfRule>
    <cfRule type="expression" dxfId="269" priority="658">
      <formula>$B$9="EURO"</formula>
    </cfRule>
  </conditionalFormatting>
  <conditionalFormatting sqref="L14:L27">
    <cfRule type="expression" dxfId="268" priority="415">
      <formula>$C$9&lt;0</formula>
    </cfRule>
    <cfRule type="expression" dxfId="267" priority="416">
      <formula>$C$9&gt;0</formula>
    </cfRule>
  </conditionalFormatting>
  <conditionalFormatting sqref="L31:L44">
    <cfRule type="expression" dxfId="266" priority="204">
      <formula>$C$9&lt;0</formula>
    </cfRule>
    <cfRule type="expression" dxfId="265" priority="205">
      <formula>$C$9&gt;0</formula>
    </cfRule>
  </conditionalFormatting>
  <conditionalFormatting sqref="L48:L61">
    <cfRule type="expression" dxfId="264" priority="202">
      <formula>$C$9&lt;0</formula>
    </cfRule>
    <cfRule type="expression" dxfId="263" priority="203">
      <formula>$C$9&gt;0</formula>
    </cfRule>
  </conditionalFormatting>
  <conditionalFormatting sqref="L65:L78">
    <cfRule type="expression" dxfId="262" priority="200">
      <formula>$C$9&lt;0</formula>
    </cfRule>
    <cfRule type="expression" dxfId="261" priority="201">
      <formula>$C$9&gt;0</formula>
    </cfRule>
  </conditionalFormatting>
  <conditionalFormatting sqref="L82:L95">
    <cfRule type="expression" dxfId="260" priority="198">
      <formula>$C$9&lt;0</formula>
    </cfRule>
    <cfRule type="expression" dxfId="259" priority="199">
      <formula>$C$9&gt;0</formula>
    </cfRule>
  </conditionalFormatting>
  <conditionalFormatting sqref="L99:L112">
    <cfRule type="expression" dxfId="258" priority="196">
      <formula>$C$9&lt;0</formula>
    </cfRule>
    <cfRule type="expression" dxfId="257" priority="197">
      <formula>$C$9&gt;0</formula>
    </cfRule>
  </conditionalFormatting>
  <conditionalFormatting sqref="L116:L129 L167:L180">
    <cfRule type="expression" dxfId="256" priority="194">
      <formula>$C$9&lt;0</formula>
    </cfRule>
    <cfRule type="expression" dxfId="255" priority="195">
      <formula>$C$9&gt;0</formula>
    </cfRule>
  </conditionalFormatting>
  <conditionalFormatting sqref="L133:L146">
    <cfRule type="expression" dxfId="254" priority="3">
      <formula>$C$9&lt;0</formula>
    </cfRule>
    <cfRule type="expression" dxfId="253" priority="4">
      <formula>$C$9&gt;0</formula>
    </cfRule>
  </conditionalFormatting>
  <conditionalFormatting sqref="L150:L163">
    <cfRule type="expression" dxfId="252" priority="1">
      <formula>$C$9&lt;0</formula>
    </cfRule>
    <cfRule type="expression" dxfId="251" priority="2">
      <formula>$C$9&gt;0</formula>
    </cfRule>
  </conditionalFormatting>
  <conditionalFormatting sqref="L183:L197">
    <cfRule type="expression" dxfId="250" priority="192">
      <formula>$C$9&lt;0</formula>
    </cfRule>
    <cfRule type="expression" dxfId="249" priority="193">
      <formula>$C$9&gt;0</formula>
    </cfRule>
  </conditionalFormatting>
  <conditionalFormatting sqref="N9 N12">
    <cfRule type="expression" dxfId="248" priority="691">
      <formula>$B$9="PLN"</formula>
    </cfRule>
    <cfRule type="expression" dxfId="247" priority="692">
      <formula>$B$9="CZK"</formula>
    </cfRule>
    <cfRule type="expression" dxfId="246" priority="693">
      <formula>$B$9="USD"</formula>
    </cfRule>
    <cfRule type="expression" dxfId="245" priority="694">
      <formula>$B$9="EURO"</formula>
    </cfRule>
  </conditionalFormatting>
  <conditionalFormatting sqref="N14:N27">
    <cfRule type="cellIs" dxfId="244" priority="630" operator="greaterThan">
      <formula>0</formula>
    </cfRule>
    <cfRule type="expression" dxfId="243" priority="631">
      <formula>$B$9="EURO"</formula>
    </cfRule>
    <cfRule type="expression" dxfId="242" priority="632">
      <formula>$B$9="USD"</formula>
    </cfRule>
    <cfRule type="expression" dxfId="241" priority="633">
      <formula>$B$9="PLN"</formula>
    </cfRule>
    <cfRule type="expression" dxfId="240" priority="634">
      <formula>$B$9="CZK"</formula>
    </cfRule>
  </conditionalFormatting>
  <conditionalFormatting sqref="N29">
    <cfRule type="expression" dxfId="239" priority="610">
      <formula>$B$9="PLN"</formula>
    </cfRule>
    <cfRule type="expression" dxfId="238" priority="611">
      <formula>$B$9="CZK"</formula>
    </cfRule>
    <cfRule type="expression" dxfId="237" priority="612">
      <formula>$B$9="USD"</formula>
    </cfRule>
    <cfRule type="expression" dxfId="236" priority="613">
      <formula>$B$9="EURO"</formula>
    </cfRule>
  </conditionalFormatting>
  <conditionalFormatting sqref="N31:N44">
    <cfRule type="cellIs" dxfId="235" priority="265" operator="greaterThan">
      <formula>0</formula>
    </cfRule>
    <cfRule type="expression" dxfId="234" priority="266">
      <formula>$B$9="EURO"</formula>
    </cfRule>
    <cfRule type="expression" dxfId="233" priority="267">
      <formula>$B$9="USD"</formula>
    </cfRule>
    <cfRule type="expression" dxfId="232" priority="268">
      <formula>$B$9="PLN"</formula>
    </cfRule>
    <cfRule type="expression" dxfId="231" priority="269">
      <formula>$B$9="CZK"</formula>
    </cfRule>
  </conditionalFormatting>
  <conditionalFormatting sqref="N46">
    <cfRule type="expression" dxfId="230" priority="579">
      <formula>$B$9="PLN"</formula>
    </cfRule>
    <cfRule type="expression" dxfId="229" priority="580">
      <formula>$B$9="CZK"</formula>
    </cfRule>
    <cfRule type="expression" dxfId="228" priority="581">
      <formula>$B$9="USD"</formula>
    </cfRule>
    <cfRule type="expression" dxfId="227" priority="582">
      <formula>$B$9="EURO"</formula>
    </cfRule>
  </conditionalFormatting>
  <conditionalFormatting sqref="N48:N61">
    <cfRule type="cellIs" dxfId="226" priority="254" operator="greaterThan">
      <formula>0</formula>
    </cfRule>
    <cfRule type="expression" dxfId="225" priority="255">
      <formula>$B$9="EURO"</formula>
    </cfRule>
    <cfRule type="expression" dxfId="224" priority="256">
      <formula>$B$9="USD"</formula>
    </cfRule>
    <cfRule type="expression" dxfId="223" priority="257">
      <formula>$B$9="PLN"</formula>
    </cfRule>
    <cfRule type="expression" dxfId="222" priority="258">
      <formula>$B$9="CZK"</formula>
    </cfRule>
  </conditionalFormatting>
  <conditionalFormatting sqref="N63">
    <cfRule type="expression" dxfId="221" priority="550">
      <formula>$B$9="PLN"</formula>
    </cfRule>
    <cfRule type="expression" dxfId="220" priority="551">
      <formula>$B$9="CZK"</formula>
    </cfRule>
    <cfRule type="expression" dxfId="219" priority="552">
      <formula>$B$9="USD"</formula>
    </cfRule>
    <cfRule type="expression" dxfId="218" priority="553">
      <formula>$B$9="EURO"</formula>
    </cfRule>
  </conditionalFormatting>
  <conditionalFormatting sqref="N65:N78">
    <cfRule type="cellIs" dxfId="217" priority="243" operator="greaterThan">
      <formula>0</formula>
    </cfRule>
    <cfRule type="expression" dxfId="216" priority="244">
      <formula>$B$9="EURO"</formula>
    </cfRule>
    <cfRule type="expression" dxfId="215" priority="245">
      <formula>$B$9="USD"</formula>
    </cfRule>
    <cfRule type="expression" dxfId="214" priority="246">
      <formula>$B$9="PLN"</formula>
    </cfRule>
    <cfRule type="expression" dxfId="213" priority="247">
      <formula>$B$9="CZK"</formula>
    </cfRule>
  </conditionalFormatting>
  <conditionalFormatting sqref="N80">
    <cfRule type="expression" dxfId="212" priority="520">
      <formula>$B$9="PLN"</formula>
    </cfRule>
    <cfRule type="expression" dxfId="211" priority="521">
      <formula>$B$9="CZK"</formula>
    </cfRule>
    <cfRule type="expression" dxfId="210" priority="522">
      <formula>$B$9="USD"</formula>
    </cfRule>
    <cfRule type="expression" dxfId="209" priority="523">
      <formula>$B$9="EURO"</formula>
    </cfRule>
  </conditionalFormatting>
  <conditionalFormatting sqref="N82:N95">
    <cfRule type="cellIs" dxfId="208" priority="232" operator="greaterThan">
      <formula>0</formula>
    </cfRule>
    <cfRule type="expression" dxfId="207" priority="233">
      <formula>$B$9="EURO"</formula>
    </cfRule>
    <cfRule type="expression" dxfId="206" priority="234">
      <formula>$B$9="USD"</formula>
    </cfRule>
    <cfRule type="expression" dxfId="205" priority="235">
      <formula>$B$9="PLN"</formula>
    </cfRule>
    <cfRule type="expression" dxfId="204" priority="236">
      <formula>$B$9="CZK"</formula>
    </cfRule>
  </conditionalFormatting>
  <conditionalFormatting sqref="N97">
    <cfRule type="expression" dxfId="203" priority="489">
      <formula>$B$9="PLN"</formula>
    </cfRule>
    <cfRule type="expression" dxfId="202" priority="490">
      <formula>$B$9="CZK"</formula>
    </cfRule>
    <cfRule type="expression" dxfId="201" priority="491">
      <formula>$B$9="USD"</formula>
    </cfRule>
    <cfRule type="expression" dxfId="200" priority="492">
      <formula>$B$9="EURO"</formula>
    </cfRule>
  </conditionalFormatting>
  <conditionalFormatting sqref="N99:N112">
    <cfRule type="cellIs" dxfId="199" priority="221" operator="greaterThan">
      <formula>0</formula>
    </cfRule>
    <cfRule type="expression" dxfId="198" priority="222">
      <formula>$B$9="EURO"</formula>
    </cfRule>
    <cfRule type="expression" dxfId="197" priority="223">
      <formula>$B$9="USD"</formula>
    </cfRule>
    <cfRule type="expression" dxfId="196" priority="224">
      <formula>$B$9="PLN"</formula>
    </cfRule>
    <cfRule type="expression" dxfId="195" priority="225">
      <formula>$B$9="CZK"</formula>
    </cfRule>
  </conditionalFormatting>
  <conditionalFormatting sqref="N114">
    <cfRule type="expression" dxfId="194" priority="321">
      <formula>$B$9="PLN"</formula>
    </cfRule>
    <cfRule type="expression" dxfId="193" priority="322">
      <formula>$B$9="CZK"</formula>
    </cfRule>
    <cfRule type="expression" dxfId="192" priority="323">
      <formula>$B$9="USD"</formula>
    </cfRule>
    <cfRule type="expression" dxfId="191" priority="324">
      <formula>$B$9="EURO"</formula>
    </cfRule>
  </conditionalFormatting>
  <conditionalFormatting sqref="N116:N129 N167:N180">
    <cfRule type="cellIs" dxfId="190" priority="210" operator="greaterThan">
      <formula>0</formula>
    </cfRule>
    <cfRule type="expression" dxfId="189" priority="211">
      <formula>$B$9="EURO"</formula>
    </cfRule>
    <cfRule type="expression" dxfId="188" priority="212">
      <formula>$B$9="USD"</formula>
    </cfRule>
    <cfRule type="expression" dxfId="187" priority="213">
      <formula>$B$9="PLN"</formula>
    </cfRule>
    <cfRule type="expression" dxfId="186" priority="214">
      <formula>$B$9="CZK"</formula>
    </cfRule>
  </conditionalFormatting>
  <conditionalFormatting sqref="N131">
    <cfRule type="expression" dxfId="185" priority="184">
      <formula>$B$9="PLN"</formula>
    </cfRule>
    <cfRule type="expression" dxfId="184" priority="185">
      <formula>$B$9="CZK"</formula>
    </cfRule>
    <cfRule type="expression" dxfId="183" priority="186">
      <formula>$B$9="USD"</formula>
    </cfRule>
    <cfRule type="expression" dxfId="182" priority="187">
      <formula>$B$9="EURO"</formula>
    </cfRule>
  </conditionalFormatting>
  <conditionalFormatting sqref="N133:N146">
    <cfRule type="cellIs" dxfId="181" priority="23" operator="greaterThan">
      <formula>0</formula>
    </cfRule>
    <cfRule type="expression" dxfId="180" priority="24">
      <formula>$B$9="EURO"</formula>
    </cfRule>
    <cfRule type="expression" dxfId="179" priority="25">
      <formula>$B$9="USD"</formula>
    </cfRule>
    <cfRule type="expression" dxfId="178" priority="26">
      <formula>$B$9="PLN"</formula>
    </cfRule>
    <cfRule type="expression" dxfId="177" priority="27">
      <formula>$B$9="CZK"</formula>
    </cfRule>
  </conditionalFormatting>
  <conditionalFormatting sqref="N148">
    <cfRule type="expression" dxfId="176" priority="153">
      <formula>$B$9="PLN"</formula>
    </cfRule>
    <cfRule type="expression" dxfId="175" priority="154">
      <formula>$B$9="CZK"</formula>
    </cfRule>
    <cfRule type="expression" dxfId="174" priority="155">
      <formula>$B$9="USD"</formula>
    </cfRule>
    <cfRule type="expression" dxfId="173" priority="156">
      <formula>$B$9="EURO"</formula>
    </cfRule>
  </conditionalFormatting>
  <conditionalFormatting sqref="N150:N163">
    <cfRule type="cellIs" dxfId="172" priority="12" operator="greaterThan">
      <formula>0</formula>
    </cfRule>
    <cfRule type="expression" dxfId="171" priority="13">
      <formula>$B$9="EURO"</formula>
    </cfRule>
    <cfRule type="expression" dxfId="170" priority="14">
      <formula>$B$9="USD"</formula>
    </cfRule>
    <cfRule type="expression" dxfId="169" priority="15">
      <formula>$B$9="PLN"</formula>
    </cfRule>
    <cfRule type="expression" dxfId="168" priority="16">
      <formula>$B$9="CZK"</formula>
    </cfRule>
  </conditionalFormatting>
  <conditionalFormatting sqref="N165">
    <cfRule type="expression" dxfId="167" priority="77">
      <formula>$B$9="PLN"</formula>
    </cfRule>
    <cfRule type="expression" dxfId="166" priority="78">
      <formula>$B$9="CZK"</formula>
    </cfRule>
    <cfRule type="expression" dxfId="165" priority="79">
      <formula>$B$9="USD"</formula>
    </cfRule>
    <cfRule type="expression" dxfId="164" priority="80">
      <formula>$B$9="EURO"</formula>
    </cfRule>
  </conditionalFormatting>
  <conditionalFormatting sqref="N183:N197">
    <cfRule type="cellIs" dxfId="163" priority="638" operator="greaterThan">
      <formula>0</formula>
    </cfRule>
    <cfRule type="expression" dxfId="162" priority="639">
      <formula>$B$9="EURO"</formula>
    </cfRule>
    <cfRule type="expression" dxfId="161" priority="640">
      <formula>$B$9="USD"</formula>
    </cfRule>
    <cfRule type="expression" dxfId="160" priority="641">
      <formula>$B$9="PLN"</formula>
    </cfRule>
    <cfRule type="expression" dxfId="159" priority="642">
      <formula>$B$9="CZK"</formula>
    </cfRule>
  </conditionalFormatting>
  <conditionalFormatting sqref="N182:O182">
    <cfRule type="expression" dxfId="158" priority="646">
      <formula>$B$9="PLN"</formula>
    </cfRule>
    <cfRule type="expression" dxfId="157" priority="647">
      <formula>$B$9="CZK"</formula>
    </cfRule>
    <cfRule type="expression" dxfId="156" priority="648">
      <formula>$B$9="USD"</formula>
    </cfRule>
    <cfRule type="expression" dxfId="155" priority="649">
      <formula>$B$9="EURO"</formula>
    </cfRule>
  </conditionalFormatting>
  <conditionalFormatting sqref="O14:O27">
    <cfRule type="cellIs" dxfId="154" priority="635" operator="greaterThan">
      <formula>0</formula>
    </cfRule>
  </conditionalFormatting>
  <conditionalFormatting sqref="O31:O44">
    <cfRule type="cellIs" dxfId="153" priority="270" operator="greaterThan">
      <formula>0</formula>
    </cfRule>
  </conditionalFormatting>
  <conditionalFormatting sqref="O48:O61">
    <cfRule type="cellIs" dxfId="152" priority="259" operator="greaterThan">
      <formula>0</formula>
    </cfRule>
  </conditionalFormatting>
  <conditionalFormatting sqref="O65:O78">
    <cfRule type="cellIs" dxfId="151" priority="248" operator="greaterThan">
      <formula>0</formula>
    </cfRule>
  </conditionalFormatting>
  <conditionalFormatting sqref="O82:O95">
    <cfRule type="cellIs" dxfId="150" priority="237" operator="greaterThan">
      <formula>0</formula>
    </cfRule>
  </conditionalFormatting>
  <conditionalFormatting sqref="O99:O112">
    <cfRule type="cellIs" dxfId="149" priority="226" operator="greaterThan">
      <formula>0</formula>
    </cfRule>
  </conditionalFormatting>
  <conditionalFormatting sqref="O116:O129 O167:O180">
    <cfRule type="cellIs" dxfId="148" priority="215" operator="greaterThan">
      <formula>0</formula>
    </cfRule>
  </conditionalFormatting>
  <conditionalFormatting sqref="O133:O146">
    <cfRule type="cellIs" dxfId="147" priority="28" operator="greaterThan">
      <formula>0</formula>
    </cfRule>
  </conditionalFormatting>
  <conditionalFormatting sqref="O150:O163">
    <cfRule type="cellIs" dxfId="146" priority="17" operator="greaterThan">
      <formula>0</formula>
    </cfRule>
  </conditionalFormatting>
  <conditionalFormatting sqref="O183:O197">
    <cfRule type="cellIs" dxfId="145" priority="660" operator="greaterThan">
      <formula>0</formula>
    </cfRule>
  </conditionalFormatting>
  <conditionalFormatting sqref="Q16">
    <cfRule type="cellIs" dxfId="144" priority="405" operator="greaterThan">
      <formula>0</formula>
    </cfRule>
    <cfRule type="expression" dxfId="143" priority="406">
      <formula>$B$9="EURO"</formula>
    </cfRule>
    <cfRule type="expression" dxfId="142" priority="407">
      <formula>$B$9="USD"</formula>
    </cfRule>
    <cfRule type="expression" dxfId="141" priority="408">
      <formula>$B$9="PLN"</formula>
    </cfRule>
    <cfRule type="expression" dxfId="140" priority="409">
      <formula>$B$9="CZK"</formula>
    </cfRule>
  </conditionalFormatting>
  <dataValidations count="7">
    <dataValidation type="list" allowBlank="1" showInputMessage="1" showErrorMessage="1" sqref="D26 D94 D77 D60 D43 D111 D128 D145 D162 D179" xr:uid="{04015131-0986-4345-AC9B-12786E6486BD}">
      <formula1>"0,1,2,3,4,5,6,7,8,9,10"</formula1>
    </dataValidation>
    <dataValidation type="list" allowBlank="1" showInputMessage="1" showErrorMessage="1" sqref="G181" xr:uid="{05F62411-3200-3E48-8E2A-9B69E1392E9E}">
      <formula1>#REF!</formula1>
    </dataValidation>
    <dataValidation type="list" allowBlank="1" showInputMessage="1" showErrorMessage="1" sqref="C99 C31 C82 C65 C48 C14 C116 C150 C133 C167" xr:uid="{B25B1F85-C48B-A74C-B767-2C7598B46655}">
      <formula1>"WALL, ISLAND"</formula1>
    </dataValidation>
    <dataValidation operator="greaterThan" allowBlank="1" showInputMessage="1" showErrorMessage="1" sqref="E14 E65 E48 E31 E82 E99 E116 E133 E150 E167" xr:uid="{B8F1206F-43B5-BF4C-AB8F-7C341D2F1A5C}"/>
    <dataValidation type="list" allowBlank="1" showInputMessage="1" showErrorMessage="1" sqref="C71:C72 C37:C38 C88:C89 C20:C21 I84 I16 C54:C55 I67 I33 I50 C105:C106 I101 C122:C123 I118 C139:C140 I135 C156:C157 I152 C173:C174 I169" xr:uid="{2A94ABFF-B7C5-DD47-A0DD-0F8732DC6613}">
      <formula1>"0,1,2,3,4,5,6,7,8,9,10,11,12,13,14,15,16,17,18,19,20"</formula1>
    </dataValidation>
    <dataValidation type="list" allowBlank="1" showInputMessage="1" showErrorMessage="1" errorTitle="Minimum number of sections " error="Must be greater than zero" sqref="H14 H65 H48 H31 H82 H99 H116 H133 H150 H167" xr:uid="{A381355A-A9D8-B24D-8173-208F02DED235}">
      <formula1>"1,2,3,4,5,6,7,8,9,10"</formula1>
    </dataValidation>
    <dataValidation type="list" allowBlank="1" showInputMessage="1" showErrorMessage="1" sqref="C27 C78 C95 C44 C61 C112 C129 C146 C163 C180" xr:uid="{9B8B4C07-41A3-9444-B285-8D1D3C6FBB37}">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660539CE-010D-454A-AF8E-EAC8AB45E17B}">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EC2C3EA2-BA7B-7942-96F5-7674F16460A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4E3DDC1C-AAC9-CB48-BF87-49382F18BCCF}">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4F93BBD2-0EA8-5747-BDF7-449BF501ED1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EBD8A0B0-CD0E-2848-BB3E-A4706BC9B7CB}">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01AE6970-F15E-C942-BE8A-118C04E0A022}">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73EC9CFA-E803-5745-9F06-726F16EBF604}">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5DC3740D-C8CA-BB43-8F08-DAE0B3197C3B}">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2036B783-7928-0143-81D1-3CC8A917FDE4}">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185FB398-73D5-C245-B8B3-DE62849F9508}">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FC9EA5BB-BB46-584A-B545-037CFD6AEF4D}">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E818544-6C18-804D-8642-13A999932B5E}">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103ABF5E-309F-1C46-BF51-7CDF606E5891}">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B069CD26-3A07-1A4D-8102-F581C5F9C81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8C627A21-AB55-E54D-B63C-30056F3C3015}">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66EAAE34-B63B-7B4D-B0F3-B35E3C8B6D62}">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8A74F283-DED1-7C48-B467-B47D339520A8}">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543ECFDA-1FCC-5F48-A9A2-47643C69FC0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8E357777-DFEE-FE4B-9629-BB41B8576F80}">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AB5C828D-F065-F343-BDDB-380BC6D5639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1FAEA9CB-B019-A144-82EC-08395E8FAFE7}">
          <x14:formula1>
            <xm:f>'Base Costs'!$U$44:$U$56</xm:f>
          </x14:formula1>
          <xm:sqref>C17 C170 C153 C136 C119 C102 C85 C68 C51 C34</xm:sqref>
        </x14:dataValidation>
        <x14:dataValidation type="list" allowBlank="1" showInputMessage="1" showErrorMessage="1" xr:uid="{01FBA442-5F2F-8842-B838-8FFA77BD3A9C}">
          <x14:formula1>
            <xm:f>'Base Costs'!$U$4:$U$41</xm:f>
          </x14:formula1>
          <xm:sqref>C33 C152 C135 C169 C16 C101 C84 C67 C50 C118</xm:sqref>
        </x14:dataValidation>
        <x14:dataValidation type="list" allowBlank="1" showInputMessage="1" showErrorMessage="1" xr:uid="{7CCBBB5E-0336-2F44-90CA-41B500F7C78A}">
          <x14:formula1>
            <xm:f>'Base Costs'!$Q$35:$Q$45</xm:f>
          </x14:formula1>
          <xm:sqref>C43 C145 C162 C179 C60 C77 C94 C111 C26 C128</xm:sqref>
        </x14:dataValidation>
        <x14:dataValidation type="list" allowBlank="1" showInputMessage="1" showErrorMessage="1" xr:uid="{FC8C2D2D-36E3-BD4E-A71B-68AF8620AE5F}">
          <x14:formula1>
            <xm:f>'Base Costs'!$A$19:$A$22</xm:f>
          </x14:formula1>
          <xm:sqref>C19 C138 C155 C172 C36 C87 C70 C53 C104 C121</xm:sqref>
        </x14:dataValidation>
        <x14:dataValidation type="list" allowBlank="1" showInputMessage="1" showErrorMessage="1" xr:uid="{19475790-B06D-C64F-A0C3-6252529640F2}">
          <x14:formula1>
            <xm:f>'Base Costs'!$A$4:$A$16</xm:f>
          </x14:formula1>
          <xm:sqref>D184:D185</xm:sqref>
        </x14:dataValidation>
        <x14:dataValidation type="list" allowBlank="1" showInputMessage="1" showErrorMessage="1" xr:uid="{AEF95C28-0C61-AE49-A351-692A0A5DEBB8}">
          <x14:formula1>
            <xm:f>'Base Costs'!$E$4:$E$213</xm:f>
          </x14:formula1>
          <xm:sqref>D183 D186</xm:sqref>
        </x14:dataValidation>
        <x14:dataValidation type="list" allowBlank="1" showInputMessage="1" showErrorMessage="1" xr:uid="{1284C0D4-DE0C-CC45-9B90-041434D2FE67}">
          <x14:formula1>
            <xm:f>'Base Costs'!$A$32:$A$37</xm:f>
          </x14:formula1>
          <xm:sqref>B9</xm:sqref>
        </x14:dataValidation>
        <x14:dataValidation type="list" allowBlank="1" showInputMessage="1" showErrorMessage="1" xr:uid="{1F18E602-D83C-D348-BAE0-8687B9CAE1BA}">
          <x14:formula1>
            <xm:f>CCBASE!$A$81:$A$85</xm:f>
          </x14:formula1>
          <xm:sqref>C25 C42 C93 C76 C59 C110 C127 C144 C161 C178</xm:sqref>
        </x14:dataValidation>
        <x14:dataValidation type="list" allowBlank="1" showInputMessage="1" showErrorMessage="1" xr:uid="{7F5C33AF-136C-7049-893A-CA3AB01201DE}">
          <x14:formula1>
            <xm:f>CCBASE!$A$53:$A$73</xm:f>
          </x14:formula1>
          <xm:sqref>C52 C69 C18 C35 C103 C86 C120 C154 C137 C171</xm:sqref>
        </x14:dataValidation>
        <x14:dataValidation type="list" allowBlank="1" showInputMessage="1" showErrorMessage="1" xr:uid="{BC549658-9D9B-7C45-9C6B-F9756F5DA380}">
          <x14:formula1>
            <xm:f>'Base Costs'!$A$39:$A$53</xm:f>
          </x14:formula1>
          <xm:sqref>D14 D150 D133 D167 D31 D99 D48 D82 D65 D116</xm:sqref>
        </x14:dataValidation>
        <x14:dataValidation type="list" allowBlank="1" showInputMessage="1" showErrorMessage="1" xr:uid="{89E738D2-EAF7-F14E-95F1-1ABCB91EF328}">
          <x14:formula1>
            <xm:f>'Base Costs'!$M$4:$M$21</xm:f>
          </x14:formula1>
          <xm:sqref>C32 C151 C134 C168 C100 C49 C66 C83 C117</xm:sqref>
        </x14:dataValidation>
        <x14:dataValidation type="list" allowBlank="1" showInputMessage="1" showErrorMessage="1" xr:uid="{8B9462AC-C262-034F-90A7-FE23508A5194}">
          <x14:formula1>
            <xm:f>'Base Costs'!$M$4:$M$23</xm:f>
          </x14:formula1>
          <xm:sqref>C15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C0B58-587F-7F41-AF26-9956E41BC713}">
  <sheetPr>
    <tabColor theme="8" tint="0.79998168889431442"/>
    <pageSetUpPr fitToPage="1"/>
  </sheetPr>
  <dimension ref="A1:AE117"/>
  <sheetViews>
    <sheetView topLeftCell="A14" zoomScale="80" zoomScaleNormal="80" workbookViewId="0">
      <selection activeCell="R29" sqref="R29"/>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56" t="s">
        <v>1502</v>
      </c>
      <c r="C1" s="1156"/>
      <c r="D1" s="1156"/>
      <c r="E1" s="160"/>
      <c r="F1" s="161"/>
      <c r="G1" s="162"/>
      <c r="H1" s="163"/>
      <c r="I1" s="161"/>
      <c r="J1" s="161"/>
      <c r="K1" s="989" t="s">
        <v>1501</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8" t="e">
        <f>IF(#REF!="","",#REF!)</f>
        <v>#REF!</v>
      </c>
      <c r="D4" s="1158"/>
      <c r="E4" s="177" t="s">
        <v>78</v>
      </c>
      <c r="F4" s="1159" t="e">
        <f>IF(#REF!="","",#REF!)</f>
        <v>#REF!</v>
      </c>
      <c r="G4" s="1159"/>
      <c r="H4" s="1159"/>
      <c r="I4" s="1157"/>
      <c r="J4" s="1157"/>
      <c r="K4" s="1157"/>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8" t="e">
        <f>IF(#REF!="","",#REF!)</f>
        <v>#REF!</v>
      </c>
      <c r="D6" s="1158"/>
      <c r="E6" s="177" t="s">
        <v>77</v>
      </c>
      <c r="F6" s="1159" t="e">
        <f>IF(#REF!="","",#REF!)</f>
        <v>#REF!</v>
      </c>
      <c r="G6" s="1159"/>
      <c r="H6" s="1159"/>
      <c r="I6" s="1157"/>
      <c r="J6" s="1157"/>
      <c r="K6" s="1157"/>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8" t="e">
        <f>IF(#REF!="","",#REF!)</f>
        <v>#REF!</v>
      </c>
      <c r="D8" s="1158"/>
      <c r="E8" s="181" t="s">
        <v>76</v>
      </c>
      <c r="F8" s="1160" t="e">
        <f>IF(#REF!="","",#REF!)</f>
        <v>#REF!</v>
      </c>
      <c r="G8" s="1160"/>
      <c r="H8" s="1160"/>
      <c r="J8" s="187" t="s">
        <v>79</v>
      </c>
      <c r="K8" s="1148" t="e">
        <f>IF(#REF!="","",#REF!)</f>
        <v>#REF!</v>
      </c>
      <c r="L8" s="1148"/>
      <c r="M8" s="467"/>
      <c r="N8" s="1094" t="s">
        <v>1409</v>
      </c>
      <c r="O8" s="1094"/>
      <c r="P8" s="1094"/>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0"/>
      <c r="F10" s="1151"/>
      <c r="G10" s="25">
        <f>SUBTOTAL(9,G14:G102)</f>
        <v>1488</v>
      </c>
      <c r="H10" s="981">
        <f>IF(K10=0,"-",K10/I10)</f>
        <v>0.40143664399961704</v>
      </c>
      <c r="I10" s="25">
        <f>SUBTOTAL(9,I14:I102)</f>
        <v>2485.9523809523807</v>
      </c>
      <c r="J10" s="464">
        <f>SUBTOTAL(9,J14:J102)</f>
        <v>2485.9523809523807</v>
      </c>
      <c r="K10" s="25">
        <f>SUBTOTAL(9,K14:K102)</f>
        <v>997.95238095238119</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1488</v>
      </c>
      <c r="H13" s="145">
        <f>IF(G13=0,"-",K13/I13)</f>
        <v>0.40143664399961704</v>
      </c>
      <c r="I13" s="61">
        <f>SUBTOTAL(9,I14:I32)</f>
        <v>2485.9523809523807</v>
      </c>
      <c r="J13" s="465">
        <f>SUBTOTAL(9,J14:J32)</f>
        <v>2485.9523809523807</v>
      </c>
      <c r="K13" s="61">
        <f>SUBTOTAL(9,K14:K32)</f>
        <v>997.95238095238119</v>
      </c>
      <c r="L13" s="469"/>
      <c r="O13" s="840" t="s">
        <v>918</v>
      </c>
      <c r="Q13" s="1154" t="s">
        <v>664</v>
      </c>
      <c r="R13" s="1155"/>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v>1</v>
      </c>
      <c r="D30" s="269" t="s">
        <v>491</v>
      </c>
      <c r="E30" s="315"/>
      <c r="F30" s="380">
        <f>'Base Costs'!AX22</f>
        <v>700</v>
      </c>
      <c r="G30" s="378">
        <f t="shared" si="2"/>
        <v>700</v>
      </c>
      <c r="H30" s="381">
        <v>0.4</v>
      </c>
      <c r="I30" s="311">
        <f t="shared" si="0"/>
        <v>1166.6666666666667</v>
      </c>
      <c r="J30" s="378">
        <f>I30*VLOOKUP($B$10,'Base Costs'!$A$32:$B$37,2,FALSE)</f>
        <v>1166.6666666666667</v>
      </c>
      <c r="K30" s="379">
        <f t="shared" si="1"/>
        <v>466.66666666666674</v>
      </c>
      <c r="L30" s="469"/>
      <c r="M30" s="469"/>
      <c r="N30" s="469"/>
      <c r="Q30" s="164"/>
      <c r="R30" s="164"/>
    </row>
    <row r="31" spans="1:18" ht="15.75" customHeight="1" x14ac:dyDescent="0.2">
      <c r="A31" s="299">
        <v>268</v>
      </c>
      <c r="B31" s="269" t="s">
        <v>55</v>
      </c>
      <c r="C31" s="314">
        <v>1</v>
      </c>
      <c r="D31" s="269" t="s">
        <v>491</v>
      </c>
      <c r="E31" s="315"/>
      <c r="F31" s="380">
        <f>'Base Costs'!AX23</f>
        <v>380</v>
      </c>
      <c r="G31" s="378">
        <f t="shared" si="2"/>
        <v>380</v>
      </c>
      <c r="H31" s="381">
        <v>0.4</v>
      </c>
      <c r="I31" s="311">
        <f t="shared" si="0"/>
        <v>633.33333333333337</v>
      </c>
      <c r="J31" s="378">
        <f>I31*VLOOKUP($B$10,'Base Costs'!$A$32:$B$37,2,FALSE)</f>
        <v>633.33333333333337</v>
      </c>
      <c r="K31" s="379">
        <f t="shared" si="1"/>
        <v>253.33333333333337</v>
      </c>
      <c r="L31" s="469"/>
      <c r="M31" s="469"/>
      <c r="N31" s="469"/>
      <c r="Q31" s="164"/>
      <c r="R31" s="164"/>
    </row>
    <row r="32" spans="1:18" ht="15.75" customHeight="1" x14ac:dyDescent="0.2">
      <c r="A32" s="299">
        <v>268</v>
      </c>
      <c r="B32" s="269" t="s">
        <v>56</v>
      </c>
      <c r="C32" s="314">
        <v>1</v>
      </c>
      <c r="D32" s="269" t="s">
        <v>442</v>
      </c>
      <c r="E32" s="315"/>
      <c r="F32" s="380">
        <f>'Base Costs'!AX24</f>
        <v>358</v>
      </c>
      <c r="G32" s="378">
        <f t="shared" si="2"/>
        <v>358</v>
      </c>
      <c r="H32" s="381">
        <v>0.4</v>
      </c>
      <c r="I32" s="311">
        <f t="shared" si="0"/>
        <v>596.66666666666674</v>
      </c>
      <c r="J32" s="378">
        <f>I32*VLOOKUP($B$10,'Base Costs'!$A$32:$B$37,2,FALSE)</f>
        <v>596.66666666666674</v>
      </c>
      <c r="K32" s="379">
        <f t="shared" si="1"/>
        <v>238.66666666666674</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61"/>
      <c r="P34" s="1161"/>
      <c r="Q34" s="815"/>
      <c r="R34" s="815"/>
      <c r="S34" s="1162"/>
      <c r="T34" s="1162"/>
      <c r="U34" s="1162"/>
      <c r="V34" s="1162"/>
      <c r="Y34" s="1163"/>
      <c r="Z34" s="1163"/>
      <c r="AA34" s="1163"/>
      <c r="AB34" s="1163"/>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49"/>
      <c r="P35" s="1149"/>
      <c r="Q35" s="815"/>
      <c r="R35" s="815"/>
      <c r="S35" s="1152"/>
      <c r="T35" s="1152"/>
      <c r="U35" s="1152"/>
      <c r="V35" s="1152"/>
      <c r="W35" s="822"/>
      <c r="Y35" s="1152"/>
      <c r="Z35" s="1152"/>
      <c r="AA35" s="1152"/>
      <c r="AB35" s="1152"/>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49"/>
      <c r="P36" s="1149"/>
      <c r="Q36" s="815"/>
      <c r="R36" s="815"/>
      <c r="S36" s="1152"/>
      <c r="T36" s="1152"/>
      <c r="U36" s="1152"/>
      <c r="V36" s="1152"/>
      <c r="W36" s="822"/>
      <c r="Y36" s="1152"/>
      <c r="Z36" s="1152"/>
      <c r="AA36" s="1152"/>
      <c r="AB36" s="1152"/>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49"/>
      <c r="P37" s="1149"/>
      <c r="Q37" s="815"/>
      <c r="R37" s="815"/>
      <c r="S37" s="1152"/>
      <c r="T37" s="1152"/>
      <c r="U37" s="1152"/>
      <c r="V37" s="1152"/>
      <c r="W37" s="822"/>
      <c r="Y37" s="1152"/>
      <c r="Z37" s="1152"/>
      <c r="AA37" s="1152"/>
      <c r="AB37" s="1152"/>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1481</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49"/>
      <c r="P39" s="1149"/>
      <c r="Q39" s="815"/>
      <c r="R39" s="815"/>
      <c r="S39" s="1152"/>
      <c r="T39" s="1152"/>
      <c r="U39" s="1152"/>
      <c r="V39" s="1152"/>
      <c r="W39" s="822"/>
      <c r="Y39" s="1152"/>
      <c r="Z39" s="1152"/>
      <c r="AA39" s="1152"/>
      <c r="AB39" s="1152"/>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49"/>
      <c r="P40" s="1149"/>
      <c r="Q40" s="815"/>
      <c r="R40" s="815"/>
      <c r="S40" s="1152"/>
      <c r="T40" s="1152"/>
      <c r="U40" s="1152"/>
      <c r="V40" s="1152"/>
      <c r="W40" s="822"/>
      <c r="Y40" s="1152"/>
      <c r="Z40" s="1152"/>
      <c r="AA40" s="1152"/>
      <c r="AB40" s="1152"/>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49"/>
      <c r="P41" s="1149"/>
      <c r="Q41" s="815"/>
      <c r="R41" s="815"/>
      <c r="Y41" s="1153"/>
      <c r="Z41" s="1153"/>
      <c r="AA41" s="1153"/>
      <c r="AB41" s="1153"/>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Costs'!$AU$65:$BA$72,7,FALSE)),0)</f>
        <v>0</v>
      </c>
      <c r="M49" s="820">
        <f>L49*C49</f>
        <v>0</v>
      </c>
      <c r="N49" s="469"/>
      <c r="O49" s="1149"/>
      <c r="P49" s="1149"/>
      <c r="Q49" s="815"/>
      <c r="R49" s="815"/>
      <c r="Y49" s="1153"/>
      <c r="Z49" s="1153"/>
      <c r="AA49" s="1153"/>
      <c r="AB49" s="1153"/>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Costs'!$AU$65:$BA$72,7,FALSE)),0)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Costs'!$AU$65:$BA$72,7,FALSE)),0)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Costs'!$AU$65:$BA$72,7,FALSE)),0)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Costs'!$AU$65:$BA$72,7,FALSE)),0)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Costs'!$AU$65:$BA$72,7,FALSE)),0)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Costs'!$AU$65:$BA$72,7,FALSE)),0)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Costs'!$AU$65:$BA$72,7,FALSE)),0)</f>
        <v>0</v>
      </c>
      <c r="M56" s="820">
        <f t="shared" si="11"/>
        <v>0</v>
      </c>
      <c r="N56" s="469"/>
      <c r="O56" s="1149"/>
      <c r="P56" s="1149"/>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49"/>
      <c r="P57" s="1149"/>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49"/>
      <c r="P58" s="1149"/>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49"/>
      <c r="P59" s="1149"/>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49"/>
      <c r="P60" s="1149"/>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49"/>
      <c r="P61" s="1149"/>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49"/>
      <c r="P62" s="1149"/>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49"/>
      <c r="P63" s="1149"/>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49"/>
      <c r="P64" s="1149"/>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49"/>
      <c r="P65" s="1149"/>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49"/>
      <c r="P66" s="1149"/>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49"/>
      <c r="P67" s="1149"/>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49"/>
      <c r="P68" s="1149"/>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46" t="s">
        <v>1478</v>
      </c>
      <c r="E99" s="1147"/>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2485.9523809523807</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2485.9523809523807</v>
      </c>
      <c r="D108" s="202"/>
      <c r="E108" s="204"/>
      <c r="F108" s="202"/>
      <c r="G108" s="209"/>
      <c r="H108" s="206"/>
      <c r="I108" s="203"/>
      <c r="J108" s="203"/>
      <c r="K108" s="209"/>
    </row>
    <row r="109" spans="1:18" ht="15.75" customHeight="1" thickBot="1" x14ac:dyDescent="0.25">
      <c r="A109" s="299">
        <v>280</v>
      </c>
      <c r="B109" s="580" t="s">
        <v>666</v>
      </c>
      <c r="C109" s="916">
        <f>C108+J102</f>
        <v>2485.9523809523807</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O64:P64"/>
    <mergeCell ref="O65:P65"/>
    <mergeCell ref="O66:P66"/>
    <mergeCell ref="O67:P67"/>
    <mergeCell ref="O68:P68"/>
    <mergeCell ref="D99:E99"/>
    <mergeCell ref="O58:P58"/>
    <mergeCell ref="O59:P59"/>
    <mergeCell ref="O60:P60"/>
    <mergeCell ref="O61:P61"/>
    <mergeCell ref="O62:P62"/>
    <mergeCell ref="O63:P63"/>
    <mergeCell ref="O41:P41"/>
    <mergeCell ref="Y41:AB41"/>
    <mergeCell ref="O49:P49"/>
    <mergeCell ref="Y49:AB49"/>
    <mergeCell ref="O56:P56"/>
    <mergeCell ref="O57:P57"/>
    <mergeCell ref="O39:P39"/>
    <mergeCell ref="S39:V39"/>
    <mergeCell ref="Y39:AB39"/>
    <mergeCell ref="O40:P40"/>
    <mergeCell ref="S40:V40"/>
    <mergeCell ref="Y40:AB40"/>
    <mergeCell ref="O36:P36"/>
    <mergeCell ref="S36:V36"/>
    <mergeCell ref="Y36:AB36"/>
    <mergeCell ref="O37:P37"/>
    <mergeCell ref="S37:V37"/>
    <mergeCell ref="Y37:AB37"/>
    <mergeCell ref="O34:P34"/>
    <mergeCell ref="S34:V34"/>
    <mergeCell ref="Y34:AB34"/>
    <mergeCell ref="O35:P35"/>
    <mergeCell ref="S35:V35"/>
    <mergeCell ref="Y35:AB35"/>
    <mergeCell ref="C8:D8"/>
    <mergeCell ref="F8:H8"/>
    <mergeCell ref="K8:L8"/>
    <mergeCell ref="N8:P8"/>
    <mergeCell ref="E10:F10"/>
    <mergeCell ref="Q13:R13"/>
    <mergeCell ref="B1:D1"/>
    <mergeCell ref="C4:D4"/>
    <mergeCell ref="F4:H4"/>
    <mergeCell ref="I4:K4"/>
    <mergeCell ref="C6:D6"/>
    <mergeCell ref="F6:H6"/>
    <mergeCell ref="I6:K6"/>
  </mergeCells>
  <conditionalFormatting sqref="B10">
    <cfRule type="containsText" dxfId="139" priority="33" operator="containsText" text="SELECT">
      <formula>NOT(ISERROR(SEARCH("SELECT",B10)))</formula>
    </cfRule>
    <cfRule type="expression" dxfId="138" priority="34">
      <formula>B10="CURRENCY"</formula>
    </cfRule>
  </conditionalFormatting>
  <conditionalFormatting sqref="B14:B40">
    <cfRule type="expression" dxfId="137" priority="12">
      <formula>$C14&gt;0</formula>
    </cfRule>
  </conditionalFormatting>
  <conditionalFormatting sqref="B35 B41:B56">
    <cfRule type="expression" dxfId="136" priority="42">
      <formula>$D35&gt;0</formula>
    </cfRule>
  </conditionalFormatting>
  <conditionalFormatting sqref="B57:B68">
    <cfRule type="expression" dxfId="135" priority="17">
      <formula>$C57&gt;0</formula>
    </cfRule>
  </conditionalFormatting>
  <conditionalFormatting sqref="B71:B82">
    <cfRule type="expression" dxfId="134" priority="16">
      <formula>$C71&gt;0</formula>
    </cfRule>
  </conditionalFormatting>
  <conditionalFormatting sqref="B85:B93">
    <cfRule type="expression" dxfId="133" priority="15">
      <formula>$C85&gt;0</formula>
    </cfRule>
  </conditionalFormatting>
  <conditionalFormatting sqref="B96:B102">
    <cfRule type="expression" dxfId="132" priority="14">
      <formula>$C96&gt;0</formula>
    </cfRule>
  </conditionalFormatting>
  <conditionalFormatting sqref="C14:C32 C71:C82 C85:C93">
    <cfRule type="cellIs" dxfId="131" priority="35" operator="equal">
      <formula>0</formula>
    </cfRule>
  </conditionalFormatting>
  <conditionalFormatting sqref="C35:C68">
    <cfRule type="cellIs" dxfId="130" priority="11" operator="equal">
      <formula>0</formula>
    </cfRule>
  </conditionalFormatting>
  <conditionalFormatting sqref="C96:C102">
    <cfRule type="cellIs" dxfId="129" priority="13" operator="equal">
      <formula>0</formula>
    </cfRule>
  </conditionalFormatting>
  <conditionalFormatting sqref="C10:D10">
    <cfRule type="cellIs" dxfId="128" priority="31" operator="lessThan">
      <formula>0</formula>
    </cfRule>
    <cfRule type="cellIs" dxfId="127" priority="32" operator="greaterThan">
      <formula>0</formula>
    </cfRule>
  </conditionalFormatting>
  <conditionalFormatting sqref="F14:F68">
    <cfRule type="expression" dxfId="126" priority="1">
      <formula>C14&gt;0</formula>
    </cfRule>
  </conditionalFormatting>
  <conditionalFormatting sqref="F35:F64">
    <cfRule type="expression" dxfId="125" priority="2">
      <formula>D35&gt;0</formula>
    </cfRule>
  </conditionalFormatting>
  <conditionalFormatting sqref="F71:F82">
    <cfRule type="expression" dxfId="124" priority="30">
      <formula>C71&gt;0</formula>
    </cfRule>
  </conditionalFormatting>
  <conditionalFormatting sqref="F85:F93">
    <cfRule type="expression" dxfId="123" priority="28">
      <formula>C85&gt;0</formula>
    </cfRule>
  </conditionalFormatting>
  <conditionalFormatting sqref="F96:F102">
    <cfRule type="expression" dxfId="122" priority="29">
      <formula>C96&gt;0</formula>
    </cfRule>
  </conditionalFormatting>
  <conditionalFormatting sqref="G14:G32">
    <cfRule type="cellIs" dxfId="121" priority="27" operator="greaterThan">
      <formula>0</formula>
    </cfRule>
  </conditionalFormatting>
  <conditionalFormatting sqref="G35:G68">
    <cfRule type="cellIs" dxfId="120" priority="3" operator="greaterThan">
      <formula>0</formula>
    </cfRule>
  </conditionalFormatting>
  <conditionalFormatting sqref="G71:G82 G85:G93 G96:G102">
    <cfRule type="cellIs" dxfId="119" priority="26" operator="greaterThan">
      <formula>0</formula>
    </cfRule>
  </conditionalFormatting>
  <conditionalFormatting sqref="H14:H32">
    <cfRule type="expression" dxfId="118" priority="40">
      <formula>$C$10&gt;0</formula>
    </cfRule>
    <cfRule type="expression" dxfId="117" priority="41">
      <formula>$C$10&lt;0</formula>
    </cfRule>
  </conditionalFormatting>
  <conditionalFormatting sqref="H35:H68">
    <cfRule type="expression" dxfId="116" priority="9">
      <formula>$C$10&gt;0</formula>
    </cfRule>
  </conditionalFormatting>
  <conditionalFormatting sqref="H35:H82">
    <cfRule type="expression" dxfId="115" priority="23">
      <formula>$C$10&lt;0</formula>
    </cfRule>
  </conditionalFormatting>
  <conditionalFormatting sqref="H40:H68">
    <cfRule type="expression" dxfId="114" priority="10">
      <formula>$C$10&lt;0</formula>
    </cfRule>
  </conditionalFormatting>
  <conditionalFormatting sqref="H71:H82">
    <cfRule type="expression" dxfId="113" priority="22">
      <formula>$C$10&gt;0</formula>
    </cfRule>
  </conditionalFormatting>
  <conditionalFormatting sqref="H85:H93">
    <cfRule type="expression" dxfId="112" priority="20">
      <formula>$C$10&gt;0</formula>
    </cfRule>
    <cfRule type="expression" dxfId="111" priority="21">
      <formula>$C$10&lt;0</formula>
    </cfRule>
  </conditionalFormatting>
  <conditionalFormatting sqref="H96:H102">
    <cfRule type="expression" dxfId="110" priority="18">
      <formula>$C$10&gt;0</formula>
    </cfRule>
    <cfRule type="expression" dxfId="109" priority="19">
      <formula>$C$10&lt;0</formula>
    </cfRule>
  </conditionalFormatting>
  <conditionalFormatting sqref="J1:J7 J9:J33">
    <cfRule type="expression" dxfId="108" priority="36">
      <formula>$B$10="EURO"</formula>
    </cfRule>
    <cfRule type="expression" dxfId="107" priority="37">
      <formula>$B$10="USD"</formula>
    </cfRule>
    <cfRule type="expression" dxfId="106" priority="38">
      <formula>$B$10="PLN"</formula>
    </cfRule>
    <cfRule type="expression" dxfId="105" priority="39">
      <formula>$B$10="CZK"</formula>
    </cfRule>
  </conditionalFormatting>
  <conditionalFormatting sqref="J35:J69">
    <cfRule type="expression" dxfId="104" priority="5">
      <formula>$B$10="EURO"</formula>
    </cfRule>
  </conditionalFormatting>
  <conditionalFormatting sqref="J35:J1048576">
    <cfRule type="expression" dxfId="103" priority="6">
      <formula>$B$10="USD"</formula>
    </cfRule>
    <cfRule type="expression" dxfId="102" priority="7">
      <formula>$B$10="PLN"</formula>
    </cfRule>
    <cfRule type="expression" dxfId="101" priority="8">
      <formula>$B$10="CZK"</formula>
    </cfRule>
  </conditionalFormatting>
  <conditionalFormatting sqref="J71:J83 J85:J94 J96:J1048576">
    <cfRule type="expression" dxfId="100" priority="25">
      <formula>$B$10="EURO"</formula>
    </cfRule>
  </conditionalFormatting>
  <conditionalFormatting sqref="J14:K68">
    <cfRule type="cellIs" dxfId="99" priority="4" operator="greaterThan">
      <formula>0</formula>
    </cfRule>
  </conditionalFormatting>
  <conditionalFormatting sqref="J71:K82 J85:K93 J96:K102">
    <cfRule type="cellIs" dxfId="98"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251B92D8-6055-194C-9483-C0462E26F8B6}">
          <x14:formula1>
            <xm:f>'Base Costs'!$AU$55:$AU$61</xm:f>
          </x14:formula1>
          <xm:sqref>D40:D47</xm:sqref>
        </x14:dataValidation>
        <x14:dataValidation type="list" allowBlank="1" showInputMessage="1" showErrorMessage="1" xr:uid="{0E65AA2E-99D1-8849-AD93-B6C2A68C714E}">
          <x14:formula1>
            <xm:f>'Base Costs'!$AU$64:$AU$72</xm:f>
          </x14:formula1>
          <xm:sqref>D49:D56</xm:sqref>
        </x14:dataValidation>
        <x14:dataValidation type="list" allowBlank="1" showInputMessage="1" showErrorMessage="1" xr:uid="{EB06E795-0997-E64A-999F-F7C5D2831704}">
          <x14:formula1>
            <xm:f>'Base Costs'!$AU$26:$AU$48</xm:f>
          </x14:formula1>
          <xm:sqref>D35</xm:sqref>
        </x14:dataValidation>
        <x14:dataValidation type="list" allowBlank="1" showInputMessage="1" showErrorMessage="1" xr:uid="{39A4D461-33B6-D04F-A0E4-FF98C59787CF}">
          <x14:formula1>
            <xm:f>'Base Costs'!$A$32:$A$37</xm:f>
          </x14:formula1>
          <xm:sqref>B10</xm:sqref>
        </x14:dataValidation>
        <x14:dataValidation type="list" allowBlank="1" showInputMessage="1" showErrorMessage="1" xr:uid="{274CE857-4629-5545-9585-38C250EC4CA0}">
          <x14:formula1>
            <xm:f>'Base Costs'!$E$4:$E$213</xm:f>
          </x14:formula1>
          <xm:sqref>D97</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ABE2E-ACA2-9540-860F-59E2DD74E084}">
  <sheetPr>
    <tabColor theme="8" tint="0.79998168889431442"/>
    <pageSetUpPr fitToPage="1"/>
  </sheetPr>
  <dimension ref="A1:AD161"/>
  <sheetViews>
    <sheetView showGridLines="0" zoomScale="80" zoomScaleNormal="80" zoomScaleSheetLayoutView="50" workbookViewId="0">
      <selection activeCell="R29" sqref="R29"/>
    </sheetView>
  </sheetViews>
  <sheetFormatPr baseColWidth="10" defaultColWidth="8.83203125" defaultRowHeight="15" customHeight="1" x14ac:dyDescent="0.15"/>
  <cols>
    <col min="1" max="2" width="2" style="215" customWidth="1"/>
    <col min="3" max="3" width="42.83203125" style="217" bestFit="1"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1505</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1498</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1499</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1488</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1491</v>
      </c>
      <c r="D25" s="1080" t="s">
        <v>1497</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1489</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1493</v>
      </c>
      <c r="U27" s="229"/>
      <c r="AA27" s="217"/>
    </row>
    <row r="28" spans="1:27" ht="15" customHeight="1" x14ac:dyDescent="0.2">
      <c r="C28" s="869" t="s">
        <v>1490</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1492</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f>IF(K37=0,"-",O37/M37)</f>
        <v>0.39433325837643363</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97" priority="35" operator="containsText" text="SELECT">
      <formula>NOT(ISERROR(SEARCH("SELECT",C9)))</formula>
    </cfRule>
    <cfRule type="expression" dxfId="96" priority="36">
      <formula>C9="CURRENCY"</formula>
    </cfRule>
  </conditionalFormatting>
  <conditionalFormatting sqref="C14:C34">
    <cfRule type="expression" dxfId="95" priority="1">
      <formula>$J14&gt;0</formula>
    </cfRule>
  </conditionalFormatting>
  <conditionalFormatting sqref="C38:C48">
    <cfRule type="expression" dxfId="94" priority="12">
      <formula>$D38&gt;0</formula>
    </cfRule>
  </conditionalFormatting>
  <conditionalFormatting sqref="D38:D39 D41:D48">
    <cfRule type="cellIs" dxfId="93" priority="37" operator="lessThan">
      <formula>1</formula>
    </cfRule>
  </conditionalFormatting>
  <conditionalFormatting sqref="D40">
    <cfRule type="cellIs" dxfId="92" priority="32" operator="lessThan">
      <formula>1</formula>
    </cfRule>
  </conditionalFormatting>
  <conditionalFormatting sqref="D9:E9">
    <cfRule type="cellIs" dxfId="91" priority="33" operator="lessThan">
      <formula>0</formula>
    </cfRule>
    <cfRule type="cellIs" dxfId="90" priority="34" operator="greaterThan">
      <formula>0</formula>
    </cfRule>
  </conditionalFormatting>
  <conditionalFormatting sqref="F12">
    <cfRule type="expression" dxfId="89" priority="42">
      <formula>AND((ISNUMBER(SEARCH("I-MUAP",$E$14))),F12&lt;2500)</formula>
    </cfRule>
    <cfRule type="expression" dxfId="88" priority="43">
      <formula>ISNUMBER(SEARCH("I-MUAP",$E$14))</formula>
    </cfRule>
    <cfRule type="cellIs" dxfId="87" priority="44" operator="greaterThan">
      <formula>2000</formula>
    </cfRule>
  </conditionalFormatting>
  <conditionalFormatting sqref="F12:G12">
    <cfRule type="cellIs" dxfId="86" priority="38" operator="lessThan">
      <formula>1000</formula>
    </cfRule>
  </conditionalFormatting>
  <conditionalFormatting sqref="F14:G28">
    <cfRule type="cellIs" dxfId="85" priority="5" operator="lessThan">
      <formula>1000</formula>
    </cfRule>
  </conditionalFormatting>
  <conditionalFormatting sqref="F31:G32">
    <cfRule type="cellIs" dxfId="84" priority="2" operator="lessThan">
      <formula>1000</formula>
    </cfRule>
  </conditionalFormatting>
  <conditionalFormatting sqref="G12">
    <cfRule type="cellIs" dxfId="83" priority="39" operator="greaterThan">
      <formula>3001</formula>
    </cfRule>
  </conditionalFormatting>
  <conditionalFormatting sqref="H11">
    <cfRule type="expression" dxfId="82" priority="41">
      <formula>((G14-50)/I14)&lt;950</formula>
    </cfRule>
  </conditionalFormatting>
  <conditionalFormatting sqref="H12">
    <cfRule type="expression" dxfId="81" priority="40">
      <formula>((G14-50)/I14)&lt;950</formula>
    </cfRule>
  </conditionalFormatting>
  <conditionalFormatting sqref="H14:H28">
    <cfRule type="cellIs" dxfId="80" priority="6" operator="lessThan">
      <formula>400</formula>
    </cfRule>
  </conditionalFormatting>
  <conditionalFormatting sqref="H31:H32">
    <cfRule type="cellIs" dxfId="79" priority="3" operator="lessThan">
      <formula>400</formula>
    </cfRule>
  </conditionalFormatting>
  <conditionalFormatting sqref="H35">
    <cfRule type="expression" dxfId="78" priority="49">
      <formula>((#REF!-50)/#REF!)&lt;950</formula>
    </cfRule>
  </conditionalFormatting>
  <conditionalFormatting sqref="J14:J32">
    <cfRule type="cellIs" dxfId="77" priority="17" operator="greaterThan">
      <formula>0</formula>
    </cfRule>
  </conditionalFormatting>
  <conditionalFormatting sqref="J38:J48">
    <cfRule type="expression" dxfId="76" priority="25">
      <formula>D38&gt;0</formula>
    </cfRule>
  </conditionalFormatting>
  <conditionalFormatting sqref="J50:J56">
    <cfRule type="expression" dxfId="75" priority="30">
      <formula>#REF!="EURO"</formula>
    </cfRule>
  </conditionalFormatting>
  <conditionalFormatting sqref="K14:K34">
    <cfRule type="cellIs" dxfId="74" priority="4" operator="greaterThan">
      <formula>0</formula>
    </cfRule>
  </conditionalFormatting>
  <conditionalFormatting sqref="K38:K48">
    <cfRule type="cellIs" dxfId="73" priority="31" operator="greaterThan">
      <formula>0</formula>
    </cfRule>
  </conditionalFormatting>
  <conditionalFormatting sqref="K50:K56">
    <cfRule type="expression" dxfId="72" priority="26">
      <formula>$C$9="PLN"</formula>
    </cfRule>
    <cfRule type="expression" dxfId="71" priority="27">
      <formula>$C$9="CZK"</formula>
    </cfRule>
    <cfRule type="expression" dxfId="70" priority="28">
      <formula>$C$9="USD"</formula>
    </cfRule>
    <cfRule type="expression" dxfId="69" priority="29">
      <formula>$C$9="EURO"</formula>
    </cfRule>
  </conditionalFormatting>
  <conditionalFormatting sqref="L14:L34">
    <cfRule type="expression" dxfId="68" priority="15">
      <formula>$D$9&lt;0</formula>
    </cfRule>
    <cfRule type="expression" dxfId="67" priority="16">
      <formula>$D$9&gt;0</formula>
    </cfRule>
  </conditionalFormatting>
  <conditionalFormatting sqref="L38:L48">
    <cfRule type="expression" dxfId="66" priority="13">
      <formula>$D$9&lt;0</formula>
    </cfRule>
    <cfRule type="expression" dxfId="65" priority="14">
      <formula>$D$9&gt;0</formula>
    </cfRule>
  </conditionalFormatting>
  <conditionalFormatting sqref="N9 N12">
    <cfRule type="expression" dxfId="64" priority="45">
      <formula>$C$9="PLN"</formula>
    </cfRule>
    <cfRule type="expression" dxfId="63" priority="46">
      <formula>$C$9="CZK"</formula>
    </cfRule>
    <cfRule type="expression" dxfId="62" priority="47">
      <formula>$C$9="USD"</formula>
    </cfRule>
    <cfRule type="expression" dxfId="61" priority="48">
      <formula>$C$9="EURO"</formula>
    </cfRule>
  </conditionalFormatting>
  <conditionalFormatting sqref="N14:N34">
    <cfRule type="expression" dxfId="60" priority="19">
      <formula>$C$9="PLN"</formula>
    </cfRule>
    <cfRule type="expression" dxfId="59" priority="20">
      <formula>$C$9="CZK"</formula>
    </cfRule>
    <cfRule type="expression" dxfId="58" priority="21">
      <formula>$C$9="USD"</formula>
    </cfRule>
    <cfRule type="expression" dxfId="57" priority="22">
      <formula>$C$9="EURO"</formula>
    </cfRule>
  </conditionalFormatting>
  <conditionalFormatting sqref="N18:N22">
    <cfRule type="cellIs" dxfId="56" priority="23" operator="greaterThan">
      <formula>0</formula>
    </cfRule>
  </conditionalFormatting>
  <conditionalFormatting sqref="N37:N48">
    <cfRule type="expression" dxfId="55" priority="8">
      <formula>$C$9="PLN"</formula>
    </cfRule>
    <cfRule type="expression" dxfId="54" priority="9">
      <formula>$C$9="CZK"</formula>
    </cfRule>
    <cfRule type="expression" dxfId="53" priority="10">
      <formula>$C$9="USD"</formula>
    </cfRule>
    <cfRule type="expression" dxfId="52" priority="11">
      <formula>$C$9="EURO"</formula>
    </cfRule>
  </conditionalFormatting>
  <conditionalFormatting sqref="N14:O34">
    <cfRule type="cellIs" dxfId="51" priority="18" operator="greaterThan">
      <formula>0</formula>
    </cfRule>
  </conditionalFormatting>
  <conditionalFormatting sqref="N38:O48">
    <cfRule type="cellIs" dxfId="50" priority="7" operator="greaterThan">
      <formula>0</formula>
    </cfRule>
  </conditionalFormatting>
  <conditionalFormatting sqref="O14:O22">
    <cfRule type="cellIs" dxfId="49" priority="24" operator="greaterThan">
      <formula>0</formula>
    </cfRule>
  </conditionalFormatting>
  <dataValidations count="3">
    <dataValidation type="list" allowBlank="1" showInputMessage="1" showErrorMessage="1" sqref="E14:E34" xr:uid="{CC440637-0829-B540-B70E-2C188267B4C3}">
      <formula1>"0,1,2,3,4,5,6,7,8,9,10,11,12,13,14,15,16,17,18,19,20"</formula1>
    </dataValidation>
    <dataValidation operator="greaterThan" allowBlank="1" showInputMessage="1" showErrorMessage="1" sqref="F14:F28 F31:F32" xr:uid="{76F16777-0BCA-3C49-A53B-2B7667D856A7}"/>
    <dataValidation type="list" allowBlank="1" showInputMessage="1" showErrorMessage="1" sqref="H36" xr:uid="{8051E5C2-46B6-6B4F-9291-2A21B4907CF3}">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F758AF5C-B6F8-D542-AA0F-58029116B8EF}">
          <x14:formula1>
            <xm:f>'Base Costs'!$A$32:$A$37</xm:f>
          </x14:formula1>
          <xm:sqref>C9</xm:sqref>
        </x14:dataValidation>
        <x14:dataValidation type="list" allowBlank="1" showInputMessage="1" showErrorMessage="1" xr:uid="{94E0560E-9894-B143-8F78-616EE3489B53}">
          <x14:formula1>
            <xm:f>'Base Costs'!$E$4:$E$213</xm:f>
          </x14:formula1>
          <xm:sqref>E38</xm:sqref>
        </x14:dataValidation>
        <x14:dataValidation type="list" allowBlank="1" showInputMessage="1" showErrorMessage="1" xr:uid="{7D03354F-AA28-904A-8812-29C8DFBD88A7}">
          <x14:formula1>
            <xm:f>'Base Costs'!$A$4:$A$16</xm:f>
          </x14:formula1>
          <xm:sqref>E39:E40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D928D-3116-4645-BACA-5C1E2DFEB749}">
  <sheetPr>
    <tabColor theme="8" tint="0.79998168889431442"/>
    <pageSetUpPr fitToPage="1"/>
  </sheetPr>
  <dimension ref="A1:AD160"/>
  <sheetViews>
    <sheetView showGridLines="0" topLeftCell="B4" zoomScale="90" zoomScaleNormal="90" zoomScaleSheetLayoutView="50" workbookViewId="0">
      <selection activeCell="R29" sqref="R29"/>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1509</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IF(K36=0,"-",O36/M36)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1" t="s">
        <v>1442</v>
      </c>
      <c r="G38" s="1121"/>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1393</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1" t="s">
        <v>1443</v>
      </c>
      <c r="G42" s="1121"/>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4" t="s">
        <v>1494</v>
      </c>
      <c r="F46" s="1185"/>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48" priority="35" operator="containsText" text="SELECT">
      <formula>NOT(ISERROR(SEARCH("SELECT",C9)))</formula>
    </cfRule>
    <cfRule type="expression" dxfId="47" priority="36">
      <formula>C9="CURRENCY"</formula>
    </cfRule>
  </conditionalFormatting>
  <conditionalFormatting sqref="C14:C33">
    <cfRule type="expression" dxfId="46" priority="1">
      <formula>$J14&gt;0</formula>
    </cfRule>
  </conditionalFormatting>
  <conditionalFormatting sqref="C37:C47">
    <cfRule type="expression" dxfId="45" priority="12">
      <formula>$D37&gt;0</formula>
    </cfRule>
  </conditionalFormatting>
  <conditionalFormatting sqref="D37:D38 D40:D47">
    <cfRule type="cellIs" dxfId="44" priority="37" operator="lessThan">
      <formula>1</formula>
    </cfRule>
  </conditionalFormatting>
  <conditionalFormatting sqref="D39">
    <cfRule type="cellIs" dxfId="43" priority="32" operator="lessThan">
      <formula>1</formula>
    </cfRule>
  </conditionalFormatting>
  <conditionalFormatting sqref="D9:E9">
    <cfRule type="cellIs" dxfId="42" priority="33" operator="lessThan">
      <formula>0</formula>
    </cfRule>
    <cfRule type="cellIs" dxfId="41" priority="34" operator="greaterThan">
      <formula>0</formula>
    </cfRule>
  </conditionalFormatting>
  <conditionalFormatting sqref="F12">
    <cfRule type="expression" dxfId="40" priority="42">
      <formula>AND((ISNUMBER(SEARCH("I-MUAP",$E$14))),F12&lt;2500)</formula>
    </cfRule>
    <cfRule type="expression" dxfId="39" priority="43">
      <formula>ISNUMBER(SEARCH("I-MUAP",$E$14))</formula>
    </cfRule>
    <cfRule type="cellIs" dxfId="38" priority="44" operator="greaterThan">
      <formula>2000</formula>
    </cfRule>
  </conditionalFormatting>
  <conditionalFormatting sqref="F12:G12">
    <cfRule type="cellIs" dxfId="37" priority="38" operator="lessThan">
      <formula>1000</formula>
    </cfRule>
  </conditionalFormatting>
  <conditionalFormatting sqref="F14:G26">
    <cfRule type="cellIs" dxfId="36" priority="5" operator="lessThan">
      <formula>1000</formula>
    </cfRule>
  </conditionalFormatting>
  <conditionalFormatting sqref="F30:G31">
    <cfRule type="cellIs" dxfId="35" priority="2" operator="lessThan">
      <formula>1000</formula>
    </cfRule>
  </conditionalFormatting>
  <conditionalFormatting sqref="G12">
    <cfRule type="cellIs" dxfId="34" priority="39" operator="greaterThan">
      <formula>3001</formula>
    </cfRule>
  </conditionalFormatting>
  <conditionalFormatting sqref="H11">
    <cfRule type="expression" dxfId="33" priority="41">
      <formula>((G14-50)/I14)&lt;950</formula>
    </cfRule>
  </conditionalFormatting>
  <conditionalFormatting sqref="H12">
    <cfRule type="expression" dxfId="32" priority="40">
      <formula>((G14-50)/I14)&lt;950</formula>
    </cfRule>
  </conditionalFormatting>
  <conditionalFormatting sqref="H14:H26">
    <cfRule type="cellIs" dxfId="31" priority="6" operator="lessThan">
      <formula>400</formula>
    </cfRule>
  </conditionalFormatting>
  <conditionalFormatting sqref="H30:H31">
    <cfRule type="cellIs" dxfId="30" priority="3" operator="lessThan">
      <formula>400</formula>
    </cfRule>
  </conditionalFormatting>
  <conditionalFormatting sqref="H34">
    <cfRule type="expression" dxfId="29" priority="49">
      <formula>((#REF!-50)/#REF!)&lt;950</formula>
    </cfRule>
  </conditionalFormatting>
  <conditionalFormatting sqref="J14:J31">
    <cfRule type="cellIs" dxfId="28" priority="17" operator="greaterThan">
      <formula>0</formula>
    </cfRule>
  </conditionalFormatting>
  <conditionalFormatting sqref="J37:J47">
    <cfRule type="expression" dxfId="27" priority="25">
      <formula>D37&gt;0</formula>
    </cfRule>
  </conditionalFormatting>
  <conditionalFormatting sqref="J49:J55">
    <cfRule type="expression" dxfId="26" priority="30">
      <formula>#REF!="EURO"</formula>
    </cfRule>
  </conditionalFormatting>
  <conditionalFormatting sqref="K14:K33">
    <cfRule type="cellIs" dxfId="25" priority="4" operator="greaterThan">
      <formula>0</formula>
    </cfRule>
  </conditionalFormatting>
  <conditionalFormatting sqref="K37:K47">
    <cfRule type="cellIs" dxfId="24" priority="31" operator="greaterThan">
      <formula>0</formula>
    </cfRule>
  </conditionalFormatting>
  <conditionalFormatting sqref="K49:K55">
    <cfRule type="expression" dxfId="23" priority="26">
      <formula>$C$9="PLN"</formula>
    </cfRule>
    <cfRule type="expression" dxfId="22" priority="27">
      <formula>$C$9="CZK"</formula>
    </cfRule>
    <cfRule type="expression" dxfId="21" priority="28">
      <formula>$C$9="USD"</formula>
    </cfRule>
    <cfRule type="expression" dxfId="20" priority="29">
      <formula>$C$9="EURO"</formula>
    </cfRule>
  </conditionalFormatting>
  <conditionalFormatting sqref="L14:L33">
    <cfRule type="expression" dxfId="19" priority="15">
      <formula>$D$9&lt;0</formula>
    </cfRule>
    <cfRule type="expression" dxfId="18" priority="16">
      <formula>$D$9&gt;0</formula>
    </cfRule>
  </conditionalFormatting>
  <conditionalFormatting sqref="L37:L47">
    <cfRule type="expression" dxfId="17" priority="13">
      <formula>$D$9&lt;0</formula>
    </cfRule>
    <cfRule type="expression" dxfId="16" priority="14">
      <formula>$D$9&gt;0</formula>
    </cfRule>
  </conditionalFormatting>
  <conditionalFormatting sqref="N9 N12">
    <cfRule type="expression" dxfId="15" priority="45">
      <formula>$C$9="PLN"</formula>
    </cfRule>
    <cfRule type="expression" dxfId="14" priority="46">
      <formula>$C$9="CZK"</formula>
    </cfRule>
    <cfRule type="expression" dxfId="13" priority="47">
      <formula>$C$9="USD"</formula>
    </cfRule>
    <cfRule type="expression" dxfId="12" priority="48">
      <formula>$C$9="EURO"</formula>
    </cfRule>
  </conditionalFormatting>
  <conditionalFormatting sqref="N14:N33">
    <cfRule type="expression" dxfId="11" priority="19">
      <formula>$C$9="PLN"</formula>
    </cfRule>
    <cfRule type="expression" dxfId="10" priority="20">
      <formula>$C$9="CZK"</formula>
    </cfRule>
    <cfRule type="expression" dxfId="9" priority="21">
      <formula>$C$9="USD"</formula>
    </cfRule>
    <cfRule type="expression" dxfId="8" priority="22">
      <formula>$C$9="EURO"</formula>
    </cfRule>
  </conditionalFormatting>
  <conditionalFormatting sqref="N18:N20">
    <cfRule type="cellIs" dxfId="7" priority="23" operator="greaterThan">
      <formula>0</formula>
    </cfRule>
  </conditionalFormatting>
  <conditionalFormatting sqref="N36:N47">
    <cfRule type="expression" dxfId="6" priority="8">
      <formula>$C$9="PLN"</formula>
    </cfRule>
    <cfRule type="expression" dxfId="5" priority="9">
      <formula>$C$9="CZK"</formula>
    </cfRule>
    <cfRule type="expression" dxfId="4" priority="10">
      <formula>$C$9="USD"</formula>
    </cfRule>
    <cfRule type="expression" dxfId="3" priority="11">
      <formula>$C$9="EURO"</formula>
    </cfRule>
  </conditionalFormatting>
  <conditionalFormatting sqref="N14:O33">
    <cfRule type="cellIs" dxfId="2" priority="18" operator="greaterThan">
      <formula>0</formula>
    </cfRule>
  </conditionalFormatting>
  <conditionalFormatting sqref="N37:O47">
    <cfRule type="cellIs" dxfId="1" priority="7" operator="greaterThan">
      <formula>0</formula>
    </cfRule>
  </conditionalFormatting>
  <conditionalFormatting sqref="O14:O20">
    <cfRule type="cellIs" dxfId="0" priority="24" operator="greaterThan">
      <formula>0</formula>
    </cfRule>
  </conditionalFormatting>
  <dataValidations count="3">
    <dataValidation type="list" allowBlank="1" showInputMessage="1" showErrorMessage="1" sqref="H35" xr:uid="{D4CBB88F-6F8A-0241-8ADB-17C752E6A0B5}">
      <formula1>#REF!</formula1>
    </dataValidation>
    <dataValidation operator="greaterThan" allowBlank="1" showInputMessage="1" showErrorMessage="1" sqref="F14:F26 F30:F31" xr:uid="{DFEDC149-7945-124C-B6A1-4CA3ED2CEBFD}"/>
    <dataValidation type="list" allowBlank="1" showInputMessage="1" showErrorMessage="1" sqref="E14:E33" xr:uid="{E6C03115-DD66-7A4B-8B4E-01A4E0489C77}">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8A50E13-9AB9-5E44-8017-49B554FA01E4}">
          <x14:formula1>
            <xm:f>'Base Costs'!$A$4:$A$16</xm:f>
          </x14:formula1>
          <xm:sqref>E38:E39</xm:sqref>
        </x14:dataValidation>
        <x14:dataValidation type="list" allowBlank="1" showInputMessage="1" showErrorMessage="1" xr:uid="{714D9027-4A73-D744-92D7-33ECD054FC27}">
          <x14:formula1>
            <xm:f>'Base Costs'!$E$4:$E$213</xm:f>
          </x14:formula1>
          <xm:sqref>E37</xm:sqref>
        </x14:dataValidation>
        <x14:dataValidation type="list" allowBlank="1" showInputMessage="1" showErrorMessage="1" xr:uid="{6B8D5618-D401-9345-98A3-8D01D2E514C5}">
          <x14:formula1>
            <xm:f>'Base Costs'!$A$32:$A$37</xm:f>
          </x14:formula1>
          <xm:sqref>C9</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266D8-782B-4640-872F-4C667C882E83}">
  <sheetPr>
    <tabColor theme="8" tint="0.79998168889431442"/>
    <pageSetUpPr fitToPage="1"/>
  </sheetPr>
  <dimension ref="A1:AB310"/>
  <sheetViews>
    <sheetView showGridLines="0" topLeftCell="A3" zoomScale="80" zoomScaleNormal="80" zoomScaleSheetLayoutView="50" workbookViewId="0">
      <selection activeCell="R29" sqref="R29"/>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13"/>
      <c r="F3" s="690" t="s">
        <v>78</v>
      </c>
      <c r="G3" s="1084"/>
      <c r="H3" s="1114"/>
      <c r="I3" s="1114"/>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13"/>
      <c r="F5" s="690" t="s">
        <v>77</v>
      </c>
      <c r="G5" s="1084"/>
      <c r="H5" s="1114"/>
      <c r="I5" s="1114"/>
      <c r="J5" s="1114"/>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13"/>
      <c r="F7" s="690" t="s">
        <v>76</v>
      </c>
      <c r="G7" s="1086"/>
      <c r="H7" s="1115"/>
      <c r="I7" s="1115"/>
      <c r="J7" s="1115"/>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2"/>
      <c r="F9" s="1112"/>
      <c r="G9" s="1125"/>
      <c r="H9" s="1126"/>
      <c r="I9" s="1126"/>
      <c r="J9" s="1126"/>
      <c r="K9" s="703">
        <f>SUBTOTAL(9,K12:K197)</f>
        <v>0</v>
      </c>
      <c r="L9" s="982" t="str">
        <f>IF(O9=0,"-",O9/M9)</f>
        <v>-</v>
      </c>
      <c r="M9" s="703">
        <f>SUBTOTAL(9,M12:M197)</f>
        <v>0</v>
      </c>
      <c r="N9" s="705">
        <f>SUBTOTAL(9,N12:N197)</f>
        <v>0</v>
      </c>
      <c r="O9" s="703">
        <f>SUBTOTAL(9,O12:O197)</f>
        <v>0</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344</v>
      </c>
      <c r="C16" s="752" t="s">
        <v>347</v>
      </c>
      <c r="D16" s="735"/>
      <c r="E16" s="753" t="str">
        <f>IF(C16="","",VLOOKUP(C16,CCBASE!$A$53:$D$73,4,FALSE))</f>
        <v/>
      </c>
      <c r="F16" s="754"/>
      <c r="G16" s="749"/>
      <c r="H16" s="750"/>
      <c r="I16" s="755"/>
      <c r="J16" s="736">
        <f>IF(C16="",0,VLOOKUP(C16,CCBASE!$A$53:$C$73,2,FALSE))</f>
        <v>0</v>
      </c>
      <c r="K16" s="737">
        <f>J16*D16</f>
        <v>0</v>
      </c>
      <c r="L16" s="738">
        <v>0.35</v>
      </c>
      <c r="M16" s="739">
        <f t="shared" si="0"/>
        <v>0</v>
      </c>
      <c r="N16" s="737">
        <f>M16*VLOOKUP($B$9,'Base Costs'!$A$32:$B$37,2,FALSE)</f>
        <v>0</v>
      </c>
      <c r="O16" s="740">
        <f t="shared" si="1"/>
        <v>0</v>
      </c>
      <c r="P16" s="745"/>
      <c r="Q16" s="940"/>
      <c r="S16" s="694"/>
      <c r="Y16" s="673"/>
    </row>
    <row r="17" spans="1:26" ht="15"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customHeight="1" outlineLevel="1" x14ac:dyDescent="0.15">
      <c r="B18" s="992" t="s">
        <v>344</v>
      </c>
      <c r="C18" s="993" t="s">
        <v>1404</v>
      </c>
      <c r="D18" s="994">
        <v>0</v>
      </c>
      <c r="E18" s="995" t="str">
        <f>IF(C18="","",VLOOKUP(C18,CCBASE!$A$53:$D$73,4,FALSE))</f>
        <v>SECTION(S) OF CANOPY</v>
      </c>
      <c r="F18" s="996"/>
      <c r="G18" s="991"/>
      <c r="H18" s="997"/>
      <c r="I18" s="998"/>
      <c r="J18" s="999">
        <f>IF(C18="",0,VLOOKUP(C18,CCBASE!$A$53:$C$73,2,FALSE))</f>
        <v>50</v>
      </c>
      <c r="K18" s="1000">
        <f>J18*D18</f>
        <v>0</v>
      </c>
      <c r="L18" s="1001">
        <v>0.44</v>
      </c>
      <c r="M18" s="1002">
        <f t="shared" si="0"/>
        <v>0</v>
      </c>
      <c r="N18" s="1000">
        <f>M18*VLOOKUP($B$9,'Base Costs'!$A$32:$B$37,2,FALSE)</f>
        <v>0</v>
      </c>
      <c r="O18" s="1003">
        <f t="shared" si="1"/>
        <v>0</v>
      </c>
      <c r="P18" s="1004" t="s">
        <v>1453</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P19" t="s">
        <v>1513</v>
      </c>
      <c r="Q19" t="s">
        <v>1514</v>
      </c>
      <c r="R19" s="217"/>
      <c r="S19" s="229" t="s">
        <v>1515</v>
      </c>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K32" si="2">J24*1</f>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344</v>
      </c>
      <c r="C33" s="752" t="s">
        <v>347</v>
      </c>
      <c r="D33" s="735"/>
      <c r="E33" s="753" t="str">
        <f>IF(C33="","",VLOOKUP(C33,CCBASE!$A$53:$D$73,4,FALSE))</f>
        <v/>
      </c>
      <c r="F33" s="754"/>
      <c r="G33" s="749"/>
      <c r="H33" s="750"/>
      <c r="I33" s="755"/>
      <c r="J33" s="736">
        <f>IF(C33="",0,VLOOKUP(C33,CCBASE!$A$53:$C$73,2,FALSE))</f>
        <v>0</v>
      </c>
      <c r="K33" s="737">
        <f>J33*D33</f>
        <v>0</v>
      </c>
      <c r="L33" s="738">
        <v>0.35</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8"/>
      <c r="F35" s="119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ROUNDUP($F31/1000,0)</f>
        <v>0</v>
      </c>
      <c r="E36" s="1110" t="s">
        <v>1092</v>
      </c>
      <c r="F36" s="1196"/>
      <c r="G36" s="754"/>
      <c r="H36" s="750"/>
      <c r="I36" s="755"/>
      <c r="J36" s="736">
        <f>IF(D36=0,0,VLOOKUP(C36,'Base Costs'!$A$19:$B$22,2,FALSE))</f>
        <v>0</v>
      </c>
      <c r="K36" s="737">
        <f>J36*D36</f>
        <v>0</v>
      </c>
      <c r="L36" s="738">
        <v>0.44</v>
      </c>
      <c r="M36" s="739">
        <f t="shared" si="3"/>
        <v>0</v>
      </c>
      <c r="N36" s="737">
        <f>M36*VLOOKUP($B$9,'Base Costs'!$A$32:$B$37,2,FALSE)</f>
        <v>0</v>
      </c>
      <c r="O36" s="740">
        <f>M36-K36</f>
        <v>0</v>
      </c>
      <c r="P36" t="s">
        <v>1513</v>
      </c>
      <c r="Q36" t="s">
        <v>1514</v>
      </c>
      <c r="R36" s="217"/>
      <c r="S36" s="229" t="s">
        <v>1515</v>
      </c>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269" t="s">
        <v>344</v>
      </c>
      <c r="C50" s="752" t="s">
        <v>347</v>
      </c>
      <c r="D50" s="735"/>
      <c r="E50" s="753" t="str">
        <f>IF(C50="","",VLOOKUP(C50,CCBASE!$A$53:$D$73,4,FALSE))</f>
        <v/>
      </c>
      <c r="F50" s="754"/>
      <c r="G50" s="749"/>
      <c r="H50" s="750"/>
      <c r="I50" s="755"/>
      <c r="J50" s="736">
        <f>IF(C50="",0,VLOOKUP(C50,CCBASE!$A$53:$C$73,2,FALSE))</f>
        <v>0</v>
      </c>
      <c r="K50" s="737">
        <f>J50*D50</f>
        <v>0</v>
      </c>
      <c r="L50" s="738">
        <v>0.35</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ROUNDUP($F48/1000,0)</f>
        <v>0</v>
      </c>
      <c r="E53" s="1110" t="s">
        <v>1092</v>
      </c>
      <c r="F53" s="1196"/>
      <c r="G53" s="754"/>
      <c r="H53" s="750"/>
      <c r="I53" s="755"/>
      <c r="J53" s="736">
        <f>IF(D53=0,0,VLOOKUP(C53,'Base Costs'!$A$19:$B$22,2,FALSE))</f>
        <v>0</v>
      </c>
      <c r="K53" s="737">
        <f>J53*D53</f>
        <v>0</v>
      </c>
      <c r="L53" s="738">
        <v>0.44</v>
      </c>
      <c r="M53" s="739">
        <f t="shared" si="7"/>
        <v>0</v>
      </c>
      <c r="N53" s="737">
        <f>M53*VLOOKUP($B$9,'Base Costs'!$A$32:$B$37,2,FALSE)</f>
        <v>0</v>
      </c>
      <c r="O53" s="740">
        <f>M53-K53</f>
        <v>0</v>
      </c>
      <c r="P53" t="s">
        <v>1513</v>
      </c>
      <c r="Q53" t="s">
        <v>1514</v>
      </c>
      <c r="R53" s="217"/>
      <c r="S53" s="229" t="s">
        <v>1515</v>
      </c>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269" t="s">
        <v>344</v>
      </c>
      <c r="C67" s="752" t="s">
        <v>347</v>
      </c>
      <c r="D67" s="735"/>
      <c r="E67" s="753" t="str">
        <f>IF(C67="","",VLOOKUP(C67,CCBASE!$A$53:$D$73,4,FALSE))</f>
        <v/>
      </c>
      <c r="F67" s="754"/>
      <c r="G67" s="749"/>
      <c r="H67" s="750"/>
      <c r="I67" s="755"/>
      <c r="J67" s="736">
        <f>IF(C67="",0,VLOOKUP(C67,CCBASE!$A$53:$C$73,2,FALSE))</f>
        <v>0</v>
      </c>
      <c r="K67" s="737">
        <f>J67*D67</f>
        <v>0</v>
      </c>
      <c r="L67" s="738">
        <v>0.35</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1"/>
        <v>0</v>
      </c>
      <c r="N70" s="737">
        <f>M70*VLOOKUP($B$9,'Base Costs'!$A$32:$B$37,2,FALSE)</f>
        <v>0</v>
      </c>
      <c r="O70" s="740">
        <f>M70-K70</f>
        <v>0</v>
      </c>
      <c r="P70" t="s">
        <v>1513</v>
      </c>
      <c r="Q70" t="s">
        <v>1514</v>
      </c>
      <c r="R70" s="217"/>
      <c r="S70" s="229" t="s">
        <v>1515</v>
      </c>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217"/>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269" t="s">
        <v>344</v>
      </c>
      <c r="C84" s="752" t="s">
        <v>347</v>
      </c>
      <c r="D84" s="735"/>
      <c r="E84" s="753" t="str">
        <f>IF(C84="","",VLOOKUP(C84,CCBASE!$A$53:$D$73,4,FALSE))</f>
        <v/>
      </c>
      <c r="F84" s="754"/>
      <c r="G84" s="749"/>
      <c r="H84" s="750"/>
      <c r="I84" s="755"/>
      <c r="J84" s="736">
        <f>IF(C84="",0,VLOOKUP(C84,CCBASE!$A$53:$C$73,2,FALSE))</f>
        <v>0</v>
      </c>
      <c r="K84" s="737">
        <f>J84*D84</f>
        <v>0</v>
      </c>
      <c r="L84" s="738">
        <v>0.35</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5"/>
        <v>0</v>
      </c>
      <c r="N87" s="737">
        <f>M87*VLOOKUP($B$9,'Base Costs'!$A$32:$B$37,2,FALSE)</f>
        <v>0</v>
      </c>
      <c r="O87" s="740">
        <f>M87-K87</f>
        <v>0</v>
      </c>
      <c r="P87" t="s">
        <v>1513</v>
      </c>
      <c r="Q87" t="s">
        <v>1514</v>
      </c>
      <c r="R87" s="217"/>
      <c r="S87" s="229" t="s">
        <v>1515</v>
      </c>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269" t="s">
        <v>344</v>
      </c>
      <c r="C101" s="752" t="s">
        <v>347</v>
      </c>
      <c r="D101" s="735"/>
      <c r="E101" s="753" t="str">
        <f>IF(C101="","",VLOOKUP(C101,CCBASE!$A$53:$D$73,4,FALSE))</f>
        <v/>
      </c>
      <c r="F101" s="754"/>
      <c r="G101" s="749"/>
      <c r="H101" s="750"/>
      <c r="I101" s="755"/>
      <c r="J101" s="736">
        <f>IF(C101="",0,VLOOKUP(C101,CCBASE!$A$53:$C$73,2,FALSE))</f>
        <v>0</v>
      </c>
      <c r="K101" s="737">
        <f>J101*D101</f>
        <v>0</v>
      </c>
      <c r="L101" s="738">
        <v>0.35</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19"/>
        <v>0</v>
      </c>
      <c r="N104" s="737">
        <f>M104*VLOOKUP($B$9,'Base Costs'!$A$32:$B$37,2,FALSE)</f>
        <v>0</v>
      </c>
      <c r="O104" s="740">
        <f>M104-K104</f>
        <v>0</v>
      </c>
      <c r="P104" t="s">
        <v>1513</v>
      </c>
      <c r="Q104" t="s">
        <v>1514</v>
      </c>
      <c r="R104" s="217"/>
      <c r="S104" s="229" t="s">
        <v>1515</v>
      </c>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269" t="s">
        <v>344</v>
      </c>
      <c r="C118" s="752" t="s">
        <v>347</v>
      </c>
      <c r="D118" s="735"/>
      <c r="E118" s="753" t="str">
        <f>IF(C118="","",VLOOKUP(C118,CCBASE!$A$53:$D$73,4,FALSE))</f>
        <v/>
      </c>
      <c r="F118" s="754"/>
      <c r="G118" s="749"/>
      <c r="H118" s="750"/>
      <c r="I118" s="755"/>
      <c r="J118" s="736">
        <f>IF(C118="",0,VLOOKUP(C118,CCBASE!$A$53:$C$73,2,FALSE))</f>
        <v>0</v>
      </c>
      <c r="K118" s="737">
        <f>J118*D118</f>
        <v>0</v>
      </c>
      <c r="L118" s="738">
        <v>0.35</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3"/>
        <v>0</v>
      </c>
      <c r="N121" s="737">
        <f>M121*VLOOKUP($B$9,'Base Costs'!$A$32:$B$37,2,FALSE)</f>
        <v>0</v>
      </c>
      <c r="O121" s="740">
        <f>M121-K121</f>
        <v>0</v>
      </c>
      <c r="P121" t="s">
        <v>1513</v>
      </c>
      <c r="Q121" t="s">
        <v>1514</v>
      </c>
      <c r="R121" s="217"/>
      <c r="S121" s="229" t="s">
        <v>1515</v>
      </c>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269" t="s">
        <v>344</v>
      </c>
      <c r="C135" s="752" t="s">
        <v>347</v>
      </c>
      <c r="D135" s="735"/>
      <c r="E135" s="753" t="str">
        <f>IF(C135="","",VLOOKUP(C135,CCBASE!$A$53:$D$73,4,FALSE))</f>
        <v/>
      </c>
      <c r="F135" s="754"/>
      <c r="G135" s="749"/>
      <c r="H135" s="750"/>
      <c r="I135" s="755"/>
      <c r="J135" s="736">
        <f>IF(C135="",0,VLOOKUP(C135,CCBASE!$A$53:$C$73,2,FALSE))</f>
        <v>0</v>
      </c>
      <c r="K135" s="737">
        <f>J135*D135</f>
        <v>0</v>
      </c>
      <c r="L135" s="738">
        <v>0.35</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ROUNDUP($F133/1000,0)</f>
        <v>0</v>
      </c>
      <c r="E138" s="1110" t="s">
        <v>1092</v>
      </c>
      <c r="F138" s="1108"/>
      <c r="G138" s="754"/>
      <c r="H138" s="750"/>
      <c r="I138" s="755"/>
      <c r="J138" s="736">
        <f>IF(D138=0,0,VLOOKUP(C138,'Base Costs'!$A$19:$B$22,2,FALSE))</f>
        <v>0</v>
      </c>
      <c r="K138" s="737">
        <f>J138*D138</f>
        <v>0</v>
      </c>
      <c r="L138" s="738">
        <v>0.44</v>
      </c>
      <c r="M138" s="739">
        <f t="shared" si="27"/>
        <v>0</v>
      </c>
      <c r="N138" s="737">
        <f>M138*VLOOKUP($B$9,'Base Costs'!$A$32:$B$37,2,FALSE)</f>
        <v>0</v>
      </c>
      <c r="O138" s="740">
        <f>M138-K138</f>
        <v>0</v>
      </c>
      <c r="P138" t="s">
        <v>1513</v>
      </c>
      <c r="Q138" t="s">
        <v>1514</v>
      </c>
      <c r="R138" s="217"/>
      <c r="S138" s="229" t="s">
        <v>1515</v>
      </c>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269" t="s">
        <v>344</v>
      </c>
      <c r="C152" s="752" t="s">
        <v>347</v>
      </c>
      <c r="D152" s="735"/>
      <c r="E152" s="753" t="str">
        <f>IF(C152="","",VLOOKUP(C152,CCBASE!$A$53:$D$73,4,FALSE))</f>
        <v/>
      </c>
      <c r="F152" s="754"/>
      <c r="G152" s="749"/>
      <c r="H152" s="750"/>
      <c r="I152" s="755"/>
      <c r="J152" s="736">
        <f>IF(C152="",0,VLOOKUP(C152,CCBASE!$A$53:$C$73,2,FALSE))</f>
        <v>0</v>
      </c>
      <c r="K152" s="737">
        <f>J152*D152</f>
        <v>0</v>
      </c>
      <c r="L152" s="738">
        <v>0.35</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1"/>
        <v>0</v>
      </c>
      <c r="N155" s="737">
        <f>M155*VLOOKUP($B$9,'Base Costs'!$A$32:$B$37,2,FALSE)</f>
        <v>0</v>
      </c>
      <c r="O155" s="740">
        <f>M155-K155</f>
        <v>0</v>
      </c>
      <c r="P155" t="s">
        <v>1513</v>
      </c>
      <c r="Q155" t="s">
        <v>1514</v>
      </c>
      <c r="R155" s="217"/>
      <c r="S155" s="229" t="s">
        <v>1515</v>
      </c>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269" t="s">
        <v>344</v>
      </c>
      <c r="C169" s="752" t="s">
        <v>347</v>
      </c>
      <c r="D169" s="735"/>
      <c r="E169" s="753" t="str">
        <f>IF(C169="","",VLOOKUP(C169,CCBASE!$A$53:$D$73,4,FALSE))</f>
        <v/>
      </c>
      <c r="F169" s="754"/>
      <c r="G169" s="749"/>
      <c r="H169" s="750"/>
      <c r="I169" s="755"/>
      <c r="J169" s="736">
        <f>IF(C169="",0,VLOOKUP(C169,CCBASE!$A$53:$C$73,2,FALSE))</f>
        <v>0</v>
      </c>
      <c r="K169" s="737">
        <f>J169*D169</f>
        <v>0</v>
      </c>
      <c r="L169" s="738">
        <v>0.35</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35"/>
        <v>0</v>
      </c>
      <c r="N172" s="737">
        <f>M172*VLOOKUP($B$9,'Base Costs'!$A$32:$B$37,2,FALSE)</f>
        <v>0</v>
      </c>
      <c r="O172" s="740">
        <f>M172-K172</f>
        <v>0</v>
      </c>
      <c r="P172" t="s">
        <v>1513</v>
      </c>
      <c r="Q172" t="s">
        <v>1514</v>
      </c>
      <c r="R172" s="217"/>
      <c r="S172" s="229" t="s">
        <v>1515</v>
      </c>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IF(K182=0,"-",O182/M182)</f>
        <v>-</v>
      </c>
      <c r="M182" s="723">
        <f>SUBTOTAL(9,M183:M197)</f>
        <v>0</v>
      </c>
      <c r="N182" s="705">
        <f>SUBTOTAL(9,N183:N197)</f>
        <v>0</v>
      </c>
      <c r="O182" s="703">
        <f>SUBTOTAL(9,O183:O197)</f>
        <v>0</v>
      </c>
      <c r="S182" s="694"/>
    </row>
    <row r="183" spans="1:25" ht="15" customHeight="1" x14ac:dyDescent="0.15">
      <c r="A183" s="666">
        <v>222</v>
      </c>
      <c r="B183" s="589" t="s">
        <v>1133</v>
      </c>
      <c r="C183" s="774"/>
      <c r="D183" s="775" t="s">
        <v>48</v>
      </c>
      <c r="E183" s="1118" t="s">
        <v>732</v>
      </c>
      <c r="F183" s="1119"/>
      <c r="G183" s="1109"/>
      <c r="H183" s="1109"/>
      <c r="I183" s="110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7"/>
      <c r="F186" s="1108"/>
      <c r="G186" s="1109"/>
      <c r="H186" s="1109"/>
      <c r="I186" s="110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6" t="s">
        <v>1495</v>
      </c>
      <c r="E193" s="1117"/>
      <c r="F193" s="111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9425" priority="687" operator="containsText" text="SELECT">
      <formula>NOT(ISERROR(SEARCH("SELECT",B9)))</formula>
    </cfRule>
    <cfRule type="expression" dxfId="9424" priority="688">
      <formula>B9="CURRENCY"</formula>
    </cfRule>
  </conditionalFormatting>
  <conditionalFormatting sqref="B11">
    <cfRule type="expression" dxfId="9423" priority="650">
      <formula>$B11&lt;&gt;""</formula>
    </cfRule>
  </conditionalFormatting>
  <conditionalFormatting sqref="B14:B23">
    <cfRule type="expression" dxfId="9422" priority="642">
      <formula>$J14&gt;0</formula>
    </cfRule>
  </conditionalFormatting>
  <conditionalFormatting sqref="B24">
    <cfRule type="expression" dxfId="9421" priority="639">
      <formula>ISNUMBER(SEARCH("UV",$D14))</formula>
    </cfRule>
    <cfRule type="expression" dxfId="9420" priority="640">
      <formula>($D14="CANOPY TYPE")</formula>
    </cfRule>
  </conditionalFormatting>
  <conditionalFormatting sqref="B25:B27">
    <cfRule type="expression" dxfId="9419" priority="455">
      <formula>$J25&gt;0</formula>
    </cfRule>
  </conditionalFormatting>
  <conditionalFormatting sqref="B28">
    <cfRule type="expression" dxfId="9418" priority="648">
      <formula>$B28&lt;&gt;""</formula>
    </cfRule>
  </conditionalFormatting>
  <conditionalFormatting sqref="B31:B32 B34:B40">
    <cfRule type="expression" dxfId="9417" priority="400">
      <formula>$J31&gt;0</formula>
    </cfRule>
  </conditionalFormatting>
  <conditionalFormatting sqref="B41">
    <cfRule type="expression" dxfId="9416" priority="607">
      <formula>ISNUMBER(SEARCH("UV",$D31))</formula>
    </cfRule>
    <cfRule type="expression" dxfId="9415" priority="608">
      <formula>($D31="CANOPY TYPE")</formula>
    </cfRule>
  </conditionalFormatting>
  <conditionalFormatting sqref="B42:B44">
    <cfRule type="expression" dxfId="9414" priority="609">
      <formula>$J42&gt;0</formula>
    </cfRule>
  </conditionalFormatting>
  <conditionalFormatting sqref="B45">
    <cfRule type="expression" dxfId="9413" priority="647">
      <formula>$B45&lt;&gt;""</formula>
    </cfRule>
  </conditionalFormatting>
  <conditionalFormatting sqref="B48:B49 B51:B57">
    <cfRule type="expression" dxfId="9412" priority="374">
      <formula>$J48&gt;0</formula>
    </cfRule>
  </conditionalFormatting>
  <conditionalFormatting sqref="B58">
    <cfRule type="expression" dxfId="9411" priority="577">
      <formula>ISNUMBER(SEARCH("UV",$D48))</formula>
    </cfRule>
    <cfRule type="expression" dxfId="9410" priority="578">
      <formula>($D48="CANOPY TYPE")</formula>
    </cfRule>
  </conditionalFormatting>
  <conditionalFormatting sqref="B59:B61">
    <cfRule type="expression" dxfId="9409" priority="454">
      <formula>$J59&gt;0</formula>
    </cfRule>
  </conditionalFormatting>
  <conditionalFormatting sqref="B62">
    <cfRule type="expression" dxfId="9408" priority="646">
      <formula>$B62&lt;&gt;""</formula>
    </cfRule>
  </conditionalFormatting>
  <conditionalFormatting sqref="B65:B66 B68:B74">
    <cfRule type="expression" dxfId="9407" priority="348">
      <formula>$J65&gt;0</formula>
    </cfRule>
  </conditionalFormatting>
  <conditionalFormatting sqref="B75">
    <cfRule type="expression" dxfId="9406" priority="546">
      <formula>ISNUMBER(SEARCH("UV",$D65))</formula>
    </cfRule>
    <cfRule type="expression" dxfId="9405" priority="547">
      <formula>($D65="CANOPY TYPE")</formula>
    </cfRule>
  </conditionalFormatting>
  <conditionalFormatting sqref="B76:B78">
    <cfRule type="expression" dxfId="9404" priority="453">
      <formula>$J76&gt;0</formula>
    </cfRule>
  </conditionalFormatting>
  <conditionalFormatting sqref="B79">
    <cfRule type="expression" dxfId="9403" priority="645">
      <formula>$B79&lt;&gt;""</formula>
    </cfRule>
  </conditionalFormatting>
  <conditionalFormatting sqref="B82:B83 B85:B91">
    <cfRule type="expression" dxfId="9402" priority="322">
      <formula>$J82&gt;0</formula>
    </cfRule>
  </conditionalFormatting>
  <conditionalFormatting sqref="B92">
    <cfRule type="expression" dxfId="9401" priority="514">
      <formula>ISNUMBER(SEARCH("UV",$D82))</formula>
    </cfRule>
    <cfRule type="expression" dxfId="9400" priority="515">
      <formula>($D82="CANOPY TYPE")</formula>
    </cfRule>
  </conditionalFormatting>
  <conditionalFormatting sqref="B93:B95">
    <cfRule type="expression" dxfId="9399" priority="452">
      <formula>$J93&gt;0</formula>
    </cfRule>
  </conditionalFormatting>
  <conditionalFormatting sqref="B96">
    <cfRule type="expression" dxfId="9398" priority="644">
      <formula>$B96&lt;&gt;""</formula>
    </cfRule>
  </conditionalFormatting>
  <conditionalFormatting sqref="B99:B100 B102:B108">
    <cfRule type="expression" dxfId="9397" priority="296">
      <formula>$J99&gt;0</formula>
    </cfRule>
  </conditionalFormatting>
  <conditionalFormatting sqref="B109">
    <cfRule type="expression" dxfId="9396" priority="483">
      <formula>ISNUMBER(SEARCH("UV",$D99))</formula>
    </cfRule>
    <cfRule type="expression" dxfId="9395" priority="484">
      <formula>($D99="CANOPY TYPE")</formula>
    </cfRule>
  </conditionalFormatting>
  <conditionalFormatting sqref="B110:B112 B127:B129 B144:B146 B161:B163 B178:B180">
    <cfRule type="expression" dxfId="9394" priority="451">
      <formula>$J110&gt;0</formula>
    </cfRule>
  </conditionalFormatting>
  <conditionalFormatting sqref="B113">
    <cfRule type="expression" dxfId="9393" priority="288">
      <formula>$B113&lt;&gt;""</formula>
    </cfRule>
  </conditionalFormatting>
  <conditionalFormatting sqref="B116:B117 B119:B125">
    <cfRule type="expression" dxfId="9392" priority="231">
      <formula>$J116&gt;0</formula>
    </cfRule>
  </conditionalFormatting>
  <conditionalFormatting sqref="B126">
    <cfRule type="expression" dxfId="9391" priority="260">
      <formula>ISNUMBER(SEARCH("UV",$D116))</formula>
    </cfRule>
    <cfRule type="expression" dxfId="9390" priority="261">
      <formula>($D116="CANOPY TYPE")</formula>
    </cfRule>
  </conditionalFormatting>
  <conditionalFormatting sqref="B130">
    <cfRule type="expression" dxfId="9389" priority="219">
      <formula>$B130&lt;&gt;""</formula>
    </cfRule>
  </conditionalFormatting>
  <conditionalFormatting sqref="B133:B134 B136:B142">
    <cfRule type="expression" dxfId="9388" priority="168">
      <formula>$J133&gt;0</formula>
    </cfRule>
  </conditionalFormatting>
  <conditionalFormatting sqref="B143">
    <cfRule type="expression" dxfId="9387" priority="191">
      <formula>ISNUMBER(SEARCH("UV",$D133))</formula>
    </cfRule>
    <cfRule type="expression" dxfId="9386" priority="192">
      <formula>($D133="CANOPY TYPE")</formula>
    </cfRule>
  </conditionalFormatting>
  <conditionalFormatting sqref="B147">
    <cfRule type="expression" dxfId="9385" priority="164">
      <formula>$B147&lt;&gt;""</formula>
    </cfRule>
  </conditionalFormatting>
  <conditionalFormatting sqref="B150:B151 B153:B159">
    <cfRule type="expression" dxfId="9384" priority="113">
      <formula>$J150&gt;0</formula>
    </cfRule>
  </conditionalFormatting>
  <conditionalFormatting sqref="B160">
    <cfRule type="expression" dxfId="9383" priority="136">
      <formula>ISNUMBER(SEARCH("UV",$D150))</formula>
    </cfRule>
    <cfRule type="expression" dxfId="9382" priority="137">
      <formula>($D150="CANOPY TYPE")</formula>
    </cfRule>
  </conditionalFormatting>
  <conditionalFormatting sqref="B164">
    <cfRule type="expression" dxfId="9381" priority="109">
      <formula>$B164&lt;&gt;""</formula>
    </cfRule>
  </conditionalFormatting>
  <conditionalFormatting sqref="B167:B168 B170:B176">
    <cfRule type="expression" dxfId="9380" priority="58">
      <formula>$J167&gt;0</formula>
    </cfRule>
  </conditionalFormatting>
  <conditionalFormatting sqref="B177">
    <cfRule type="expression" dxfId="9379" priority="81">
      <formula>ISNUMBER(SEARCH("UV",$D167))</formula>
    </cfRule>
    <cfRule type="expression" dxfId="9378" priority="82">
      <formula>($D167="CANOPY TYPE")</formula>
    </cfRule>
  </conditionalFormatting>
  <conditionalFormatting sqref="B183:B197">
    <cfRule type="expression" dxfId="9377" priority="641">
      <formula>$C183&gt;0</formula>
    </cfRule>
  </conditionalFormatting>
  <conditionalFormatting sqref="C14">
    <cfRule type="containsText" dxfId="9376" priority="441" operator="containsText" text="CONFIG">
      <formula>NOT(ISERROR(SEARCH("CONFIG",C14)))</formula>
    </cfRule>
  </conditionalFormatting>
  <conditionalFormatting sqref="C15">
    <cfRule type="containsText" dxfId="9375" priority="446" operator="containsText" text="LIGHT SELECTION">
      <formula>NOT(ISERROR(SEARCH("LIGHT SELECTION",C15)))</formula>
    </cfRule>
  </conditionalFormatting>
  <conditionalFormatting sqref="C20:C21">
    <cfRule type="cellIs" dxfId="9372" priority="693" operator="lessThan">
      <formula>1</formula>
    </cfRule>
  </conditionalFormatting>
  <conditionalFormatting sqref="C22:C23">
    <cfRule type="expression" dxfId="9371" priority="421">
      <formula>D22="WW PODS"</formula>
    </cfRule>
  </conditionalFormatting>
  <conditionalFormatting sqref="C24">
    <cfRule type="expression" dxfId="9370" priority="710">
      <formula>ISNUMBER(SEARCH("UV",D14))</formula>
    </cfRule>
  </conditionalFormatting>
  <conditionalFormatting sqref="C25">
    <cfRule type="expression" dxfId="9369" priority="675">
      <formula>(ISNUMBER(SEARCH("CMW",D14)))=TRUE</formula>
    </cfRule>
  </conditionalFormatting>
  <conditionalFormatting sqref="C26">
    <cfRule type="expression" dxfId="9368" priority="674">
      <formula>(ISNUMBER(SEARCH("CMW",D14)))=TRUE</formula>
    </cfRule>
  </conditionalFormatting>
  <conditionalFormatting sqref="C27">
    <cfRule type="expression" dxfId="9367" priority="643">
      <formula>(ISNUMBER(SEARCH("CMW",$D14)))=TRUE</formula>
    </cfRule>
  </conditionalFormatting>
  <conditionalFormatting sqref="C31">
    <cfRule type="containsText" dxfId="9366" priority="618" operator="containsText" text="CONFIG">
      <formula>NOT(ISERROR(SEARCH("CONFIG",C31)))</formula>
    </cfRule>
  </conditionalFormatting>
  <conditionalFormatting sqref="C32">
    <cfRule type="containsText" dxfId="9365" priority="448" operator="containsText" text="LIGHT SELECTION">
      <formula>NOT(ISERROR(SEARCH("LIGHT SELECTION",C32)))</formula>
    </cfRule>
  </conditionalFormatting>
  <conditionalFormatting sqref="C37:C38">
    <cfRule type="cellIs" dxfId="9362" priority="617" operator="lessThan">
      <formula>1</formula>
    </cfRule>
  </conditionalFormatting>
  <conditionalFormatting sqref="C39:C40">
    <cfRule type="expression" dxfId="9361" priority="399">
      <formula>D39="WW PODS"</formula>
    </cfRule>
  </conditionalFormatting>
  <conditionalFormatting sqref="C41">
    <cfRule type="expression" dxfId="9360" priority="632">
      <formula>ISNUMBER(SEARCH("UV",D31))</formula>
    </cfRule>
  </conditionalFormatting>
  <conditionalFormatting sqref="C42">
    <cfRule type="expression" dxfId="9359" priority="615">
      <formula>(ISNUMBER(SEARCH("CMW",D31)))=TRUE</formula>
    </cfRule>
  </conditionalFormatting>
  <conditionalFormatting sqref="C43">
    <cfRule type="expression" dxfId="9358" priority="480">
      <formula>(ISNUMBER(SEARCH("CMW",D31)))=TRUE</formula>
    </cfRule>
  </conditionalFormatting>
  <conditionalFormatting sqref="C44">
    <cfRule type="expression" dxfId="9357" priority="610">
      <formula>(ISNUMBER(SEARCH("CMW",$D31)))=TRUE</formula>
    </cfRule>
  </conditionalFormatting>
  <conditionalFormatting sqref="C48">
    <cfRule type="containsText" dxfId="9356" priority="587" operator="containsText" text="CONFIG">
      <formula>NOT(ISERROR(SEARCH("CONFIG",C48)))</formula>
    </cfRule>
  </conditionalFormatting>
  <conditionalFormatting sqref="C49">
    <cfRule type="containsText" dxfId="9355" priority="445" operator="containsText" text="LIGHT SELECTION">
      <formula>NOT(ISERROR(SEARCH("LIGHT SELECTION",C49)))</formula>
    </cfRule>
  </conditionalFormatting>
  <conditionalFormatting sqref="C54:C55">
    <cfRule type="cellIs" dxfId="9352" priority="586" operator="lessThan">
      <formula>1</formula>
    </cfRule>
  </conditionalFormatting>
  <conditionalFormatting sqref="C56:C57">
    <cfRule type="expression" dxfId="9351" priority="373">
      <formula>D56="WW PODS"</formula>
    </cfRule>
  </conditionalFormatting>
  <conditionalFormatting sqref="C58">
    <cfRule type="expression" dxfId="9350" priority="600">
      <formula>ISNUMBER(SEARCH("UV",D48))</formula>
    </cfRule>
  </conditionalFormatting>
  <conditionalFormatting sqref="C59">
    <cfRule type="expression" dxfId="9349" priority="584">
      <formula>(ISNUMBER(SEARCH("CMW",D48)))=TRUE</formula>
    </cfRule>
  </conditionalFormatting>
  <conditionalFormatting sqref="C60">
    <cfRule type="expression" dxfId="9348" priority="479">
      <formula>(ISNUMBER(SEARCH("CMW",D48)))=TRUE</formula>
    </cfRule>
  </conditionalFormatting>
  <conditionalFormatting sqref="C61">
    <cfRule type="expression" dxfId="9347" priority="579">
      <formula>(ISNUMBER(SEARCH("CMW",$D48)))=TRUE</formula>
    </cfRule>
  </conditionalFormatting>
  <conditionalFormatting sqref="C65">
    <cfRule type="containsText" dxfId="9346" priority="557" operator="containsText" text="CONFIG">
      <formula>NOT(ISERROR(SEARCH("CONFIG",C65)))</formula>
    </cfRule>
  </conditionalFormatting>
  <conditionalFormatting sqref="C66">
    <cfRule type="containsText" dxfId="9345" priority="444" operator="containsText" text="LIGHT SELECTION">
      <formula>NOT(ISERROR(SEARCH("LIGHT SELECTION",C66)))</formula>
    </cfRule>
  </conditionalFormatting>
  <conditionalFormatting sqref="C71:C72">
    <cfRule type="cellIs" dxfId="9342" priority="556" operator="lessThan">
      <formula>1</formula>
    </cfRule>
  </conditionalFormatting>
  <conditionalFormatting sqref="C73:C74">
    <cfRule type="expression" dxfId="9341" priority="347">
      <formula>D73="WW PODS"</formula>
    </cfRule>
  </conditionalFormatting>
  <conditionalFormatting sqref="C75">
    <cfRule type="expression" dxfId="9340" priority="570">
      <formula>ISNUMBER(SEARCH("UV",D65))</formula>
    </cfRule>
  </conditionalFormatting>
  <conditionalFormatting sqref="C76">
    <cfRule type="expression" dxfId="9339" priority="553">
      <formula>(ISNUMBER(SEARCH("CMW",D65)))=TRUE</formula>
    </cfRule>
  </conditionalFormatting>
  <conditionalFormatting sqref="C77">
    <cfRule type="expression" dxfId="9338" priority="478">
      <formula>(ISNUMBER(SEARCH("CMW",D65)))=TRUE</formula>
    </cfRule>
  </conditionalFormatting>
  <conditionalFormatting sqref="C78">
    <cfRule type="expression" dxfId="9337" priority="548">
      <formula>(ISNUMBER(SEARCH("CMW",$D65)))=TRUE</formula>
    </cfRule>
  </conditionalFormatting>
  <conditionalFormatting sqref="C82">
    <cfRule type="containsText" dxfId="9336" priority="525" operator="containsText" text="CONFIG">
      <formula>NOT(ISERROR(SEARCH("CONFIG",C82)))</formula>
    </cfRule>
  </conditionalFormatting>
  <conditionalFormatting sqref="C83">
    <cfRule type="containsText" dxfId="9335" priority="443" operator="containsText" text="LIGHT SELECTION">
      <formula>NOT(ISERROR(SEARCH("LIGHT SELECTION",C83)))</formula>
    </cfRule>
  </conditionalFormatting>
  <conditionalFormatting sqref="C88:C89">
    <cfRule type="cellIs" dxfId="9332" priority="524" operator="lessThan">
      <formula>1</formula>
    </cfRule>
  </conditionalFormatting>
  <conditionalFormatting sqref="C90:C91">
    <cfRule type="expression" dxfId="9331" priority="321">
      <formula>D90="WW PODS"</formula>
    </cfRule>
  </conditionalFormatting>
  <conditionalFormatting sqref="C92">
    <cfRule type="expression" dxfId="9330" priority="539">
      <formula>ISNUMBER(SEARCH("UV",D82))</formula>
    </cfRule>
  </conditionalFormatting>
  <conditionalFormatting sqref="C93">
    <cfRule type="expression" dxfId="9329" priority="521">
      <formula>(ISNUMBER(SEARCH("CMW",D82)))=TRUE</formula>
    </cfRule>
  </conditionalFormatting>
  <conditionalFormatting sqref="C94">
    <cfRule type="expression" dxfId="9328" priority="477">
      <formula>(ISNUMBER(SEARCH("CMW",D82)))=TRUE</formula>
    </cfRule>
  </conditionalFormatting>
  <conditionalFormatting sqref="C95">
    <cfRule type="expression" dxfId="9327" priority="516">
      <formula>(ISNUMBER(SEARCH("CMW",$D82)))=TRUE</formula>
    </cfRule>
  </conditionalFormatting>
  <conditionalFormatting sqref="C99">
    <cfRule type="containsText" dxfId="9326" priority="493" operator="containsText" text="CONFIG">
      <formula>NOT(ISERROR(SEARCH("CONFIG",C99)))</formula>
    </cfRule>
  </conditionalFormatting>
  <conditionalFormatting sqref="C100">
    <cfRule type="containsText" dxfId="9325" priority="442" operator="containsText" text="LIGHT SELECTION">
      <formula>NOT(ISERROR(SEARCH("LIGHT SELECTION",C100)))</formula>
    </cfRule>
  </conditionalFormatting>
  <conditionalFormatting sqref="C105:C106">
    <cfRule type="cellIs" dxfId="9322" priority="492" operator="lessThan">
      <formula>1</formula>
    </cfRule>
  </conditionalFormatting>
  <conditionalFormatting sqref="C107:C108">
    <cfRule type="expression" dxfId="9321" priority="295">
      <formula>D107="WW PODS"</formula>
    </cfRule>
  </conditionalFormatting>
  <conditionalFormatting sqref="C109">
    <cfRule type="expression" dxfId="9320" priority="507">
      <formula>ISNUMBER(SEARCH("UV",D99))</formula>
    </cfRule>
  </conditionalFormatting>
  <conditionalFormatting sqref="C110">
    <cfRule type="expression" dxfId="9319" priority="490">
      <formula>(ISNUMBER(SEARCH("CMW",D99)))=TRUE</formula>
    </cfRule>
  </conditionalFormatting>
  <conditionalFormatting sqref="C111">
    <cfRule type="expression" dxfId="9318" priority="476">
      <formula>(ISNUMBER(SEARCH("CMW",D99)))=TRUE</formula>
    </cfRule>
  </conditionalFormatting>
  <conditionalFormatting sqref="C112 C129 C146 C163 C180">
    <cfRule type="expression" dxfId="9317" priority="485">
      <formula>(ISNUMBER(SEARCH("CMW",$D99)))=TRUE</formula>
    </cfRule>
  </conditionalFormatting>
  <conditionalFormatting sqref="C116">
    <cfRule type="containsText" dxfId="9316" priority="269" operator="containsText" text="CONFIG">
      <formula>NOT(ISERROR(SEARCH("CONFIG",C116)))</formula>
    </cfRule>
  </conditionalFormatting>
  <conditionalFormatting sqref="C117">
    <cfRule type="containsText" dxfId="9315" priority="253" operator="containsText" text="LIGHT SELECTION">
      <formula>NOT(ISERROR(SEARCH("LIGHT SELECTION",C117)))</formula>
    </cfRule>
  </conditionalFormatting>
  <conditionalFormatting sqref="C122:C123">
    <cfRule type="cellIs" dxfId="9312" priority="268" operator="lessThan">
      <formula>1</formula>
    </cfRule>
  </conditionalFormatting>
  <conditionalFormatting sqref="C124:C125">
    <cfRule type="expression" dxfId="9311" priority="230">
      <formula>D124="WW PODS"</formula>
    </cfRule>
  </conditionalFormatting>
  <conditionalFormatting sqref="C126">
    <cfRule type="expression" dxfId="9310" priority="283">
      <formula>ISNUMBER(SEARCH("UV",D116))</formula>
    </cfRule>
  </conditionalFormatting>
  <conditionalFormatting sqref="C127">
    <cfRule type="expression" dxfId="9309" priority="266">
      <formula>(ISNUMBER(SEARCH("CMW",D116)))=TRUE</formula>
    </cfRule>
  </conditionalFormatting>
  <conditionalFormatting sqref="C128">
    <cfRule type="expression" dxfId="9308" priority="258">
      <formula>(ISNUMBER(SEARCH("CMW",D116)))=TRUE</formula>
    </cfRule>
  </conditionalFormatting>
  <conditionalFormatting sqref="C133">
    <cfRule type="containsText" dxfId="9307" priority="200" operator="containsText" text="CONFIG">
      <formula>NOT(ISERROR(SEARCH("CONFIG",C133)))</formula>
    </cfRule>
  </conditionalFormatting>
  <conditionalFormatting sqref="C134">
    <cfRule type="containsText" dxfId="9306" priority="184" operator="containsText" text="LIGHT SELECTION">
      <formula>NOT(ISERROR(SEARCH("LIGHT SELECTION",C134)))</formula>
    </cfRule>
  </conditionalFormatting>
  <conditionalFormatting sqref="C139:C140">
    <cfRule type="cellIs" dxfId="9303" priority="199" operator="lessThan">
      <formula>1</formula>
    </cfRule>
  </conditionalFormatting>
  <conditionalFormatting sqref="C141:C142">
    <cfRule type="expression" dxfId="9302" priority="167">
      <formula>D141="WW PODS"</formula>
    </cfRule>
  </conditionalFormatting>
  <conditionalFormatting sqref="C143">
    <cfRule type="expression" dxfId="9301" priority="214">
      <formula>ISNUMBER(SEARCH("UV",D133))</formula>
    </cfRule>
  </conditionalFormatting>
  <conditionalFormatting sqref="C144">
    <cfRule type="expression" dxfId="9300" priority="197">
      <formula>(ISNUMBER(SEARCH("CMW",D133)))=TRUE</formula>
    </cfRule>
  </conditionalFormatting>
  <conditionalFormatting sqref="C145">
    <cfRule type="expression" dxfId="9299" priority="189">
      <formula>(ISNUMBER(SEARCH("CMW",D133)))=TRUE</formula>
    </cfRule>
  </conditionalFormatting>
  <conditionalFormatting sqref="C150">
    <cfRule type="containsText" dxfId="9298" priority="145" operator="containsText" text="CONFIG">
      <formula>NOT(ISERROR(SEARCH("CONFIG",C150)))</formula>
    </cfRule>
  </conditionalFormatting>
  <conditionalFormatting sqref="C151">
    <cfRule type="containsText" dxfId="9297" priority="129" operator="containsText" text="LIGHT SELECTION">
      <formula>NOT(ISERROR(SEARCH("LIGHT SELECTION",C151)))</formula>
    </cfRule>
  </conditionalFormatting>
  <conditionalFormatting sqref="C156:C157">
    <cfRule type="cellIs" dxfId="9294" priority="144" operator="lessThan">
      <formula>1</formula>
    </cfRule>
  </conditionalFormatting>
  <conditionalFormatting sqref="C158:C159">
    <cfRule type="expression" dxfId="9293" priority="112">
      <formula>D158="WW PODS"</formula>
    </cfRule>
  </conditionalFormatting>
  <conditionalFormatting sqref="C160">
    <cfRule type="expression" dxfId="9292" priority="159">
      <formula>ISNUMBER(SEARCH("UV",D150))</formula>
    </cfRule>
  </conditionalFormatting>
  <conditionalFormatting sqref="C161">
    <cfRule type="expression" dxfId="9291" priority="142">
      <formula>(ISNUMBER(SEARCH("CMW",D150)))=TRUE</formula>
    </cfRule>
  </conditionalFormatting>
  <conditionalFormatting sqref="C162">
    <cfRule type="expression" dxfId="9290" priority="134">
      <formula>(ISNUMBER(SEARCH("CMW",D150)))=TRUE</formula>
    </cfRule>
  </conditionalFormatting>
  <conditionalFormatting sqref="C167">
    <cfRule type="containsText" dxfId="9289" priority="90" operator="containsText" text="CONFIG">
      <formula>NOT(ISERROR(SEARCH("CONFIG",C167)))</formula>
    </cfRule>
  </conditionalFormatting>
  <conditionalFormatting sqref="C168">
    <cfRule type="containsText" dxfId="9288" priority="74" operator="containsText" text="LIGHT SELECTION">
      <formula>NOT(ISERROR(SEARCH("LIGHT SELECTION",C168)))</formula>
    </cfRule>
  </conditionalFormatting>
  <conditionalFormatting sqref="C173:C174">
    <cfRule type="cellIs" dxfId="9285" priority="89" operator="lessThan">
      <formula>1</formula>
    </cfRule>
  </conditionalFormatting>
  <conditionalFormatting sqref="C175:C176">
    <cfRule type="expression" dxfId="9284" priority="57">
      <formula>D175="WW PODS"</formula>
    </cfRule>
  </conditionalFormatting>
  <conditionalFormatting sqref="C177">
    <cfRule type="expression" dxfId="9283" priority="104">
      <formula>ISNUMBER(SEARCH("UV",D167))</formula>
    </cfRule>
  </conditionalFormatting>
  <conditionalFormatting sqref="C178">
    <cfRule type="expression" dxfId="9282" priority="87">
      <formula>(ISNUMBER(SEARCH("CMW",D167)))=TRUE</formula>
    </cfRule>
  </conditionalFormatting>
  <conditionalFormatting sqref="C179">
    <cfRule type="expression" dxfId="9281" priority="79">
      <formula>(ISNUMBER(SEARCH("CMW",D167)))=TRUE</formula>
    </cfRule>
  </conditionalFormatting>
  <conditionalFormatting sqref="C183:C184">
    <cfRule type="cellIs" dxfId="9280" priority="695" operator="lessThan">
      <formula>1</formula>
    </cfRule>
  </conditionalFormatting>
  <conditionalFormatting sqref="C185">
    <cfRule type="cellIs" dxfId="9279" priority="684" operator="lessThan">
      <formula>1</formula>
    </cfRule>
  </conditionalFormatting>
  <conditionalFormatting sqref="C186:C197">
    <cfRule type="cellIs" dxfId="9278" priority="224" operator="lessThan">
      <formula>1</formula>
    </cfRule>
  </conditionalFormatting>
  <conditionalFormatting sqref="C9:D9">
    <cfRule type="cellIs" dxfId="9277" priority="685" operator="lessThan">
      <formula>0</formula>
    </cfRule>
    <cfRule type="cellIs" dxfId="9276" priority="686" operator="greaterThan">
      <formula>0</formula>
    </cfRule>
  </conditionalFormatting>
  <conditionalFormatting sqref="D14">
    <cfRule type="containsText" dxfId="9275" priority="696" operator="containsText" text="CANOPY TYPE">
      <formula>NOT(ISERROR(SEARCH("CANOPY TYPE",D14)))</formula>
    </cfRule>
  </conditionalFormatting>
  <conditionalFormatting sqref="D15">
    <cfRule type="expression" dxfId="9274" priority="437">
      <formula>(C15="LIGHT SELECTION")</formula>
    </cfRule>
  </conditionalFormatting>
  <conditionalFormatting sqref="D16:D18">
    <cfRule type="expression" dxfId="9273" priority="651">
      <formula>($C16="SELECT WORKS")</formula>
    </cfRule>
  </conditionalFormatting>
  <conditionalFormatting sqref="D19">
    <cfRule type="expression" dxfId="9272" priority="223">
      <formula>$C19="SELECT CLADDING"</formula>
    </cfRule>
  </conditionalFormatting>
  <conditionalFormatting sqref="D22:D23">
    <cfRule type="expression" dxfId="9271" priority="420">
      <formula>($D$14="CANOPY TYPE")</formula>
    </cfRule>
  </conditionalFormatting>
  <conditionalFormatting sqref="D24">
    <cfRule type="expression" dxfId="9270" priority="709">
      <formula>ISNUMBER(SEARCH("UV",D14))</formula>
    </cfRule>
  </conditionalFormatting>
  <conditionalFormatting sqref="D25">
    <cfRule type="expression" dxfId="9269" priority="637">
      <formula>($D$14="CANOPY TYPE")</formula>
    </cfRule>
  </conditionalFormatting>
  <conditionalFormatting sqref="D26">
    <cfRule type="expression" dxfId="9268" priority="659">
      <formula>(ISNUMBER(SEARCH("CMW",D14)))=TRUE</formula>
    </cfRule>
  </conditionalFormatting>
  <conditionalFormatting sqref="D31">
    <cfRule type="containsText" dxfId="9267" priority="619" operator="containsText" text="CANOPY TYPE">
      <formula>NOT(ISERROR(SEARCH("CANOPY TYPE",D31)))</formula>
    </cfRule>
  </conditionalFormatting>
  <conditionalFormatting sqref="D32">
    <cfRule type="expression" dxfId="9266" priority="450">
      <formula>(C32="LIGHT SELECTION")</formula>
    </cfRule>
  </conditionalFormatting>
  <conditionalFormatting sqref="D34:D35">
    <cfRule type="expression" dxfId="9265" priority="612">
      <formula>($C34="SELECT WORKS")</formula>
    </cfRule>
  </conditionalFormatting>
  <conditionalFormatting sqref="D36">
    <cfRule type="expression" dxfId="9264" priority="429">
      <formula>$C36="SELECT CLADDING"</formula>
    </cfRule>
  </conditionalFormatting>
  <conditionalFormatting sqref="D39:D40">
    <cfRule type="expression" dxfId="9263" priority="394">
      <formula>($D$14="CANOPY TYPE")</formula>
    </cfRule>
  </conditionalFormatting>
  <conditionalFormatting sqref="D41">
    <cfRule type="expression" dxfId="9262" priority="631">
      <formula>ISNUMBER(SEARCH("UV",D31))</formula>
    </cfRule>
  </conditionalFormatting>
  <conditionalFormatting sqref="D42">
    <cfRule type="expression" dxfId="9261" priority="605">
      <formula>($D$14="CANOPY TYPE")</formula>
    </cfRule>
  </conditionalFormatting>
  <conditionalFormatting sqref="D43">
    <cfRule type="expression" dxfId="9260" priority="614">
      <formula>(ISNUMBER(SEARCH("CMW",D31)))=TRUE</formula>
    </cfRule>
  </conditionalFormatting>
  <conditionalFormatting sqref="D48">
    <cfRule type="containsText" dxfId="9259" priority="432" operator="containsText" text="CANOPY TYPE">
      <formula>NOT(ISERROR(SEARCH("CANOPY TYPE",D48)))</formula>
    </cfRule>
  </conditionalFormatting>
  <conditionalFormatting sqref="D49">
    <cfRule type="expression" dxfId="9258" priority="447">
      <formula>(C15="LIGHT SELECTION")</formula>
    </cfRule>
  </conditionalFormatting>
  <conditionalFormatting sqref="D51:D52">
    <cfRule type="expression" dxfId="9257" priority="581">
      <formula>($C51="SELECT WORKS")</formula>
    </cfRule>
  </conditionalFormatting>
  <conditionalFormatting sqref="D53">
    <cfRule type="expression" dxfId="9256" priority="430">
      <formula>$C53="SELECT CLADDING"</formula>
    </cfRule>
  </conditionalFormatting>
  <conditionalFormatting sqref="D56:D57">
    <cfRule type="expression" dxfId="9255" priority="368">
      <formula>($D$14="CANOPY TYPE")</formula>
    </cfRule>
  </conditionalFormatting>
  <conditionalFormatting sqref="D58">
    <cfRule type="expression" dxfId="9254" priority="599">
      <formula>ISNUMBER(SEARCH("UV",D48))</formula>
    </cfRule>
  </conditionalFormatting>
  <conditionalFormatting sqref="D59">
    <cfRule type="expression" dxfId="9253" priority="575">
      <formula>($D$14="CANOPY TYPE")</formula>
    </cfRule>
  </conditionalFormatting>
  <conditionalFormatting sqref="D60">
    <cfRule type="expression" dxfId="9252" priority="583">
      <formula>(ISNUMBER(SEARCH("CMW",D48)))=TRUE</formula>
    </cfRule>
  </conditionalFormatting>
  <conditionalFormatting sqref="D65">
    <cfRule type="containsText" dxfId="9251" priority="431" operator="containsText" text="CANOPY TYPE">
      <formula>NOT(ISERROR(SEARCH("CANOPY TYPE",D65)))</formula>
    </cfRule>
  </conditionalFormatting>
  <conditionalFormatting sqref="D66">
    <cfRule type="expression" dxfId="9250" priority="440">
      <formula>(C66="LIGHT SELECTION")</formula>
    </cfRule>
  </conditionalFormatting>
  <conditionalFormatting sqref="D68:D69">
    <cfRule type="expression" dxfId="9249" priority="550">
      <formula>($C68="SELECT WORKS")</formula>
    </cfRule>
  </conditionalFormatting>
  <conditionalFormatting sqref="D70">
    <cfRule type="expression" dxfId="9248" priority="554">
      <formula>$C70="SELECT CLADDING"</formula>
    </cfRule>
  </conditionalFormatting>
  <conditionalFormatting sqref="D73:D74">
    <cfRule type="expression" dxfId="9247" priority="342">
      <formula>($D$14="CANOPY TYPE")</formula>
    </cfRule>
  </conditionalFormatting>
  <conditionalFormatting sqref="D75">
    <cfRule type="expression" dxfId="9246" priority="569">
      <formula>ISNUMBER(SEARCH("UV",D65))</formula>
    </cfRule>
  </conditionalFormatting>
  <conditionalFormatting sqref="D76">
    <cfRule type="expression" dxfId="9245" priority="544">
      <formula>($D$14="CANOPY TYPE")</formula>
    </cfRule>
  </conditionalFormatting>
  <conditionalFormatting sqref="D77">
    <cfRule type="expression" dxfId="9244" priority="552">
      <formula>(ISNUMBER(SEARCH("CMW",D65)))=TRUE</formula>
    </cfRule>
  </conditionalFormatting>
  <conditionalFormatting sqref="D82">
    <cfRule type="containsText" dxfId="9243" priority="526" operator="containsText" text="CANOPY TYPE">
      <formula>NOT(ISERROR(SEARCH("CANOPY TYPE",D82)))</formula>
    </cfRule>
  </conditionalFormatting>
  <conditionalFormatting sqref="D83">
    <cfRule type="expression" dxfId="9242" priority="439">
      <formula>(C83="LIGHT SELECTION")</formula>
    </cfRule>
  </conditionalFormatting>
  <conditionalFormatting sqref="D85:D86">
    <cfRule type="expression" dxfId="9241" priority="518">
      <formula>($C85="SELECT WORKS")</formula>
    </cfRule>
  </conditionalFormatting>
  <conditionalFormatting sqref="D87">
    <cfRule type="expression" dxfId="9240" priority="522">
      <formula>$C87="SELECT CLADDING"</formula>
    </cfRule>
  </conditionalFormatting>
  <conditionalFormatting sqref="D90:D91">
    <cfRule type="expression" dxfId="9239" priority="316">
      <formula>($D$14="CANOPY TYPE")</formula>
    </cfRule>
  </conditionalFormatting>
  <conditionalFormatting sqref="D92">
    <cfRule type="expression" dxfId="9238" priority="538">
      <formula>ISNUMBER(SEARCH("UV",D82))</formula>
    </cfRule>
  </conditionalFormatting>
  <conditionalFormatting sqref="D93">
    <cfRule type="expression" dxfId="9237" priority="512">
      <formula>($D$14="CANOPY TYPE")</formula>
    </cfRule>
  </conditionalFormatting>
  <conditionalFormatting sqref="D94">
    <cfRule type="expression" dxfId="9236" priority="520">
      <formula>(ISNUMBER(SEARCH("CMW",D82)))=TRUE</formula>
    </cfRule>
  </conditionalFormatting>
  <conditionalFormatting sqref="D99">
    <cfRule type="containsText" dxfId="9235" priority="494" operator="containsText" text="CANOPY TYPE">
      <formula>NOT(ISERROR(SEARCH("CANOPY TYPE",D99)))</formula>
    </cfRule>
  </conditionalFormatting>
  <conditionalFormatting sqref="D100">
    <cfRule type="expression" dxfId="9234" priority="438">
      <formula>(C100="LIGHT SELECTION")</formula>
    </cfRule>
  </conditionalFormatting>
  <conditionalFormatting sqref="D102:D103">
    <cfRule type="expression" dxfId="9233" priority="487">
      <formula>($C102="SELECT WORKS")</formula>
    </cfRule>
  </conditionalFormatting>
  <conditionalFormatting sqref="D104">
    <cfRule type="expression" dxfId="9232" priority="428">
      <formula>$C104="SELECT CLADDING"</formula>
    </cfRule>
  </conditionalFormatting>
  <conditionalFormatting sqref="D107:D108">
    <cfRule type="expression" dxfId="9231" priority="290">
      <formula>($D$14="CANOPY TYPE")</formula>
    </cfRule>
  </conditionalFormatting>
  <conditionalFormatting sqref="D109">
    <cfRule type="expression" dxfId="9230" priority="506">
      <formula>ISNUMBER(SEARCH("UV",D99))</formula>
    </cfRule>
  </conditionalFormatting>
  <conditionalFormatting sqref="D110">
    <cfRule type="expression" dxfId="9229" priority="481">
      <formula>($D$14="CANOPY TYPE")</formula>
    </cfRule>
  </conditionalFormatting>
  <conditionalFormatting sqref="D111">
    <cfRule type="expression" dxfId="9228" priority="489">
      <formula>(ISNUMBER(SEARCH("CMW",D99)))=TRUE</formula>
    </cfRule>
  </conditionalFormatting>
  <conditionalFormatting sqref="D116">
    <cfRule type="containsText" dxfId="9227" priority="270" operator="containsText" text="CANOPY TYPE">
      <formula>NOT(ISERROR(SEARCH("CANOPY TYPE",D116)))</formula>
    </cfRule>
  </conditionalFormatting>
  <conditionalFormatting sqref="D117">
    <cfRule type="expression" dxfId="9226" priority="252">
      <formula>(C117="LIGHT SELECTION")</formula>
    </cfRule>
  </conditionalFormatting>
  <conditionalFormatting sqref="D119:D120">
    <cfRule type="expression" dxfId="9225" priority="263">
      <formula>($C119="SELECT WORKS")</formula>
    </cfRule>
  </conditionalFormatting>
  <conditionalFormatting sqref="D121">
    <cfRule type="expression" dxfId="9224" priority="251">
      <formula>$C121="SELECT CLADDING"</formula>
    </cfRule>
  </conditionalFormatting>
  <conditionalFormatting sqref="D124:D125">
    <cfRule type="expression" dxfId="9223" priority="225">
      <formula>($D$14="CANOPY TYPE")</formula>
    </cfRule>
  </conditionalFormatting>
  <conditionalFormatting sqref="D126">
    <cfRule type="expression" dxfId="9222" priority="282">
      <formula>ISNUMBER(SEARCH("UV",D116))</formula>
    </cfRule>
  </conditionalFormatting>
  <conditionalFormatting sqref="D127">
    <cfRule type="expression" dxfId="9221" priority="259">
      <formula>($D$14="CANOPY TYPE")</formula>
    </cfRule>
  </conditionalFormatting>
  <conditionalFormatting sqref="D128">
    <cfRule type="expression" dxfId="9220" priority="265">
      <formula>(ISNUMBER(SEARCH("CMW",D116)))=TRUE</formula>
    </cfRule>
  </conditionalFormatting>
  <conditionalFormatting sqref="D133">
    <cfRule type="containsText" dxfId="9219" priority="201" operator="containsText" text="CANOPY TYPE">
      <formula>NOT(ISERROR(SEARCH("CANOPY TYPE",D133)))</formula>
    </cfRule>
  </conditionalFormatting>
  <conditionalFormatting sqref="D134">
    <cfRule type="expression" dxfId="9218" priority="183">
      <formula>(C134="LIGHT SELECTION")</formula>
    </cfRule>
  </conditionalFormatting>
  <conditionalFormatting sqref="D136:D137">
    <cfRule type="expression" dxfId="9217" priority="194">
      <formula>($C136="SELECT WORKS")</formula>
    </cfRule>
  </conditionalFormatting>
  <conditionalFormatting sqref="D138">
    <cfRule type="expression" dxfId="9216" priority="182">
      <formula>$C138="SELECT CLADDING"</formula>
    </cfRule>
  </conditionalFormatting>
  <conditionalFormatting sqref="D141:D142">
    <cfRule type="expression" dxfId="9215" priority="166">
      <formula>($D$14="CANOPY TYPE")</formula>
    </cfRule>
  </conditionalFormatting>
  <conditionalFormatting sqref="D143">
    <cfRule type="expression" dxfId="9214" priority="213">
      <formula>ISNUMBER(SEARCH("UV",D133))</formula>
    </cfRule>
  </conditionalFormatting>
  <conditionalFormatting sqref="D144">
    <cfRule type="expression" dxfId="9213" priority="190">
      <formula>($D$14="CANOPY TYPE")</formula>
    </cfRule>
  </conditionalFormatting>
  <conditionalFormatting sqref="D145">
    <cfRule type="expression" dxfId="9212" priority="196">
      <formula>(ISNUMBER(SEARCH("CMW",D133)))=TRUE</formula>
    </cfRule>
  </conditionalFormatting>
  <conditionalFormatting sqref="D150">
    <cfRule type="containsText" dxfId="9211" priority="146" operator="containsText" text="CANOPY TYPE">
      <formula>NOT(ISERROR(SEARCH("CANOPY TYPE",D150)))</formula>
    </cfRule>
  </conditionalFormatting>
  <conditionalFormatting sqref="D151">
    <cfRule type="expression" dxfId="9210" priority="128">
      <formula>(C151="LIGHT SELECTION")</formula>
    </cfRule>
  </conditionalFormatting>
  <conditionalFormatting sqref="D153:D154">
    <cfRule type="expression" dxfId="9209" priority="139">
      <formula>($C153="SELECT WORKS")</formula>
    </cfRule>
  </conditionalFormatting>
  <conditionalFormatting sqref="D155">
    <cfRule type="expression" dxfId="9208" priority="127">
      <formula>$C155="SELECT CLADDING"</formula>
    </cfRule>
  </conditionalFormatting>
  <conditionalFormatting sqref="D158:D159">
    <cfRule type="expression" dxfId="9207" priority="111">
      <formula>($D$14="CANOPY TYPE")</formula>
    </cfRule>
  </conditionalFormatting>
  <conditionalFormatting sqref="D160">
    <cfRule type="expression" dxfId="9206" priority="158">
      <formula>ISNUMBER(SEARCH("UV",D150))</formula>
    </cfRule>
  </conditionalFormatting>
  <conditionalFormatting sqref="D161">
    <cfRule type="expression" dxfId="9205" priority="135">
      <formula>($D$14="CANOPY TYPE")</formula>
    </cfRule>
  </conditionalFormatting>
  <conditionalFormatting sqref="D162">
    <cfRule type="expression" dxfId="9204" priority="141">
      <formula>(ISNUMBER(SEARCH("CMW",D150)))=TRUE</formula>
    </cfRule>
  </conditionalFormatting>
  <conditionalFormatting sqref="D167">
    <cfRule type="containsText" dxfId="9203" priority="91" operator="containsText" text="CANOPY TYPE">
      <formula>NOT(ISERROR(SEARCH("CANOPY TYPE",D167)))</formula>
    </cfRule>
  </conditionalFormatting>
  <conditionalFormatting sqref="D168">
    <cfRule type="expression" dxfId="9202" priority="73">
      <formula>(C168="LIGHT SELECTION")</formula>
    </cfRule>
  </conditionalFormatting>
  <conditionalFormatting sqref="D170:D171">
    <cfRule type="expression" dxfId="9201" priority="84">
      <formula>($C170="SELECT WORKS")</formula>
    </cfRule>
  </conditionalFormatting>
  <conditionalFormatting sqref="D172">
    <cfRule type="expression" dxfId="9200" priority="72">
      <formula>$C172="SELECT CLADDING"</formula>
    </cfRule>
  </conditionalFormatting>
  <conditionalFormatting sqref="D175:D176">
    <cfRule type="expression" dxfId="9199" priority="56">
      <formula>($D$14="CANOPY TYPE")</formula>
    </cfRule>
  </conditionalFormatting>
  <conditionalFormatting sqref="D177">
    <cfRule type="expression" dxfId="9198" priority="103">
      <formula>ISNUMBER(SEARCH("UV",D167))</formula>
    </cfRule>
  </conditionalFormatting>
  <conditionalFormatting sqref="D178">
    <cfRule type="expression" dxfId="9197" priority="80">
      <formula>($D$14="CANOPY TYPE")</formula>
    </cfRule>
  </conditionalFormatting>
  <conditionalFormatting sqref="D179">
    <cfRule type="expression" dxfId="9196" priority="86">
      <formula>(ISNUMBER(SEARCH("CMW",D167)))=TRUE</formula>
    </cfRule>
  </conditionalFormatting>
  <conditionalFormatting sqref="E12">
    <cfRule type="expression" dxfId="9195" priority="706">
      <formula>AND((ISNUMBER(SEARCH("I-MUAP",$D$14))),E12&lt;2500)</formula>
    </cfRule>
    <cfRule type="expression" dxfId="9194" priority="707">
      <formula>ISNUMBER(SEARCH("I-MUAP",$D$14))</formula>
    </cfRule>
    <cfRule type="cellIs" dxfId="9193" priority="708" operator="greaterThan">
      <formula>2000</formula>
    </cfRule>
  </conditionalFormatting>
  <conditionalFormatting sqref="E15">
    <cfRule type="expression" dxfId="9192" priority="435">
      <formula>(C15="LIGHT SELECTION")</formula>
    </cfRule>
  </conditionalFormatting>
  <conditionalFormatting sqref="E16:E18">
    <cfRule type="expression" dxfId="9191" priority="55">
      <formula>$C16="SELECT WORKS"</formula>
    </cfRule>
  </conditionalFormatting>
  <conditionalFormatting sqref="E22:E23">
    <cfRule type="expression" dxfId="9190" priority="689">
      <formula>D22="WW PODS"</formula>
    </cfRule>
    <cfRule type="expression" dxfId="9189" priority="690">
      <formula>D22="FILTER TYPE"</formula>
    </cfRule>
    <cfRule type="expression" dxfId="9188" priority="691">
      <formula>D22="KSA"</formula>
    </cfRule>
    <cfRule type="expression" dxfId="9187" priority="711">
      <formula>(D14="CANOPY TYPE")</formula>
    </cfRule>
  </conditionalFormatting>
  <conditionalFormatting sqref="E24">
    <cfRule type="containsText" dxfId="9186" priority="698" operator="containsText" text="LONG ">
      <formula>NOT(ISERROR(SEARCH("LONG ",E24)))</formula>
    </cfRule>
  </conditionalFormatting>
  <conditionalFormatting sqref="E29">
    <cfRule type="expression" dxfId="9185" priority="628">
      <formula>AND((ISNUMBER(SEARCH("I-MUAP",$D$14))),E29&lt;2500)</formula>
    </cfRule>
    <cfRule type="expression" dxfId="9184" priority="629">
      <formula>ISNUMBER(SEARCH("I-MUAP",$D$14))</formula>
    </cfRule>
    <cfRule type="cellIs" dxfId="9183" priority="630" operator="greaterThan">
      <formula>2000</formula>
    </cfRule>
  </conditionalFormatting>
  <conditionalFormatting sqref="E34">
    <cfRule type="expression" dxfId="9182" priority="611">
      <formula>$C34="SELECT WORKS"</formula>
    </cfRule>
  </conditionalFormatting>
  <conditionalFormatting sqref="E39:E40">
    <cfRule type="expression" dxfId="9181" priority="407">
      <formula>D39="WW PODS"</formula>
    </cfRule>
    <cfRule type="expression" dxfId="9180" priority="408">
      <formula>D39="FILTER TYPE"</formula>
    </cfRule>
    <cfRule type="expression" dxfId="9179" priority="409">
      <formula>D39="KSA"</formula>
    </cfRule>
    <cfRule type="expression" dxfId="9178" priority="410">
      <formula>(D31="CANOPY TYPE")</formula>
    </cfRule>
  </conditionalFormatting>
  <conditionalFormatting sqref="E41">
    <cfRule type="containsText" dxfId="9177" priority="621" operator="containsText" text="LONG ">
      <formula>NOT(ISERROR(SEARCH("LONG ",E41)))</formula>
    </cfRule>
  </conditionalFormatting>
  <conditionalFormatting sqref="E46">
    <cfRule type="expression" dxfId="9176" priority="596">
      <formula>AND((ISNUMBER(SEARCH("I-MUAP",$D$14))),E46&lt;2500)</formula>
    </cfRule>
    <cfRule type="expression" dxfId="9175" priority="597">
      <formula>ISNUMBER(SEARCH("I-MUAP",$D$14))</formula>
    </cfRule>
    <cfRule type="cellIs" dxfId="9174" priority="598" operator="greaterThan">
      <formula>2000</formula>
    </cfRule>
  </conditionalFormatting>
  <conditionalFormatting sqref="E49">
    <cfRule type="expression" dxfId="9173" priority="449">
      <formula>(C49="LIGHT SELECTION")</formula>
    </cfRule>
  </conditionalFormatting>
  <conditionalFormatting sqref="E51:E52">
    <cfRule type="expression" dxfId="9172" priority="580">
      <formula>$C51="SELECT WORKS"</formula>
    </cfRule>
  </conditionalFormatting>
  <conditionalFormatting sqref="E56:E57">
    <cfRule type="expression" dxfId="9171" priority="381">
      <formula>D56="WW PODS"</formula>
    </cfRule>
    <cfRule type="expression" dxfId="9170" priority="382">
      <formula>D56="FILTER TYPE"</formula>
    </cfRule>
    <cfRule type="expression" dxfId="9169" priority="383">
      <formula>D56="KSA"</formula>
    </cfRule>
    <cfRule type="expression" dxfId="9168" priority="384">
      <formula>(D48="CANOPY TYPE")</formula>
    </cfRule>
  </conditionalFormatting>
  <conditionalFormatting sqref="E58">
    <cfRule type="containsText" dxfId="9167" priority="589" operator="containsText" text="LONG ">
      <formula>NOT(ISERROR(SEARCH("LONG ",E58)))</formula>
    </cfRule>
  </conditionalFormatting>
  <conditionalFormatting sqref="E63">
    <cfRule type="expression" dxfId="9166" priority="566">
      <formula>AND((ISNUMBER(SEARCH("I-MUAP",$D$14))),E63&lt;2500)</formula>
    </cfRule>
    <cfRule type="expression" dxfId="9165" priority="567">
      <formula>ISNUMBER(SEARCH("I-MUAP",$D$14))</formula>
    </cfRule>
    <cfRule type="cellIs" dxfId="9164" priority="568" operator="greaterThan">
      <formula>2000</formula>
    </cfRule>
  </conditionalFormatting>
  <conditionalFormatting sqref="E68:E69">
    <cfRule type="expression" dxfId="9163" priority="549">
      <formula>$C68="SELECT WORKS"</formula>
    </cfRule>
  </conditionalFormatting>
  <conditionalFormatting sqref="E73:E74">
    <cfRule type="expression" dxfId="9162" priority="355">
      <formula>D73="WW PODS"</formula>
    </cfRule>
    <cfRule type="expression" dxfId="9161" priority="356">
      <formula>D73="FILTER TYPE"</formula>
    </cfRule>
    <cfRule type="expression" dxfId="9160" priority="357">
      <formula>D73="KSA"</formula>
    </cfRule>
    <cfRule type="expression" dxfId="9159" priority="358">
      <formula>(D65="CANOPY TYPE")</formula>
    </cfRule>
  </conditionalFormatting>
  <conditionalFormatting sqref="E75">
    <cfRule type="containsText" dxfId="9158" priority="559" operator="containsText" text="LONG ">
      <formula>NOT(ISERROR(SEARCH("LONG ",E75)))</formula>
    </cfRule>
  </conditionalFormatting>
  <conditionalFormatting sqref="E80">
    <cfRule type="expression" dxfId="9157" priority="535">
      <formula>AND((ISNUMBER(SEARCH("I-MUAP",$D$14))),E80&lt;2500)</formula>
    </cfRule>
    <cfRule type="expression" dxfId="9156" priority="536">
      <formula>ISNUMBER(SEARCH("I-MUAP",$D$14))</formula>
    </cfRule>
    <cfRule type="cellIs" dxfId="9155" priority="537" operator="greaterThan">
      <formula>2000</formula>
    </cfRule>
  </conditionalFormatting>
  <conditionalFormatting sqref="E85:E86">
    <cfRule type="expression" dxfId="9154" priority="517">
      <formula>$C85="SELECT WORKS"</formula>
    </cfRule>
  </conditionalFormatting>
  <conditionalFormatting sqref="E90:E91">
    <cfRule type="expression" dxfId="9153" priority="329">
      <formula>D90="WW PODS"</formula>
    </cfRule>
    <cfRule type="expression" dxfId="9152" priority="330">
      <formula>D90="FILTER TYPE"</formula>
    </cfRule>
    <cfRule type="expression" dxfId="9151" priority="331">
      <formula>D90="KSA"</formula>
    </cfRule>
    <cfRule type="expression" dxfId="9150" priority="332">
      <formula>(D82="CANOPY TYPE")</formula>
    </cfRule>
  </conditionalFormatting>
  <conditionalFormatting sqref="E92">
    <cfRule type="containsText" dxfId="9149" priority="528" operator="containsText" text="LONG ">
      <formula>NOT(ISERROR(SEARCH("LONG ",E92)))</formula>
    </cfRule>
  </conditionalFormatting>
  <conditionalFormatting sqref="E97">
    <cfRule type="expression" dxfId="9148" priority="503">
      <formula>AND((ISNUMBER(SEARCH("I-MUAP",$D$14))),E97&lt;2500)</formula>
    </cfRule>
    <cfRule type="expression" dxfId="9147" priority="504">
      <formula>ISNUMBER(SEARCH("I-MUAP",$D$14))</formula>
    </cfRule>
    <cfRule type="cellIs" dxfId="9146" priority="505" operator="greaterThan">
      <formula>2000</formula>
    </cfRule>
  </conditionalFormatting>
  <conditionalFormatting sqref="E102:E103">
    <cfRule type="expression" dxfId="9145" priority="486">
      <formula>$C102="SELECT WORKS"</formula>
    </cfRule>
  </conditionalFormatting>
  <conditionalFormatting sqref="E107:E108">
    <cfRule type="expression" dxfId="9144" priority="303">
      <formula>D107="WW PODS"</formula>
    </cfRule>
    <cfRule type="expression" dxfId="9143" priority="304">
      <formula>D107="FILTER TYPE"</formula>
    </cfRule>
    <cfRule type="expression" dxfId="9142" priority="305">
      <formula>D107="KSA"</formula>
    </cfRule>
    <cfRule type="expression" dxfId="9141" priority="306">
      <formula>(D99="CANOPY TYPE")</formula>
    </cfRule>
  </conditionalFormatting>
  <conditionalFormatting sqref="E109">
    <cfRule type="containsText" dxfId="9140" priority="496" operator="containsText" text="LONG ">
      <formula>NOT(ISERROR(SEARCH("LONG ",E109)))</formula>
    </cfRule>
  </conditionalFormatting>
  <conditionalFormatting sqref="E114">
    <cfRule type="expression" dxfId="9139" priority="279">
      <formula>AND((ISNUMBER(SEARCH("I-MUAP",$D$14))),E114&lt;2500)</formula>
    </cfRule>
    <cfRule type="expression" dxfId="9138" priority="280">
      <formula>ISNUMBER(SEARCH("I-MUAP",$D$14))</formula>
    </cfRule>
    <cfRule type="cellIs" dxfId="9137" priority="281" operator="greaterThan">
      <formula>2000</formula>
    </cfRule>
  </conditionalFormatting>
  <conditionalFormatting sqref="E119:E120">
    <cfRule type="expression" dxfId="9136" priority="262">
      <formula>$C119="SELECT WORKS"</formula>
    </cfRule>
  </conditionalFormatting>
  <conditionalFormatting sqref="E124:E125">
    <cfRule type="expression" dxfId="9135" priority="238">
      <formula>D124="WW PODS"</formula>
    </cfRule>
    <cfRule type="expression" dxfId="9134" priority="239">
      <formula>D124="FILTER TYPE"</formula>
    </cfRule>
    <cfRule type="expression" dxfId="9133" priority="240">
      <formula>D124="KSA"</formula>
    </cfRule>
    <cfRule type="expression" dxfId="9132" priority="241">
      <formula>(D116="CANOPY TYPE")</formula>
    </cfRule>
  </conditionalFormatting>
  <conditionalFormatting sqref="E126">
    <cfRule type="containsText" dxfId="9131" priority="272" operator="containsText" text="LONG ">
      <formula>NOT(ISERROR(SEARCH("LONG ",E126)))</formula>
    </cfRule>
  </conditionalFormatting>
  <conditionalFormatting sqref="E131">
    <cfRule type="expression" dxfId="9130" priority="210">
      <formula>AND((ISNUMBER(SEARCH("I-MUAP",$D$14))),E131&lt;2500)</formula>
    </cfRule>
    <cfRule type="expression" dxfId="9129" priority="211">
      <formula>ISNUMBER(SEARCH("I-MUAP",$D$14))</formula>
    </cfRule>
    <cfRule type="cellIs" dxfId="9128" priority="212" operator="greaterThan">
      <formula>2000</formula>
    </cfRule>
  </conditionalFormatting>
  <conditionalFormatting sqref="E136:E137">
    <cfRule type="expression" dxfId="9127" priority="193">
      <formula>$C136="SELECT WORKS"</formula>
    </cfRule>
  </conditionalFormatting>
  <conditionalFormatting sqref="E141:E142">
    <cfRule type="expression" dxfId="9126" priority="169">
      <formula>D141="WW PODS"</formula>
    </cfRule>
    <cfRule type="expression" dxfId="9125" priority="170">
      <formula>D141="FILTER TYPE"</formula>
    </cfRule>
    <cfRule type="expression" dxfId="9124" priority="171">
      <formula>D141="KSA"</formula>
    </cfRule>
    <cfRule type="expression" dxfId="9123" priority="172">
      <formula>(D133="CANOPY TYPE")</formula>
    </cfRule>
  </conditionalFormatting>
  <conditionalFormatting sqref="E143">
    <cfRule type="containsText" dxfId="9122" priority="203" operator="containsText" text="LONG ">
      <formula>NOT(ISERROR(SEARCH("LONG ",E143)))</formula>
    </cfRule>
  </conditionalFormatting>
  <conditionalFormatting sqref="E148">
    <cfRule type="expression" dxfId="9121" priority="155">
      <formula>AND((ISNUMBER(SEARCH("I-MUAP",$D$14))),E148&lt;2500)</formula>
    </cfRule>
    <cfRule type="expression" dxfId="9120" priority="156">
      <formula>ISNUMBER(SEARCH("I-MUAP",$D$14))</formula>
    </cfRule>
    <cfRule type="cellIs" dxfId="9119" priority="157" operator="greaterThan">
      <formula>2000</formula>
    </cfRule>
  </conditionalFormatting>
  <conditionalFormatting sqref="E153:E154">
    <cfRule type="expression" dxfId="9118" priority="138">
      <formula>$C153="SELECT WORKS"</formula>
    </cfRule>
  </conditionalFormatting>
  <conditionalFormatting sqref="E158:E159">
    <cfRule type="expression" dxfId="9117" priority="114">
      <formula>D158="WW PODS"</formula>
    </cfRule>
    <cfRule type="expression" dxfId="9116" priority="115">
      <formula>D158="FILTER TYPE"</formula>
    </cfRule>
    <cfRule type="expression" dxfId="9115" priority="116">
      <formula>D158="KSA"</formula>
    </cfRule>
    <cfRule type="expression" dxfId="9114" priority="117">
      <formula>(D150="CANOPY TYPE")</formula>
    </cfRule>
  </conditionalFormatting>
  <conditionalFormatting sqref="E160">
    <cfRule type="containsText" dxfId="9113" priority="148" operator="containsText" text="LONG ">
      <formula>NOT(ISERROR(SEARCH("LONG ",E160)))</formula>
    </cfRule>
  </conditionalFormatting>
  <conditionalFormatting sqref="E165">
    <cfRule type="expression" dxfId="9112" priority="100">
      <formula>AND((ISNUMBER(SEARCH("I-MUAP",$D$14))),E165&lt;2500)</formula>
    </cfRule>
    <cfRule type="expression" dxfId="9111" priority="101">
      <formula>ISNUMBER(SEARCH("I-MUAP",$D$14))</formula>
    </cfRule>
    <cfRule type="cellIs" dxfId="9110" priority="102" operator="greaterThan">
      <formula>2000</formula>
    </cfRule>
  </conditionalFormatting>
  <conditionalFormatting sqref="E170:E171">
    <cfRule type="expression" dxfId="9109" priority="83">
      <formula>$C170="SELECT WORKS"</formula>
    </cfRule>
  </conditionalFormatting>
  <conditionalFormatting sqref="E175:E176">
    <cfRule type="expression" dxfId="9108" priority="59">
      <formula>D175="WW PODS"</formula>
    </cfRule>
    <cfRule type="expression" dxfId="9107" priority="60">
      <formula>D175="FILTER TYPE"</formula>
    </cfRule>
    <cfRule type="expression" dxfId="9106" priority="61">
      <formula>D175="KSA"</formula>
    </cfRule>
    <cfRule type="expression" dxfId="9105" priority="62">
      <formula>(D167="CANOPY TYPE")</formula>
    </cfRule>
  </conditionalFormatting>
  <conditionalFormatting sqref="E177">
    <cfRule type="containsText" dxfId="9104" priority="93" operator="containsText" text="LONG ">
      <formula>NOT(ISERROR(SEARCH("LONG ",E177)))</formula>
    </cfRule>
  </conditionalFormatting>
  <conditionalFormatting sqref="E12:F12">
    <cfRule type="cellIs" dxfId="9103" priority="702" operator="lessThan">
      <formula>1000</formula>
    </cfRule>
  </conditionalFormatting>
  <conditionalFormatting sqref="E14:F14">
    <cfRule type="cellIs" dxfId="9102" priority="699" operator="lessThan">
      <formula>1000</formula>
    </cfRule>
  </conditionalFormatting>
  <conditionalFormatting sqref="E25:F27">
    <cfRule type="expression" dxfId="9101" priority="638">
      <formula>($D$14="CANOPY TYPE")</formula>
    </cfRule>
  </conditionalFormatting>
  <conditionalFormatting sqref="E29:F29">
    <cfRule type="cellIs" dxfId="9100" priority="625" operator="lessThan">
      <formula>1000</formula>
    </cfRule>
  </conditionalFormatting>
  <conditionalFormatting sqref="E31:F31">
    <cfRule type="cellIs" dxfId="9099" priority="622" operator="lessThan">
      <formula>1000</formula>
    </cfRule>
  </conditionalFormatting>
  <conditionalFormatting sqref="E32:F32">
    <cfRule type="expression" dxfId="9098" priority="473">
      <formula>(C32="LIGHT SELECTION")</formula>
    </cfRule>
  </conditionalFormatting>
  <conditionalFormatting sqref="E42:F44">
    <cfRule type="expression" dxfId="9097" priority="606">
      <formula>($D$14="CANOPY TYPE")</formula>
    </cfRule>
  </conditionalFormatting>
  <conditionalFormatting sqref="E46:F46">
    <cfRule type="cellIs" dxfId="9096" priority="593" operator="lessThan">
      <formula>1000</formula>
    </cfRule>
  </conditionalFormatting>
  <conditionalFormatting sqref="E48:F48">
    <cfRule type="cellIs" dxfId="9095" priority="590" operator="lessThan">
      <formula>1000</formula>
    </cfRule>
  </conditionalFormatting>
  <conditionalFormatting sqref="E59:F61">
    <cfRule type="expression" dxfId="9094" priority="576">
      <formula>($D$14="CANOPY TYPE")</formula>
    </cfRule>
  </conditionalFormatting>
  <conditionalFormatting sqref="E63:F63">
    <cfRule type="cellIs" dxfId="9093" priority="563" operator="lessThan">
      <formula>1000</formula>
    </cfRule>
  </conditionalFormatting>
  <conditionalFormatting sqref="E65:F65">
    <cfRule type="cellIs" dxfId="9092" priority="560" operator="lessThan">
      <formula>1000</formula>
    </cfRule>
  </conditionalFormatting>
  <conditionalFormatting sqref="E66:F66">
    <cfRule type="expression" dxfId="9091" priority="466">
      <formula>(C66="LIGHT SELECTION")</formula>
    </cfRule>
  </conditionalFormatting>
  <conditionalFormatting sqref="E76:F78">
    <cfRule type="expression" dxfId="9090" priority="545">
      <formula>($D$14="CANOPY TYPE")</formula>
    </cfRule>
  </conditionalFormatting>
  <conditionalFormatting sqref="E80:F80">
    <cfRule type="cellIs" dxfId="9089" priority="532" operator="lessThan">
      <formula>1000</formula>
    </cfRule>
  </conditionalFormatting>
  <conditionalFormatting sqref="E82:F82">
    <cfRule type="cellIs" dxfId="9088" priority="529" operator="lessThan">
      <formula>1000</formula>
    </cfRule>
  </conditionalFormatting>
  <conditionalFormatting sqref="E83:F83">
    <cfRule type="expression" dxfId="9087" priority="462">
      <formula>(C83="LIGHT SELECTION")</formula>
    </cfRule>
  </conditionalFormatting>
  <conditionalFormatting sqref="E93:F95">
    <cfRule type="expression" dxfId="9086" priority="513">
      <formula>($D$14="CANOPY TYPE")</formula>
    </cfRule>
  </conditionalFormatting>
  <conditionalFormatting sqref="E97:F97">
    <cfRule type="cellIs" dxfId="9085" priority="500" operator="lessThan">
      <formula>1000</formula>
    </cfRule>
  </conditionalFormatting>
  <conditionalFormatting sqref="E99:F99">
    <cfRule type="cellIs" dxfId="9084" priority="497" operator="lessThan">
      <formula>1000</formula>
    </cfRule>
  </conditionalFormatting>
  <conditionalFormatting sqref="E100:F100">
    <cfRule type="expression" dxfId="9083" priority="458">
      <formula>(C100="LIGHT SELECTION")</formula>
    </cfRule>
  </conditionalFormatting>
  <conditionalFormatting sqref="E110:F112 E127:F129 E144:F146 E161:F163 E178:F180">
    <cfRule type="expression" dxfId="9082" priority="482">
      <formula>($D$14="CANOPY TYPE")</formula>
    </cfRule>
  </conditionalFormatting>
  <conditionalFormatting sqref="E114:F114">
    <cfRule type="cellIs" dxfId="9081" priority="276" operator="lessThan">
      <formula>1000</formula>
    </cfRule>
  </conditionalFormatting>
  <conditionalFormatting sqref="E116:F116">
    <cfRule type="cellIs" dxfId="9080" priority="273" operator="lessThan">
      <formula>1000</formula>
    </cfRule>
  </conditionalFormatting>
  <conditionalFormatting sqref="E117:F117">
    <cfRule type="expression" dxfId="9079" priority="256">
      <formula>(C117="LIGHT SELECTION")</formula>
    </cfRule>
  </conditionalFormatting>
  <conditionalFormatting sqref="E131:F131">
    <cfRule type="cellIs" dxfId="9078" priority="207" operator="lessThan">
      <formula>1000</formula>
    </cfRule>
  </conditionalFormatting>
  <conditionalFormatting sqref="E133:F133">
    <cfRule type="cellIs" dxfId="9077" priority="204" operator="lessThan">
      <formula>1000</formula>
    </cfRule>
  </conditionalFormatting>
  <conditionalFormatting sqref="E134:F134">
    <cfRule type="expression" dxfId="9076" priority="187">
      <formula>(C134="LIGHT SELECTION")</formula>
    </cfRule>
  </conditionalFormatting>
  <conditionalFormatting sqref="E148:F148">
    <cfRule type="cellIs" dxfId="9075" priority="152" operator="lessThan">
      <formula>1000</formula>
    </cfRule>
  </conditionalFormatting>
  <conditionalFormatting sqref="E150:F150">
    <cfRule type="cellIs" dxfId="9074" priority="149" operator="lessThan">
      <formula>1000</formula>
    </cfRule>
  </conditionalFormatting>
  <conditionalFormatting sqref="E151:F151">
    <cfRule type="expression" dxfId="9073" priority="132">
      <formula>(C151="LIGHT SELECTION")</formula>
    </cfRule>
  </conditionalFormatting>
  <conditionalFormatting sqref="E165:F165">
    <cfRule type="cellIs" dxfId="9072" priority="97" operator="lessThan">
      <formula>1000</formula>
    </cfRule>
  </conditionalFormatting>
  <conditionalFormatting sqref="E167:F167">
    <cfRule type="cellIs" dxfId="9071" priority="94" operator="lessThan">
      <formula>1000</formula>
    </cfRule>
  </conditionalFormatting>
  <conditionalFormatting sqref="E168:F168">
    <cfRule type="expression" dxfId="9070" priority="77">
      <formula>(C168="LIGHT SELECTION")</formula>
    </cfRule>
  </conditionalFormatting>
  <conditionalFormatting sqref="F12">
    <cfRule type="cellIs" dxfId="9069" priority="703" operator="greaterThan">
      <formula>3001</formula>
    </cfRule>
  </conditionalFormatting>
  <conditionalFormatting sqref="F15">
    <cfRule type="expression" dxfId="9068" priority="475">
      <formula>(C15="LED STRIP")</formula>
    </cfRule>
    <cfRule type="expression" dxfId="9067" priority="692">
      <formula>(C15="LIGHT SELECTION")</formula>
    </cfRule>
    <cfRule type="expression" dxfId="9066" priority="694">
      <formula>(C15="FLO")</formula>
    </cfRule>
    <cfRule type="expression" dxfId="9065" priority="725">
      <formula>(D49="LIGHT SELECTION")</formula>
    </cfRule>
  </conditionalFormatting>
  <conditionalFormatting sqref="F22:F23">
    <cfRule type="expression" dxfId="9064" priority="716">
      <formula>D22="NF"</formula>
    </cfRule>
    <cfRule type="expression" dxfId="9063" priority="717">
      <formula>D22="WW PODS"</formula>
    </cfRule>
    <cfRule type="expression" dxfId="9062" priority="718">
      <formula>D22="GRILLE"</formula>
    </cfRule>
    <cfRule type="expression" dxfId="9061" priority="719">
      <formula>D22="CENTREX"</formula>
    </cfRule>
    <cfRule type="expression" dxfId="9060" priority="720" stopIfTrue="1">
      <formula>D14="canopy type"</formula>
    </cfRule>
    <cfRule type="expression" dxfId="9059" priority="721">
      <formula>(((I14*3600)/(C22*I11))^2+20)&gt;300</formula>
    </cfRule>
    <cfRule type="expression" dxfId="9058" priority="722" stopIfTrue="1">
      <formula>(ISNUMBER(SEARCH("UV",D14)))</formula>
    </cfRule>
    <cfRule type="expression" dxfId="9057" priority="723">
      <formula>(((I14*3600)/(C22*I11))^2+20)&gt;180</formula>
    </cfRule>
    <cfRule type="expression" dxfId="9056" priority="724">
      <formula>D22="KSA"</formula>
    </cfRule>
  </conditionalFormatting>
  <conditionalFormatting sqref="F24">
    <cfRule type="cellIs" dxfId="9055" priority="697" operator="lessThan">
      <formula>2100</formula>
    </cfRule>
  </conditionalFormatting>
  <conditionalFormatting sqref="F29">
    <cfRule type="cellIs" dxfId="9054" priority="626" operator="greaterThan">
      <formula>3001</formula>
    </cfRule>
  </conditionalFormatting>
  <conditionalFormatting sqref="F32">
    <cfRule type="expression" dxfId="9053" priority="471">
      <formula>(C32="LED STRIP")</formula>
    </cfRule>
    <cfRule type="expression" dxfId="9052" priority="472">
      <formula>(C32="LIGHT SELECTION")</formula>
    </cfRule>
    <cfRule type="expression" dxfId="9051" priority="474">
      <formula>(C32="FLO")</formula>
    </cfRule>
  </conditionalFormatting>
  <conditionalFormatting sqref="F39:F40">
    <cfRule type="expression" dxfId="9050" priority="411">
      <formula>D39="NF"</formula>
    </cfRule>
    <cfRule type="expression" dxfId="9049" priority="412">
      <formula>D39="WW PODS"</formula>
    </cfRule>
    <cfRule type="expression" dxfId="9048" priority="413">
      <formula>D39="GRILLE"</formula>
    </cfRule>
    <cfRule type="expression" dxfId="9047" priority="414">
      <formula>D39="CENTREX"</formula>
    </cfRule>
    <cfRule type="expression" dxfId="9046" priority="415" stopIfTrue="1">
      <formula>D31="canopy type"</formula>
    </cfRule>
    <cfRule type="expression" dxfId="9045" priority="416">
      <formula>(((I31*3600)/(C39*I28))^2+20)&gt;300</formula>
    </cfRule>
    <cfRule type="expression" dxfId="9044" priority="417" stopIfTrue="1">
      <formula>(ISNUMBER(SEARCH("UV",D31)))</formula>
    </cfRule>
    <cfRule type="expression" dxfId="9043" priority="418">
      <formula>(((I31*3600)/(C39*I28))^2+20)&gt;180</formula>
    </cfRule>
    <cfRule type="expression" dxfId="9042" priority="419">
      <formula>D39="KSA"</formula>
    </cfRule>
  </conditionalFormatting>
  <conditionalFormatting sqref="F41">
    <cfRule type="cellIs" dxfId="9041" priority="620" operator="lessThan">
      <formula>2100</formula>
    </cfRule>
  </conditionalFormatting>
  <conditionalFormatting sqref="F46">
    <cfRule type="cellIs" dxfId="9040" priority="594" operator="greaterThan">
      <formula>3001</formula>
    </cfRule>
  </conditionalFormatting>
  <conditionalFormatting sqref="F49">
    <cfRule type="expression" dxfId="9039" priority="468">
      <formula>(C49="LED STRIP")</formula>
    </cfRule>
    <cfRule type="expression" dxfId="9038" priority="469">
      <formula>(C49="LIGHT SELECTION")</formula>
    </cfRule>
    <cfRule type="expression" dxfId="9037" priority="470">
      <formula>(C49="FLO")</formula>
    </cfRule>
    <cfRule type="expression" dxfId="9036" priority="726">
      <formula>(#REF!="LIGHT SELECTION")</formula>
    </cfRule>
  </conditionalFormatting>
  <conditionalFormatting sqref="F56:F57">
    <cfRule type="expression" dxfId="9035" priority="385">
      <formula>D56="NF"</formula>
    </cfRule>
    <cfRule type="expression" dxfId="9034" priority="386">
      <formula>D56="WW PODS"</formula>
    </cfRule>
    <cfRule type="expression" dxfId="9033" priority="387">
      <formula>D56="GRILLE"</formula>
    </cfRule>
    <cfRule type="expression" dxfId="9032" priority="388">
      <formula>D56="CENTREX"</formula>
    </cfRule>
    <cfRule type="expression" dxfId="9031" priority="389" stopIfTrue="1">
      <formula>D48="canopy type"</formula>
    </cfRule>
    <cfRule type="expression" dxfId="9030" priority="390">
      <formula>(((I48*3600)/(C56*I45))^2+20)&gt;300</formula>
    </cfRule>
    <cfRule type="expression" dxfId="9029" priority="391" stopIfTrue="1">
      <formula>(ISNUMBER(SEARCH("UV",D48)))</formula>
    </cfRule>
    <cfRule type="expression" dxfId="9028" priority="392">
      <formula>(((I48*3600)/(C56*I45))^2+20)&gt;180</formula>
    </cfRule>
    <cfRule type="expression" dxfId="9027" priority="393">
      <formula>D56="KSA"</formula>
    </cfRule>
  </conditionalFormatting>
  <conditionalFormatting sqref="F58">
    <cfRule type="cellIs" dxfId="9026" priority="588" operator="lessThan">
      <formula>2100</formula>
    </cfRule>
  </conditionalFormatting>
  <conditionalFormatting sqref="F63">
    <cfRule type="cellIs" dxfId="9025" priority="564" operator="greaterThan">
      <formula>3001</formula>
    </cfRule>
  </conditionalFormatting>
  <conditionalFormatting sqref="F66">
    <cfRule type="expression" dxfId="9024" priority="464">
      <formula>(C66="LED STRIP")</formula>
    </cfRule>
    <cfRule type="expression" dxfId="9023" priority="465">
      <formula>(C66="LIGHT SELECTION")</formula>
    </cfRule>
    <cfRule type="expression" dxfId="9022" priority="467">
      <formula>(C66="FLO")</formula>
    </cfRule>
  </conditionalFormatting>
  <conditionalFormatting sqref="F73:F74">
    <cfRule type="expression" dxfId="9021" priority="359">
      <formula>D73="NF"</formula>
    </cfRule>
    <cfRule type="expression" dxfId="9020" priority="360">
      <formula>D73="WW PODS"</formula>
    </cfRule>
    <cfRule type="expression" dxfId="9019" priority="361">
      <formula>D73="GRILLE"</formula>
    </cfRule>
    <cfRule type="expression" dxfId="9018" priority="362">
      <formula>D73="CENTREX"</formula>
    </cfRule>
    <cfRule type="expression" dxfId="9017" priority="363" stopIfTrue="1">
      <formula>D65="canopy type"</formula>
    </cfRule>
    <cfRule type="expression" dxfId="9016" priority="364">
      <formula>(((I65*3600)/(C73*I62))^2+20)&gt;300</formula>
    </cfRule>
    <cfRule type="expression" dxfId="9015" priority="365" stopIfTrue="1">
      <formula>(ISNUMBER(SEARCH("UV",D65)))</formula>
    </cfRule>
    <cfRule type="expression" dxfId="9014" priority="366">
      <formula>(((I65*3600)/(C73*I62))^2+20)&gt;180</formula>
    </cfRule>
    <cfRule type="expression" dxfId="9013" priority="367">
      <formula>D73="KSA"</formula>
    </cfRule>
  </conditionalFormatting>
  <conditionalFormatting sqref="F75">
    <cfRule type="cellIs" dxfId="9012" priority="558" operator="lessThan">
      <formula>2100</formula>
    </cfRule>
  </conditionalFormatting>
  <conditionalFormatting sqref="F80">
    <cfRule type="cellIs" dxfId="9011" priority="533" operator="greaterThan">
      <formula>3001</formula>
    </cfRule>
  </conditionalFormatting>
  <conditionalFormatting sqref="F83">
    <cfRule type="expression" dxfId="9010" priority="460">
      <formula>(C83="LED STRIP")</formula>
    </cfRule>
    <cfRule type="expression" dxfId="9009" priority="461">
      <formula>(C83="LIGHT SELECTION")</formula>
    </cfRule>
    <cfRule type="expression" dxfId="9008" priority="463">
      <formula>(C83="FLO")</formula>
    </cfRule>
  </conditionalFormatting>
  <conditionalFormatting sqref="F90:F91">
    <cfRule type="expression" dxfId="9007" priority="333">
      <formula>D90="NF"</formula>
    </cfRule>
    <cfRule type="expression" dxfId="9006" priority="334">
      <formula>D90="WW PODS"</formula>
    </cfRule>
    <cfRule type="expression" dxfId="9005" priority="335">
      <formula>D90="GRILLE"</formula>
    </cfRule>
    <cfRule type="expression" dxfId="9004" priority="336">
      <formula>D90="CENTREX"</formula>
    </cfRule>
    <cfRule type="expression" dxfId="9003" priority="337" stopIfTrue="1">
      <formula>D82="canopy type"</formula>
    </cfRule>
    <cfRule type="expression" dxfId="9002" priority="338">
      <formula>(((I82*3600)/(C90*I79))^2+20)&gt;300</formula>
    </cfRule>
    <cfRule type="expression" dxfId="9001" priority="339" stopIfTrue="1">
      <formula>(ISNUMBER(SEARCH("UV",D82)))</formula>
    </cfRule>
    <cfRule type="expression" dxfId="9000" priority="340">
      <formula>(((I82*3600)/(C90*I79))^2+20)&gt;180</formula>
    </cfRule>
    <cfRule type="expression" dxfId="8999" priority="341">
      <formula>D90="KSA"</formula>
    </cfRule>
  </conditionalFormatting>
  <conditionalFormatting sqref="F92">
    <cfRule type="cellIs" dxfId="8998" priority="527" operator="lessThan">
      <formula>2100</formula>
    </cfRule>
  </conditionalFormatting>
  <conditionalFormatting sqref="F97">
    <cfRule type="cellIs" dxfId="8997" priority="501" operator="greaterThan">
      <formula>3001</formula>
    </cfRule>
  </conditionalFormatting>
  <conditionalFormatting sqref="F100">
    <cfRule type="expression" dxfId="8996" priority="456">
      <formula>(C100="LED STRIP")</formula>
    </cfRule>
    <cfRule type="expression" dxfId="8995" priority="457">
      <formula>(C100="LIGHT SELECTION")</formula>
    </cfRule>
    <cfRule type="expression" dxfId="8994" priority="459">
      <formula>(C100="FLO")</formula>
    </cfRule>
  </conditionalFormatting>
  <conditionalFormatting sqref="F107:F108">
    <cfRule type="expression" dxfId="8993" priority="307">
      <formula>D107="NF"</formula>
    </cfRule>
    <cfRule type="expression" dxfId="8992" priority="308">
      <formula>D107="WW PODS"</formula>
    </cfRule>
    <cfRule type="expression" dxfId="8991" priority="309">
      <formula>D107="GRILLE"</formula>
    </cfRule>
    <cfRule type="expression" dxfId="8990" priority="310">
      <formula>D107="CENTREX"</formula>
    </cfRule>
    <cfRule type="expression" dxfId="8989" priority="311" stopIfTrue="1">
      <formula>D99="canopy type"</formula>
    </cfRule>
    <cfRule type="expression" dxfId="8988" priority="312">
      <formula>(((I99*3600)/(C107*I96))^2+20)&gt;300</formula>
    </cfRule>
    <cfRule type="expression" dxfId="8987" priority="313" stopIfTrue="1">
      <formula>(ISNUMBER(SEARCH("UV",D99)))</formula>
    </cfRule>
    <cfRule type="expression" dxfId="8986" priority="314">
      <formula>(((I99*3600)/(C107*I96))^2+20)&gt;180</formula>
    </cfRule>
    <cfRule type="expression" dxfId="8985" priority="315">
      <formula>D107="KSA"</formula>
    </cfRule>
  </conditionalFormatting>
  <conditionalFormatting sqref="F109">
    <cfRule type="cellIs" dxfId="8984" priority="495" operator="lessThan">
      <formula>2100</formula>
    </cfRule>
  </conditionalFormatting>
  <conditionalFormatting sqref="F114">
    <cfRule type="cellIs" dxfId="8983" priority="277" operator="greaterThan">
      <formula>3001</formula>
    </cfRule>
  </conditionalFormatting>
  <conditionalFormatting sqref="F117">
    <cfRule type="expression" dxfId="8982" priority="254">
      <formula>(C117="LED STRIP")</formula>
    </cfRule>
    <cfRule type="expression" dxfId="8981" priority="255">
      <formula>(C117="LIGHT SELECTION")</formula>
    </cfRule>
    <cfRule type="expression" dxfId="8980" priority="257">
      <formula>(C117="FLO")</formula>
    </cfRule>
  </conditionalFormatting>
  <conditionalFormatting sqref="F124:F125">
    <cfRule type="expression" dxfId="8979" priority="242">
      <formula>D124="NF"</formula>
    </cfRule>
    <cfRule type="expression" dxfId="8978" priority="243">
      <formula>D124="WW PODS"</formula>
    </cfRule>
    <cfRule type="expression" dxfId="8977" priority="244">
      <formula>D124="GRILLE"</formula>
    </cfRule>
    <cfRule type="expression" dxfId="8976" priority="245">
      <formula>D124="CENTREX"</formula>
    </cfRule>
    <cfRule type="expression" dxfId="8975" priority="246" stopIfTrue="1">
      <formula>D116="canopy type"</formula>
    </cfRule>
    <cfRule type="expression" dxfId="8974" priority="247">
      <formula>(((I116*3600)/(C124*I113))^2+20)&gt;300</formula>
    </cfRule>
    <cfRule type="expression" dxfId="8973" priority="248" stopIfTrue="1">
      <formula>(ISNUMBER(SEARCH("UV",D116)))</formula>
    </cfRule>
    <cfRule type="expression" dxfId="8972" priority="249">
      <formula>(((I116*3600)/(C124*I113))^2+20)&gt;180</formula>
    </cfRule>
    <cfRule type="expression" dxfId="8971" priority="250">
      <formula>D124="KSA"</formula>
    </cfRule>
  </conditionalFormatting>
  <conditionalFormatting sqref="F126">
    <cfRule type="cellIs" dxfId="8970" priority="271" operator="lessThan">
      <formula>2100</formula>
    </cfRule>
  </conditionalFormatting>
  <conditionalFormatting sqref="F131">
    <cfRule type="cellIs" dxfId="8969" priority="208" operator="greaterThan">
      <formula>3001</formula>
    </cfRule>
  </conditionalFormatting>
  <conditionalFormatting sqref="F134">
    <cfRule type="expression" dxfId="8968" priority="185">
      <formula>(C134="LED STRIP")</formula>
    </cfRule>
    <cfRule type="expression" dxfId="8967" priority="186">
      <formula>(C134="LIGHT SELECTION")</formula>
    </cfRule>
    <cfRule type="expression" dxfId="8966" priority="188">
      <formula>(C134="FLO")</formula>
    </cfRule>
  </conditionalFormatting>
  <conditionalFormatting sqref="F141:F142">
    <cfRule type="expression" dxfId="8965" priority="173">
      <formula>D141="NF"</formula>
    </cfRule>
    <cfRule type="expression" dxfId="8964" priority="174">
      <formula>D141="WW PODS"</formula>
    </cfRule>
    <cfRule type="expression" dxfId="8963" priority="175">
      <formula>D141="GRILLE"</formula>
    </cfRule>
    <cfRule type="expression" dxfId="8962" priority="176">
      <formula>D141="CENTREX"</formula>
    </cfRule>
    <cfRule type="expression" dxfId="8961" priority="177" stopIfTrue="1">
      <formula>D133="canopy type"</formula>
    </cfRule>
    <cfRule type="expression" dxfId="8960" priority="178">
      <formula>(((I133*3600)/(C141*I130))^2+20)&gt;300</formula>
    </cfRule>
    <cfRule type="expression" dxfId="8959" priority="179" stopIfTrue="1">
      <formula>(ISNUMBER(SEARCH("UV",D133)))</formula>
    </cfRule>
    <cfRule type="expression" dxfId="8958" priority="180">
      <formula>(((I133*3600)/(C141*I130))^2+20)&gt;180</formula>
    </cfRule>
    <cfRule type="expression" dxfId="8957" priority="181">
      <formula>D141="KSA"</formula>
    </cfRule>
  </conditionalFormatting>
  <conditionalFormatting sqref="F143">
    <cfRule type="cellIs" dxfId="8956" priority="202" operator="lessThan">
      <formula>2100</formula>
    </cfRule>
  </conditionalFormatting>
  <conditionalFormatting sqref="F148">
    <cfRule type="cellIs" dxfId="8955" priority="153" operator="greaterThan">
      <formula>3001</formula>
    </cfRule>
  </conditionalFormatting>
  <conditionalFormatting sqref="F151">
    <cfRule type="expression" dxfId="8954" priority="130">
      <formula>(C151="LED STRIP")</formula>
    </cfRule>
    <cfRule type="expression" dxfId="8953" priority="131">
      <formula>(C151="LIGHT SELECTION")</formula>
    </cfRule>
    <cfRule type="expression" dxfId="8952" priority="133">
      <formula>(C151="FLO")</formula>
    </cfRule>
  </conditionalFormatting>
  <conditionalFormatting sqref="F158:F159">
    <cfRule type="expression" dxfId="8951" priority="118">
      <formula>D158="NF"</formula>
    </cfRule>
    <cfRule type="expression" dxfId="8950" priority="119">
      <formula>D158="WW PODS"</formula>
    </cfRule>
    <cfRule type="expression" dxfId="8949" priority="120">
      <formula>D158="GRILLE"</formula>
    </cfRule>
    <cfRule type="expression" dxfId="8948" priority="121">
      <formula>D158="CENTREX"</formula>
    </cfRule>
    <cfRule type="expression" dxfId="8947" priority="122" stopIfTrue="1">
      <formula>D150="canopy type"</formula>
    </cfRule>
    <cfRule type="expression" dxfId="8946" priority="123">
      <formula>(((I150*3600)/(C158*I147))^2+20)&gt;300</formula>
    </cfRule>
    <cfRule type="expression" dxfId="8945" priority="124" stopIfTrue="1">
      <formula>(ISNUMBER(SEARCH("UV",D150)))</formula>
    </cfRule>
    <cfRule type="expression" dxfId="8944" priority="125">
      <formula>(((I150*3600)/(C158*I147))^2+20)&gt;180</formula>
    </cfRule>
    <cfRule type="expression" dxfId="8943" priority="126">
      <formula>D158="KSA"</formula>
    </cfRule>
  </conditionalFormatting>
  <conditionalFormatting sqref="F160">
    <cfRule type="cellIs" dxfId="8942" priority="147" operator="lessThan">
      <formula>2100</formula>
    </cfRule>
  </conditionalFormatting>
  <conditionalFormatting sqref="F165">
    <cfRule type="cellIs" dxfId="8941" priority="98" operator="greaterThan">
      <formula>3001</formula>
    </cfRule>
  </conditionalFormatting>
  <conditionalFormatting sqref="F168">
    <cfRule type="expression" dxfId="8940" priority="75">
      <formula>(C168="LED STRIP")</formula>
    </cfRule>
    <cfRule type="expression" dxfId="8939" priority="76">
      <formula>(C168="LIGHT SELECTION")</formula>
    </cfRule>
    <cfRule type="expression" dxfId="8938" priority="78">
      <formula>(C168="FLO")</formula>
    </cfRule>
  </conditionalFormatting>
  <conditionalFormatting sqref="F175:F176">
    <cfRule type="expression" dxfId="8937" priority="63">
      <formula>D175="NF"</formula>
    </cfRule>
    <cfRule type="expression" dxfId="8936" priority="64">
      <formula>D175="WW PODS"</formula>
    </cfRule>
    <cfRule type="expression" dxfId="8935" priority="65">
      <formula>D175="GRILLE"</formula>
    </cfRule>
    <cfRule type="expression" dxfId="8934" priority="66">
      <formula>D175="CENTREX"</formula>
    </cfRule>
    <cfRule type="expression" dxfId="8933" priority="67" stopIfTrue="1">
      <formula>D167="canopy type"</formula>
    </cfRule>
    <cfRule type="expression" dxfId="8932" priority="68">
      <formula>(((I167*3600)/(C175*I164))^2+20)&gt;300</formula>
    </cfRule>
    <cfRule type="expression" dxfId="8931" priority="69" stopIfTrue="1">
      <formula>(ISNUMBER(SEARCH("UV",D167)))</formula>
    </cfRule>
    <cfRule type="expression" dxfId="8930" priority="70">
      <formula>(((I167*3600)/(C175*I164))^2+20)&gt;180</formula>
    </cfRule>
    <cfRule type="expression" dxfId="8929" priority="71">
      <formula>D175="KSA"</formula>
    </cfRule>
  </conditionalFormatting>
  <conditionalFormatting sqref="F177">
    <cfRule type="cellIs" dxfId="8928" priority="92" operator="lessThan">
      <formula>2100</formula>
    </cfRule>
  </conditionalFormatting>
  <conditionalFormatting sqref="G11">
    <cfRule type="expression" dxfId="8927" priority="705">
      <formula>((F14-50)/H14)&lt;950</formula>
    </cfRule>
  </conditionalFormatting>
  <conditionalFormatting sqref="G12">
    <cfRule type="expression" dxfId="8926" priority="704">
      <formula>((F14-50)/H14)&lt;950</formula>
    </cfRule>
  </conditionalFormatting>
  <conditionalFormatting sqref="G14">
    <cfRule type="cellIs" dxfId="8925" priority="700" operator="lessThan">
      <formula>400</formula>
    </cfRule>
  </conditionalFormatting>
  <conditionalFormatting sqref="G28">
    <cfRule type="expression" dxfId="8924" priority="649">
      <formula>((F31-50)/H31)&lt;950</formula>
    </cfRule>
  </conditionalFormatting>
  <conditionalFormatting sqref="G29">
    <cfRule type="expression" dxfId="8923" priority="627">
      <formula>((F31-50)/H31)&lt;950</formula>
    </cfRule>
  </conditionalFormatting>
  <conditionalFormatting sqref="G31">
    <cfRule type="cellIs" dxfId="8922" priority="623" operator="lessThan">
      <formula>400</formula>
    </cfRule>
  </conditionalFormatting>
  <conditionalFormatting sqref="G45">
    <cfRule type="expression" dxfId="8921" priority="665">
      <formula>((F48-50)/H48)&lt;950</formula>
    </cfRule>
  </conditionalFormatting>
  <conditionalFormatting sqref="G46">
    <cfRule type="expression" dxfId="8920" priority="595">
      <formula>((F48-50)/H48)&lt;950</formula>
    </cfRule>
  </conditionalFormatting>
  <conditionalFormatting sqref="G48">
    <cfRule type="cellIs" dxfId="8919" priority="591" operator="lessThan">
      <formula>400</formula>
    </cfRule>
  </conditionalFormatting>
  <conditionalFormatting sqref="G62">
    <cfRule type="expression" dxfId="8918" priority="666">
      <formula>((F65-50)/H65)&lt;950</formula>
    </cfRule>
  </conditionalFormatting>
  <conditionalFormatting sqref="G63">
    <cfRule type="expression" dxfId="8917" priority="565">
      <formula>((F65-50)/H65)&lt;950</formula>
    </cfRule>
  </conditionalFormatting>
  <conditionalFormatting sqref="G65">
    <cfRule type="cellIs" dxfId="8916" priority="561" operator="lessThan">
      <formula>400</formula>
    </cfRule>
  </conditionalFormatting>
  <conditionalFormatting sqref="G79">
    <cfRule type="expression" dxfId="8915" priority="667">
      <formula>((F82-50)/H82)&lt;950</formula>
    </cfRule>
  </conditionalFormatting>
  <conditionalFormatting sqref="G80">
    <cfRule type="expression" dxfId="8914" priority="534">
      <formula>((F82-50)/H82)&lt;950</formula>
    </cfRule>
  </conditionalFormatting>
  <conditionalFormatting sqref="G82">
    <cfRule type="cellIs" dxfId="8913" priority="530" operator="lessThan">
      <formula>400</formula>
    </cfRule>
  </conditionalFormatting>
  <conditionalFormatting sqref="G96">
    <cfRule type="expression" dxfId="8912" priority="677">
      <formula>((F99-50)/H99)&lt;950</formula>
    </cfRule>
  </conditionalFormatting>
  <conditionalFormatting sqref="G97">
    <cfRule type="expression" dxfId="8911" priority="502">
      <formula>((F99-50)/H99)&lt;950</formula>
    </cfRule>
  </conditionalFormatting>
  <conditionalFormatting sqref="G99">
    <cfRule type="cellIs" dxfId="8910" priority="498" operator="lessThan">
      <formula>400</formula>
    </cfRule>
  </conditionalFormatting>
  <conditionalFormatting sqref="G113">
    <cfRule type="expression" dxfId="8909" priority="289">
      <formula>((F116-50)/H116)&lt;950</formula>
    </cfRule>
  </conditionalFormatting>
  <conditionalFormatting sqref="G114">
    <cfRule type="expression" dxfId="8908" priority="278">
      <formula>((F116-50)/H116)&lt;950</formula>
    </cfRule>
  </conditionalFormatting>
  <conditionalFormatting sqref="G116">
    <cfRule type="cellIs" dxfId="8907" priority="274" operator="lessThan">
      <formula>400</formula>
    </cfRule>
  </conditionalFormatting>
  <conditionalFormatting sqref="G130">
    <cfRule type="expression" dxfId="8906" priority="220">
      <formula>((F133-50)/H133)&lt;950</formula>
    </cfRule>
  </conditionalFormatting>
  <conditionalFormatting sqref="G131">
    <cfRule type="expression" dxfId="8905" priority="209">
      <formula>((F133-50)/H133)&lt;950</formula>
    </cfRule>
  </conditionalFormatting>
  <conditionalFormatting sqref="G133">
    <cfRule type="cellIs" dxfId="8904" priority="205" operator="lessThan">
      <formula>400</formula>
    </cfRule>
  </conditionalFormatting>
  <conditionalFormatting sqref="G147">
    <cfRule type="expression" dxfId="8903" priority="165">
      <formula>((F150-50)/H150)&lt;950</formula>
    </cfRule>
  </conditionalFormatting>
  <conditionalFormatting sqref="G148">
    <cfRule type="expression" dxfId="8902" priority="154">
      <formula>((F150-50)/H150)&lt;950</formula>
    </cfRule>
  </conditionalFormatting>
  <conditionalFormatting sqref="G150">
    <cfRule type="cellIs" dxfId="8901" priority="150" operator="lessThan">
      <formula>400</formula>
    </cfRule>
  </conditionalFormatting>
  <conditionalFormatting sqref="G164">
    <cfRule type="expression" dxfId="8900" priority="110">
      <formula>((F167-50)/H167)&lt;950</formula>
    </cfRule>
  </conditionalFormatting>
  <conditionalFormatting sqref="G165">
    <cfRule type="expression" dxfId="8899" priority="99">
      <formula>((F167-50)/H167)&lt;950</formula>
    </cfRule>
  </conditionalFormatting>
  <conditionalFormatting sqref="G167">
    <cfRule type="cellIs" dxfId="8898" priority="95" operator="lessThan">
      <formula>400</formula>
    </cfRule>
  </conditionalFormatting>
  <conditionalFormatting sqref="I14">
    <cfRule type="cellIs" dxfId="8897" priority="701" operator="lessThan">
      <formula>0.1</formula>
    </cfRule>
  </conditionalFormatting>
  <conditionalFormatting sqref="I31">
    <cfRule type="cellIs" dxfId="8896" priority="624" operator="lessThan">
      <formula>0.1</formula>
    </cfRule>
  </conditionalFormatting>
  <conditionalFormatting sqref="I48">
    <cfRule type="cellIs" dxfId="8895" priority="592" operator="lessThan">
      <formula>0.1</formula>
    </cfRule>
  </conditionalFormatting>
  <conditionalFormatting sqref="I65">
    <cfRule type="cellIs" dxfId="8894" priority="562" operator="lessThan">
      <formula>0.1</formula>
    </cfRule>
  </conditionalFormatting>
  <conditionalFormatting sqref="I82">
    <cfRule type="cellIs" dxfId="8893" priority="531" operator="lessThan">
      <formula>0.1</formula>
    </cfRule>
  </conditionalFormatting>
  <conditionalFormatting sqref="I99">
    <cfRule type="cellIs" dxfId="8892" priority="499" operator="lessThan">
      <formula>0.1</formula>
    </cfRule>
  </conditionalFormatting>
  <conditionalFormatting sqref="I116">
    <cfRule type="cellIs" dxfId="8891" priority="275" operator="lessThan">
      <formula>0.1</formula>
    </cfRule>
  </conditionalFormatting>
  <conditionalFormatting sqref="I133">
    <cfRule type="cellIs" dxfId="8890" priority="206" operator="lessThan">
      <formula>0.1</formula>
    </cfRule>
  </conditionalFormatting>
  <conditionalFormatting sqref="I150">
    <cfRule type="cellIs" dxfId="8889" priority="151" operator="lessThan">
      <formula>0.1</formula>
    </cfRule>
  </conditionalFormatting>
  <conditionalFormatting sqref="I167">
    <cfRule type="cellIs" dxfId="8888" priority="96" operator="lessThan">
      <formula>0.1</formula>
    </cfRule>
  </conditionalFormatting>
  <conditionalFormatting sqref="J14:J27">
    <cfRule type="cellIs" dxfId="8887" priority="422" operator="greaterThan">
      <formula>0</formula>
    </cfRule>
  </conditionalFormatting>
  <conditionalFormatting sqref="J31:J32 J34:J44">
    <cfRule type="cellIs" dxfId="8886" priority="395" operator="greaterThan">
      <formula>0</formula>
    </cfRule>
  </conditionalFormatting>
  <conditionalFormatting sqref="J48:J49 J51:J61">
    <cfRule type="cellIs" dxfId="8885" priority="369" operator="greaterThan">
      <formula>0</formula>
    </cfRule>
  </conditionalFormatting>
  <conditionalFormatting sqref="J65:J66 J68:J78">
    <cfRule type="cellIs" dxfId="8884" priority="343" operator="greaterThan">
      <formula>0</formula>
    </cfRule>
  </conditionalFormatting>
  <conditionalFormatting sqref="J82:J83 J85:J95">
    <cfRule type="cellIs" dxfId="8883" priority="317" operator="greaterThan">
      <formula>0</formula>
    </cfRule>
  </conditionalFormatting>
  <conditionalFormatting sqref="J99:J100 J102:J112">
    <cfRule type="cellIs" dxfId="8882" priority="291" operator="greaterThan">
      <formula>0</formula>
    </cfRule>
  </conditionalFormatting>
  <conditionalFormatting sqref="J116:J117 J133:J134 J150:J151 J167:J168 J119:J129 J136:J146 J153:J163 J170:J180">
    <cfRule type="cellIs" dxfId="8881" priority="226" operator="greaterThan">
      <formula>0</formula>
    </cfRule>
  </conditionalFormatting>
  <conditionalFormatting sqref="J183:J197">
    <cfRule type="expression" dxfId="8880" priority="221">
      <formula>C183&gt;0</formula>
    </cfRule>
  </conditionalFormatting>
  <conditionalFormatting sqref="J199">
    <cfRule type="expression" dxfId="8879" priority="682">
      <formula>#REF!="EURO"</formula>
    </cfRule>
  </conditionalFormatting>
  <conditionalFormatting sqref="K14:K27">
    <cfRule type="cellIs" dxfId="8878" priority="436" operator="greaterThan">
      <formula>0</formula>
    </cfRule>
  </conditionalFormatting>
  <conditionalFormatting sqref="K31:K32 K34:K44">
    <cfRule type="cellIs" dxfId="8877" priority="398" operator="greaterThan">
      <formula>0</formula>
    </cfRule>
  </conditionalFormatting>
  <conditionalFormatting sqref="K48:K49 K51:K61">
    <cfRule type="cellIs" dxfId="8876" priority="372" operator="greaterThan">
      <formula>0</formula>
    </cfRule>
  </conditionalFormatting>
  <conditionalFormatting sqref="K65:K66 K68:K78">
    <cfRule type="cellIs" dxfId="8875" priority="346" operator="greaterThan">
      <formula>0</formula>
    </cfRule>
  </conditionalFormatting>
  <conditionalFormatting sqref="K82:K83 K85:K95">
    <cfRule type="cellIs" dxfId="8874" priority="320" operator="greaterThan">
      <formula>0</formula>
    </cfRule>
  </conditionalFormatting>
  <conditionalFormatting sqref="K99:K100 K102:K112">
    <cfRule type="cellIs" dxfId="8873" priority="294" operator="greaterThan">
      <formula>0</formula>
    </cfRule>
  </conditionalFormatting>
  <conditionalFormatting sqref="K116:K117 K133:K134 K150:K151 K167:K168 K119:K129 K136:K146 K153:K163 K170:K180">
    <cfRule type="cellIs" dxfId="8872" priority="229" operator="greaterThan">
      <formula>0</formula>
    </cfRule>
  </conditionalFormatting>
  <conditionalFormatting sqref="K183:K197">
    <cfRule type="cellIs" dxfId="8871" priority="222" operator="greaterThan">
      <formula>0</formula>
    </cfRule>
  </conditionalFormatting>
  <conditionalFormatting sqref="K199">
    <cfRule type="expression" dxfId="8870" priority="678">
      <formula>$B$9="PLN"</formula>
    </cfRule>
    <cfRule type="expression" dxfId="8869" priority="679">
      <formula>$B$9="CZK"</formula>
    </cfRule>
    <cfRule type="expression" dxfId="8868" priority="680">
      <formula>$B$9="USD"</formula>
    </cfRule>
    <cfRule type="expression" dxfId="8867" priority="681">
      <formula>$B$9="EURO"</formula>
    </cfRule>
  </conditionalFormatting>
  <conditionalFormatting sqref="L14:L27">
    <cfRule type="expression" dxfId="8866" priority="433">
      <formula>$C$9&lt;0</formula>
    </cfRule>
    <cfRule type="expression" dxfId="8865" priority="434">
      <formula>$C$9&gt;0</formula>
    </cfRule>
  </conditionalFormatting>
  <conditionalFormatting sqref="L31:L44">
    <cfRule type="expression" dxfId="8864" priority="396">
      <formula>$C$9&lt;0</formula>
    </cfRule>
    <cfRule type="expression" dxfId="8863" priority="397">
      <formula>$C$9&gt;0</formula>
    </cfRule>
  </conditionalFormatting>
  <conditionalFormatting sqref="L48:L61">
    <cfRule type="expression" dxfId="8862" priority="370">
      <formula>$C$9&lt;0</formula>
    </cfRule>
    <cfRule type="expression" dxfId="8861" priority="371">
      <formula>$C$9&gt;0</formula>
    </cfRule>
  </conditionalFormatting>
  <conditionalFormatting sqref="L65:L78">
    <cfRule type="expression" dxfId="8860" priority="344">
      <formula>$C$9&lt;0</formula>
    </cfRule>
    <cfRule type="expression" dxfId="8859" priority="345">
      <formula>$C$9&gt;0</formula>
    </cfRule>
  </conditionalFormatting>
  <conditionalFormatting sqref="L82:L95">
    <cfRule type="expression" dxfId="8858" priority="318">
      <formula>$C$9&lt;0</formula>
    </cfRule>
    <cfRule type="expression" dxfId="8857" priority="319">
      <formula>$C$9&gt;0</formula>
    </cfRule>
  </conditionalFormatting>
  <conditionalFormatting sqref="L99:L112">
    <cfRule type="expression" dxfId="8856" priority="292">
      <formula>$C$9&lt;0</formula>
    </cfRule>
    <cfRule type="expression" dxfId="8855" priority="293">
      <formula>$C$9&gt;0</formula>
    </cfRule>
  </conditionalFormatting>
  <conditionalFormatting sqref="L116:L129 L133:L146 L150:L163 L167:L180">
    <cfRule type="expression" dxfId="8854" priority="227">
      <formula>$C$9&lt;0</formula>
    </cfRule>
    <cfRule type="expression" dxfId="8853" priority="228">
      <formula>$C$9&gt;0</formula>
    </cfRule>
  </conditionalFormatting>
  <conditionalFormatting sqref="L183:L197">
    <cfRule type="expression" dxfId="8852" priority="668">
      <formula>$C$9&lt;0</formula>
    </cfRule>
    <cfRule type="expression" dxfId="8851" priority="669">
      <formula>$C$9&gt;0</formula>
    </cfRule>
  </conditionalFormatting>
  <conditionalFormatting sqref="N9 N12">
    <cfRule type="expression" dxfId="8850" priority="712">
      <formula>$B$9="PLN"</formula>
    </cfRule>
    <cfRule type="expression" dxfId="8849" priority="713">
      <formula>$B$9="CZK"</formula>
    </cfRule>
    <cfRule type="expression" dxfId="8848" priority="714">
      <formula>$B$9="USD"</formula>
    </cfRule>
    <cfRule type="expression" dxfId="8847" priority="715">
      <formula>$B$9="EURO"</formula>
    </cfRule>
  </conditionalFormatting>
  <conditionalFormatting sqref="N14:N27">
    <cfRule type="cellIs" dxfId="8846" priority="652" operator="greaterThan">
      <formula>0</formula>
    </cfRule>
    <cfRule type="expression" dxfId="8845" priority="653">
      <formula>$B$9="EURO"</formula>
    </cfRule>
    <cfRule type="expression" dxfId="8844" priority="654">
      <formula>$B$9="USD"</formula>
    </cfRule>
    <cfRule type="expression" dxfId="8843" priority="655">
      <formula>$B$9="PLN"</formula>
    </cfRule>
    <cfRule type="expression" dxfId="8842" priority="656">
      <formula>$B$9="CZK"</formula>
    </cfRule>
  </conditionalFormatting>
  <conditionalFormatting sqref="N29">
    <cfRule type="expression" dxfId="8841" priority="633">
      <formula>$B$9="PLN"</formula>
    </cfRule>
    <cfRule type="expression" dxfId="8840" priority="634">
      <formula>$B$9="CZK"</formula>
    </cfRule>
    <cfRule type="expression" dxfId="8839" priority="635">
      <formula>$B$9="USD"</formula>
    </cfRule>
    <cfRule type="expression" dxfId="8838" priority="636">
      <formula>$B$9="EURO"</formula>
    </cfRule>
  </conditionalFormatting>
  <conditionalFormatting sqref="N31:N44">
    <cfRule type="cellIs" dxfId="8837" priority="401" operator="greaterThan">
      <formula>0</formula>
    </cfRule>
    <cfRule type="expression" dxfId="8836" priority="402">
      <formula>$B$9="EURO"</formula>
    </cfRule>
    <cfRule type="expression" dxfId="8835" priority="403">
      <formula>$B$9="USD"</formula>
    </cfRule>
    <cfRule type="expression" dxfId="8834" priority="404">
      <formula>$B$9="PLN"</formula>
    </cfRule>
    <cfRule type="expression" dxfId="8833" priority="405">
      <formula>$B$9="CZK"</formula>
    </cfRule>
  </conditionalFormatting>
  <conditionalFormatting sqref="N46">
    <cfRule type="expression" dxfId="8832" priority="601">
      <formula>$B$9="PLN"</formula>
    </cfRule>
    <cfRule type="expression" dxfId="8831" priority="602">
      <formula>$B$9="CZK"</formula>
    </cfRule>
    <cfRule type="expression" dxfId="8830" priority="603">
      <formula>$B$9="USD"</formula>
    </cfRule>
    <cfRule type="expression" dxfId="8829" priority="604">
      <formula>$B$9="EURO"</formula>
    </cfRule>
  </conditionalFormatting>
  <conditionalFormatting sqref="N48:N61">
    <cfRule type="cellIs" dxfId="8828" priority="375" operator="greaterThan">
      <formula>0</formula>
    </cfRule>
    <cfRule type="expression" dxfId="8827" priority="376">
      <formula>$B$9="EURO"</formula>
    </cfRule>
    <cfRule type="expression" dxfId="8826" priority="377">
      <formula>$B$9="USD"</formula>
    </cfRule>
    <cfRule type="expression" dxfId="8825" priority="378">
      <formula>$B$9="PLN"</formula>
    </cfRule>
    <cfRule type="expression" dxfId="8824" priority="379">
      <formula>$B$9="CZK"</formula>
    </cfRule>
  </conditionalFormatting>
  <conditionalFormatting sqref="N63">
    <cfRule type="expression" dxfId="8823" priority="571">
      <formula>$B$9="PLN"</formula>
    </cfRule>
    <cfRule type="expression" dxfId="8822" priority="572">
      <formula>$B$9="CZK"</formula>
    </cfRule>
    <cfRule type="expression" dxfId="8821" priority="573">
      <formula>$B$9="USD"</formula>
    </cfRule>
    <cfRule type="expression" dxfId="8820" priority="574">
      <formula>$B$9="EURO"</formula>
    </cfRule>
  </conditionalFormatting>
  <conditionalFormatting sqref="N65:N78">
    <cfRule type="cellIs" dxfId="8819" priority="349" operator="greaterThan">
      <formula>0</formula>
    </cfRule>
    <cfRule type="expression" dxfId="8818" priority="350">
      <formula>$B$9="EURO"</formula>
    </cfRule>
    <cfRule type="expression" dxfId="8817" priority="351">
      <formula>$B$9="USD"</formula>
    </cfRule>
    <cfRule type="expression" dxfId="8816" priority="352">
      <formula>$B$9="PLN"</formula>
    </cfRule>
    <cfRule type="expression" dxfId="8815" priority="353">
      <formula>$B$9="CZK"</formula>
    </cfRule>
  </conditionalFormatting>
  <conditionalFormatting sqref="N80">
    <cfRule type="expression" dxfId="8814" priority="540">
      <formula>$B$9="PLN"</formula>
    </cfRule>
    <cfRule type="expression" dxfId="8813" priority="541">
      <formula>$B$9="CZK"</formula>
    </cfRule>
    <cfRule type="expression" dxfId="8812" priority="542">
      <formula>$B$9="USD"</formula>
    </cfRule>
    <cfRule type="expression" dxfId="8811" priority="543">
      <formula>$B$9="EURO"</formula>
    </cfRule>
  </conditionalFormatting>
  <conditionalFormatting sqref="N82:N95">
    <cfRule type="cellIs" dxfId="8810" priority="323" operator="greaterThan">
      <formula>0</formula>
    </cfRule>
    <cfRule type="expression" dxfId="8809" priority="324">
      <formula>$B$9="EURO"</formula>
    </cfRule>
    <cfRule type="expression" dxfId="8808" priority="325">
      <formula>$B$9="USD"</formula>
    </cfRule>
    <cfRule type="expression" dxfId="8807" priority="326">
      <formula>$B$9="PLN"</formula>
    </cfRule>
    <cfRule type="expression" dxfId="8806" priority="327">
      <formula>$B$9="CZK"</formula>
    </cfRule>
  </conditionalFormatting>
  <conditionalFormatting sqref="N97">
    <cfRule type="expression" dxfId="8805" priority="508">
      <formula>$B$9="PLN"</formula>
    </cfRule>
    <cfRule type="expression" dxfId="8804" priority="509">
      <formula>$B$9="CZK"</formula>
    </cfRule>
    <cfRule type="expression" dxfId="8803" priority="510">
      <formula>$B$9="USD"</formula>
    </cfRule>
    <cfRule type="expression" dxfId="8802" priority="511">
      <formula>$B$9="EURO"</formula>
    </cfRule>
  </conditionalFormatting>
  <conditionalFormatting sqref="N99:N112">
    <cfRule type="cellIs" dxfId="8801" priority="297" operator="greaterThan">
      <formula>0</formula>
    </cfRule>
    <cfRule type="expression" dxfId="8800" priority="298">
      <formula>$B$9="EURO"</formula>
    </cfRule>
    <cfRule type="expression" dxfId="8799" priority="299">
      <formula>$B$9="USD"</formula>
    </cfRule>
    <cfRule type="expression" dxfId="8798" priority="300">
      <formula>$B$9="PLN"</formula>
    </cfRule>
    <cfRule type="expression" dxfId="8797" priority="301">
      <formula>$B$9="CZK"</formula>
    </cfRule>
  </conditionalFormatting>
  <conditionalFormatting sqref="N114">
    <cfRule type="expression" dxfId="8796" priority="284">
      <formula>$B$9="PLN"</formula>
    </cfRule>
    <cfRule type="expression" dxfId="8795" priority="285">
      <formula>$B$9="CZK"</formula>
    </cfRule>
    <cfRule type="expression" dxfId="8794" priority="286">
      <formula>$B$9="USD"</formula>
    </cfRule>
    <cfRule type="expression" dxfId="8793" priority="287">
      <formula>$B$9="EURO"</formula>
    </cfRule>
  </conditionalFormatting>
  <conditionalFormatting sqref="N116:N129 N133:N146 N150:N163 N167:N180">
    <cfRule type="cellIs" dxfId="8792" priority="232" operator="greaterThan">
      <formula>0</formula>
    </cfRule>
    <cfRule type="expression" dxfId="8791" priority="233">
      <formula>$B$9="EURO"</formula>
    </cfRule>
    <cfRule type="expression" dxfId="8790" priority="234">
      <formula>$B$9="USD"</formula>
    </cfRule>
    <cfRule type="expression" dxfId="8789" priority="235">
      <formula>$B$9="PLN"</formula>
    </cfRule>
    <cfRule type="expression" dxfId="8788" priority="236">
      <formula>$B$9="CZK"</formula>
    </cfRule>
  </conditionalFormatting>
  <conditionalFormatting sqref="N131">
    <cfRule type="expression" dxfId="8787" priority="215">
      <formula>$B$9="PLN"</formula>
    </cfRule>
    <cfRule type="expression" dxfId="8786" priority="216">
      <formula>$B$9="CZK"</formula>
    </cfRule>
    <cfRule type="expression" dxfId="8785" priority="217">
      <formula>$B$9="USD"</formula>
    </cfRule>
    <cfRule type="expression" dxfId="8784" priority="218">
      <formula>$B$9="EURO"</formula>
    </cfRule>
  </conditionalFormatting>
  <conditionalFormatting sqref="N148">
    <cfRule type="expression" dxfId="8783" priority="160">
      <formula>$B$9="PLN"</formula>
    </cfRule>
    <cfRule type="expression" dxfId="8782" priority="161">
      <formula>$B$9="CZK"</formula>
    </cfRule>
    <cfRule type="expression" dxfId="8781" priority="162">
      <formula>$B$9="USD"</formula>
    </cfRule>
    <cfRule type="expression" dxfId="8780" priority="163">
      <formula>$B$9="EURO"</formula>
    </cfRule>
  </conditionalFormatting>
  <conditionalFormatting sqref="N165">
    <cfRule type="expression" dxfId="8779" priority="105">
      <formula>$B$9="PLN"</formula>
    </cfRule>
    <cfRule type="expression" dxfId="8778" priority="106">
      <formula>$B$9="CZK"</formula>
    </cfRule>
    <cfRule type="expression" dxfId="8777" priority="107">
      <formula>$B$9="USD"</formula>
    </cfRule>
    <cfRule type="expression" dxfId="8776" priority="108">
      <formula>$B$9="EURO"</formula>
    </cfRule>
  </conditionalFormatting>
  <conditionalFormatting sqref="N183:N197">
    <cfRule type="cellIs" dxfId="8775" priority="660" operator="greaterThan">
      <formula>0</formula>
    </cfRule>
    <cfRule type="expression" dxfId="8774" priority="661">
      <formula>$B$9="EURO"</formula>
    </cfRule>
    <cfRule type="expression" dxfId="8773" priority="662">
      <formula>$B$9="USD"</formula>
    </cfRule>
    <cfRule type="expression" dxfId="8772" priority="663">
      <formula>$B$9="PLN"</formula>
    </cfRule>
    <cfRule type="expression" dxfId="8771" priority="664">
      <formula>$B$9="CZK"</formula>
    </cfRule>
  </conditionalFormatting>
  <conditionalFormatting sqref="N182:O182">
    <cfRule type="expression" dxfId="8770" priority="670">
      <formula>$B$9="PLN"</formula>
    </cfRule>
    <cfRule type="expression" dxfId="8769" priority="671">
      <formula>$B$9="CZK"</formula>
    </cfRule>
    <cfRule type="expression" dxfId="8768" priority="672">
      <formula>$B$9="USD"</formula>
    </cfRule>
    <cfRule type="expression" dxfId="8767" priority="673">
      <formula>$B$9="EURO"</formula>
    </cfRule>
  </conditionalFormatting>
  <conditionalFormatting sqref="O14:O27">
    <cfRule type="cellIs" dxfId="8766" priority="657" operator="greaterThan">
      <formula>0</formula>
    </cfRule>
  </conditionalFormatting>
  <conditionalFormatting sqref="O31:O44">
    <cfRule type="cellIs" dxfId="8765" priority="406" operator="greaterThan">
      <formula>0</formula>
    </cfRule>
  </conditionalFormatting>
  <conditionalFormatting sqref="O48:O61">
    <cfRule type="cellIs" dxfId="8764" priority="380" operator="greaterThan">
      <formula>0</formula>
    </cfRule>
  </conditionalFormatting>
  <conditionalFormatting sqref="O65:O78">
    <cfRule type="cellIs" dxfId="8763" priority="354" operator="greaterThan">
      <formula>0</formula>
    </cfRule>
  </conditionalFormatting>
  <conditionalFormatting sqref="O82:O95">
    <cfRule type="cellIs" dxfId="8762" priority="328" operator="greaterThan">
      <formula>0</formula>
    </cfRule>
  </conditionalFormatting>
  <conditionalFormatting sqref="O99:O112">
    <cfRule type="cellIs" dxfId="8761" priority="302" operator="greaterThan">
      <formula>0</formula>
    </cfRule>
  </conditionalFormatting>
  <conditionalFormatting sqref="O116:O129 O133:O146 O150:O163 O167:O180">
    <cfRule type="cellIs" dxfId="8760" priority="237" operator="greaterThan">
      <formula>0</formula>
    </cfRule>
  </conditionalFormatting>
  <conditionalFormatting sqref="O183:O197">
    <cfRule type="cellIs" dxfId="8759" priority="683" operator="greaterThan">
      <formula>0</formula>
    </cfRule>
  </conditionalFormatting>
  <conditionalFormatting sqref="Q16">
    <cfRule type="cellIs" dxfId="8758" priority="423" operator="greaterThan">
      <formula>0</formula>
    </cfRule>
    <cfRule type="expression" dxfId="8757" priority="424">
      <formula>$B$9="EURO"</formula>
    </cfRule>
    <cfRule type="expression" dxfId="8756" priority="425">
      <formula>$B$9="USD"</formula>
    </cfRule>
    <cfRule type="expression" dxfId="8755" priority="426">
      <formula>$B$9="PLN"</formula>
    </cfRule>
    <cfRule type="expression" dxfId="8754" priority="427">
      <formula>$B$9="CZK"</formula>
    </cfRule>
  </conditionalFormatting>
  <conditionalFormatting sqref="B33">
    <cfRule type="expression" dxfId="8753" priority="52">
      <formula>$J33&gt;0</formula>
    </cfRule>
  </conditionalFormatting>
  <conditionalFormatting sqref="D33">
    <cfRule type="expression" dxfId="8751" priority="53">
      <formula>($C33="SELECT WORKS")</formula>
    </cfRule>
  </conditionalFormatting>
  <conditionalFormatting sqref="E33">
    <cfRule type="expression" dxfId="8750" priority="49">
      <formula>$C33="SELECT WORKS"</formula>
    </cfRule>
  </conditionalFormatting>
  <conditionalFormatting sqref="J33">
    <cfRule type="cellIs" dxfId="8749" priority="50" operator="greaterThan">
      <formula>0</formula>
    </cfRule>
  </conditionalFormatting>
  <conditionalFormatting sqref="K33">
    <cfRule type="cellIs" dxfId="8748" priority="51" operator="greaterThan">
      <formula>0</formula>
    </cfRule>
  </conditionalFormatting>
  <conditionalFormatting sqref="B50">
    <cfRule type="expression" dxfId="8747" priority="46">
      <formula>$J50&gt;0</formula>
    </cfRule>
  </conditionalFormatting>
  <conditionalFormatting sqref="D50">
    <cfRule type="expression" dxfId="8745" priority="47">
      <formula>($C50="SELECT WORKS")</formula>
    </cfRule>
  </conditionalFormatting>
  <conditionalFormatting sqref="E50">
    <cfRule type="expression" dxfId="8744" priority="43">
      <formula>$C50="SELECT WORKS"</formula>
    </cfRule>
  </conditionalFormatting>
  <conditionalFormatting sqref="J50">
    <cfRule type="cellIs" dxfId="8743" priority="44" operator="greaterThan">
      <formula>0</formula>
    </cfRule>
  </conditionalFormatting>
  <conditionalFormatting sqref="K50">
    <cfRule type="cellIs" dxfId="8742" priority="45" operator="greaterThan">
      <formula>0</formula>
    </cfRule>
  </conditionalFormatting>
  <conditionalFormatting sqref="B67">
    <cfRule type="expression" dxfId="8741" priority="40">
      <formula>$J67&gt;0</formula>
    </cfRule>
  </conditionalFormatting>
  <conditionalFormatting sqref="D67">
    <cfRule type="expression" dxfId="8739" priority="41">
      <formula>($C67="SELECT WORKS")</formula>
    </cfRule>
  </conditionalFormatting>
  <conditionalFormatting sqref="E67">
    <cfRule type="expression" dxfId="8738" priority="37">
      <formula>$C67="SELECT WORKS"</formula>
    </cfRule>
  </conditionalFormatting>
  <conditionalFormatting sqref="J67">
    <cfRule type="cellIs" dxfId="8737" priority="38" operator="greaterThan">
      <formula>0</formula>
    </cfRule>
  </conditionalFormatting>
  <conditionalFormatting sqref="K67">
    <cfRule type="cellIs" dxfId="8736" priority="39" operator="greaterThan">
      <formula>0</formula>
    </cfRule>
  </conditionalFormatting>
  <conditionalFormatting sqref="B84">
    <cfRule type="expression" dxfId="8735" priority="34">
      <formula>$J84&gt;0</formula>
    </cfRule>
  </conditionalFormatting>
  <conditionalFormatting sqref="D84">
    <cfRule type="expression" dxfId="8733" priority="35">
      <formula>($C84="SELECT WORKS")</formula>
    </cfRule>
  </conditionalFormatting>
  <conditionalFormatting sqref="E84">
    <cfRule type="expression" dxfId="8732" priority="31">
      <formula>$C84="SELECT WORKS"</formula>
    </cfRule>
  </conditionalFormatting>
  <conditionalFormatting sqref="J84">
    <cfRule type="cellIs" dxfId="8731" priority="32" operator="greaterThan">
      <formula>0</formula>
    </cfRule>
  </conditionalFormatting>
  <conditionalFormatting sqref="K84">
    <cfRule type="cellIs" dxfId="8730" priority="33" operator="greaterThan">
      <formula>0</formula>
    </cfRule>
  </conditionalFormatting>
  <conditionalFormatting sqref="B101">
    <cfRule type="expression" dxfId="8729" priority="28">
      <formula>$J101&gt;0</formula>
    </cfRule>
  </conditionalFormatting>
  <conditionalFormatting sqref="D101">
    <cfRule type="expression" dxfId="8727" priority="29">
      <formula>($C101="SELECT WORKS")</formula>
    </cfRule>
  </conditionalFormatting>
  <conditionalFormatting sqref="E101">
    <cfRule type="expression" dxfId="8726" priority="25">
      <formula>$C101="SELECT WORKS"</formula>
    </cfRule>
  </conditionalFormatting>
  <conditionalFormatting sqref="J101">
    <cfRule type="cellIs" dxfId="8725" priority="26" operator="greaterThan">
      <formula>0</formula>
    </cfRule>
  </conditionalFormatting>
  <conditionalFormatting sqref="K101">
    <cfRule type="cellIs" dxfId="8724" priority="27" operator="greaterThan">
      <formula>0</formula>
    </cfRule>
  </conditionalFormatting>
  <conditionalFormatting sqref="B118">
    <cfRule type="expression" dxfId="8723" priority="22">
      <formula>$J118&gt;0</formula>
    </cfRule>
  </conditionalFormatting>
  <conditionalFormatting sqref="D118">
    <cfRule type="expression" dxfId="8721" priority="23">
      <formula>($C118="SELECT WORKS")</formula>
    </cfRule>
  </conditionalFormatting>
  <conditionalFormatting sqref="E118">
    <cfRule type="expression" dxfId="8720" priority="19">
      <formula>$C118="SELECT WORKS"</formula>
    </cfRule>
  </conditionalFormatting>
  <conditionalFormatting sqref="J118">
    <cfRule type="cellIs" dxfId="8719" priority="20" operator="greaterThan">
      <formula>0</formula>
    </cfRule>
  </conditionalFormatting>
  <conditionalFormatting sqref="K118">
    <cfRule type="cellIs" dxfId="8718" priority="21" operator="greaterThan">
      <formula>0</formula>
    </cfRule>
  </conditionalFormatting>
  <conditionalFormatting sqref="B135">
    <cfRule type="expression" dxfId="8717" priority="16">
      <formula>$J135&gt;0</formula>
    </cfRule>
  </conditionalFormatting>
  <conditionalFormatting sqref="D135">
    <cfRule type="expression" dxfId="8715" priority="17">
      <formula>($C135="SELECT WORKS")</formula>
    </cfRule>
  </conditionalFormatting>
  <conditionalFormatting sqref="E135">
    <cfRule type="expression" dxfId="8714" priority="13">
      <formula>$C135="SELECT WORKS"</formula>
    </cfRule>
  </conditionalFormatting>
  <conditionalFormatting sqref="J135">
    <cfRule type="cellIs" dxfId="8713" priority="14" operator="greaterThan">
      <formula>0</formula>
    </cfRule>
  </conditionalFormatting>
  <conditionalFormatting sqref="K135">
    <cfRule type="cellIs" dxfId="8712" priority="15" operator="greaterThan">
      <formula>0</formula>
    </cfRule>
  </conditionalFormatting>
  <conditionalFormatting sqref="B152">
    <cfRule type="expression" dxfId="8711" priority="10">
      <formula>$J152&gt;0</formula>
    </cfRule>
  </conditionalFormatting>
  <conditionalFormatting sqref="D152">
    <cfRule type="expression" dxfId="8709" priority="11">
      <formula>($C152="SELECT WORKS")</formula>
    </cfRule>
  </conditionalFormatting>
  <conditionalFormatting sqref="E152">
    <cfRule type="expression" dxfId="8708" priority="7">
      <formula>$C152="SELECT WORKS"</formula>
    </cfRule>
  </conditionalFormatting>
  <conditionalFormatting sqref="J152">
    <cfRule type="cellIs" dxfId="8707" priority="8" operator="greaterThan">
      <formula>0</formula>
    </cfRule>
  </conditionalFormatting>
  <conditionalFormatting sqref="K152">
    <cfRule type="cellIs" dxfId="8706" priority="9" operator="greaterThan">
      <formula>0</formula>
    </cfRule>
  </conditionalFormatting>
  <conditionalFormatting sqref="B169">
    <cfRule type="expression" dxfId="8705" priority="4">
      <formula>$J169&gt;0</formula>
    </cfRule>
  </conditionalFormatting>
  <conditionalFormatting sqref="D169">
    <cfRule type="expression" dxfId="8703" priority="5">
      <formula>($C169="SELECT WORKS")</formula>
    </cfRule>
  </conditionalFormatting>
  <conditionalFormatting sqref="E169">
    <cfRule type="expression" dxfId="8702" priority="1">
      <formula>$C169="SELECT WORKS"</formula>
    </cfRule>
  </conditionalFormatting>
  <conditionalFormatting sqref="J169">
    <cfRule type="cellIs" dxfId="8701" priority="2" operator="greaterThan">
      <formula>0</formula>
    </cfRule>
  </conditionalFormatting>
  <conditionalFormatting sqref="K169">
    <cfRule type="cellIs" dxfId="8700" priority="3" operator="greaterThan">
      <formula>0</formula>
    </cfRule>
  </conditionalFormatting>
  <dataValidations count="7">
    <dataValidation type="list" allowBlank="1" showInputMessage="1" showErrorMessage="1" sqref="C27 C78 C95 C44 C61 C112 C129 C146 C163 C180" xr:uid="{31459D72-B595-C744-A1B0-E39A69F686B2}">
      <formula1>"0,0.5,1,1.5,2,2.5,3,3.5,4,4.5,5"</formula1>
    </dataValidation>
    <dataValidation type="list" allowBlank="1" showInputMessage="1" showErrorMessage="1" errorTitle="Minimum number of sections " error="Must be greater than zero" sqref="H14 H65 H48 H31 H82 H99 H116 H133 H150 H167" xr:uid="{D9A80194-2076-FD44-B603-1E561F85A73A}">
      <formula1>"1,2,3,4,5,6,7,8,9,10"</formula1>
    </dataValidation>
    <dataValidation type="list" allowBlank="1" showInputMessage="1" showErrorMessage="1" sqref="C71:C72 C37:C38 C88:C89 C20:C21 C122:C123 C105:C106 C54:C55 C156:C157 C173:C174 C139:C140" xr:uid="{E7F85E5C-B271-5C41-B4BE-E9ABECCB6496}">
      <formula1>"0,1,2,3,4,5,6,7,8,9,10,11,12,13,14,15,16,17,18,19,20"</formula1>
    </dataValidation>
    <dataValidation operator="greaterThan" allowBlank="1" showInputMessage="1" showErrorMessage="1" sqref="E14 E65 E48 E31 E82 E99 E116 E133 E150 E167" xr:uid="{0BD055E4-CA97-F84E-88D5-98D8839565AE}"/>
    <dataValidation type="list" allowBlank="1" showInputMessage="1" showErrorMessage="1" sqref="C99 C31 C82 C65 C48 C14 C116 C133 C150 C167" xr:uid="{1E57224E-9FB4-374F-A8F4-531701C31AEF}">
      <formula1>"WALL, ISLAND"</formula1>
    </dataValidation>
    <dataValidation type="list" allowBlank="1" showInputMessage="1" showErrorMessage="1" sqref="G181" xr:uid="{96863922-C1B3-A245-A04F-8FD0603F1C55}">
      <formula1>#REF!</formula1>
    </dataValidation>
    <dataValidation type="list" allowBlank="1" showInputMessage="1" showErrorMessage="1" sqref="D26 D94 D77 D60 D43 D111 D128 D145 D162 D179" xr:uid="{99A38912-9D40-EC44-8FA3-5E8749BE3F16}">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58" operator="containsText" id="{AA9551D5-A510-3140-BEF5-5C6277721624}">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76" operator="containsText" id="{1B3FC427-F428-754D-9070-09226B8A8668}">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13" operator="containsText" id="{6EE583ED-6214-4448-A0F9-5D853D840080}">
            <xm:f>NOT(ISERROR(SEARCH("SELECT WORKS",C34)))</xm:f>
            <xm:f>"SELECT WORKS"</xm:f>
            <x14:dxf>
              <font>
                <b/>
                <i val="0"/>
                <color rgb="FFC00000"/>
              </font>
              <fill>
                <patternFill>
                  <bgColor theme="0"/>
                </patternFill>
              </fill>
            </x14:dxf>
          </x14:cfRule>
          <xm:sqref>C34:C35</xm:sqref>
        </x14:conditionalFormatting>
        <x14:conditionalFormatting xmlns:xm="http://schemas.microsoft.com/office/excel/2006/main">
          <x14:cfRule type="containsText" priority="616" operator="containsText" id="{DA0C49EB-3545-1B4E-8F19-41BEBDF590FF}">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82" operator="containsText" id="{EA80632C-16CE-2048-8941-701FAA8AAEAE}">
            <xm:f>NOT(ISERROR(SEARCH("SELECT WORKS",C51)))</xm:f>
            <xm:f>"SELECT WORKS"</xm:f>
            <x14:dxf>
              <font>
                <b/>
                <i val="0"/>
                <color rgb="FFC00000"/>
              </font>
              <fill>
                <patternFill>
                  <bgColor theme="0"/>
                </patternFill>
              </fill>
            </x14:dxf>
          </x14:cfRule>
          <xm:sqref>C51:C52</xm:sqref>
        </x14:conditionalFormatting>
        <x14:conditionalFormatting xmlns:xm="http://schemas.microsoft.com/office/excel/2006/main">
          <x14:cfRule type="containsText" priority="585" operator="containsText" id="{C8CAA3F6-D71B-9F4A-AFD9-292CD3517EDA}">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51" operator="containsText" id="{DABF56C3-F719-8D44-B5D4-973F3A02D5C5}">
            <xm:f>NOT(ISERROR(SEARCH("SELECT WORKS",C68)))</xm:f>
            <xm:f>"SELECT WORKS"</xm:f>
            <x14:dxf>
              <font>
                <b/>
                <i val="0"/>
                <color rgb="FFC00000"/>
              </font>
              <fill>
                <patternFill>
                  <bgColor theme="0"/>
                </patternFill>
              </fill>
            </x14:dxf>
          </x14:cfRule>
          <xm:sqref>C68:C69</xm:sqref>
        </x14:conditionalFormatting>
        <x14:conditionalFormatting xmlns:xm="http://schemas.microsoft.com/office/excel/2006/main">
          <x14:cfRule type="containsText" priority="555" operator="containsText" id="{D84A318A-7084-5045-A0EC-4C3C5D58410B}">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19" operator="containsText" id="{C7EFC604-4BB9-E642-90B2-336B68D72635}">
            <xm:f>NOT(ISERROR(SEARCH("SELECT WORKS",C85)))</xm:f>
            <xm:f>"SELECT WORKS"</xm:f>
            <x14:dxf>
              <font>
                <b/>
                <i val="0"/>
                <color rgb="FFC00000"/>
              </font>
              <fill>
                <patternFill>
                  <bgColor theme="0"/>
                </patternFill>
              </fill>
            </x14:dxf>
          </x14:cfRule>
          <xm:sqref>C85:C86</xm:sqref>
        </x14:conditionalFormatting>
        <x14:conditionalFormatting xmlns:xm="http://schemas.microsoft.com/office/excel/2006/main">
          <x14:cfRule type="containsText" priority="523" operator="containsText" id="{11AE3D93-75D0-2A47-8BC1-01701B564248}">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88" operator="containsText" id="{7773E269-924D-DA41-82E0-9333E114873C}">
            <xm:f>NOT(ISERROR(SEARCH("SELECT WORKS",C102)))</xm:f>
            <xm:f>"SELECT WORKS"</xm:f>
            <x14:dxf>
              <font>
                <b/>
                <i val="0"/>
                <color rgb="FFC00000"/>
              </font>
              <fill>
                <patternFill>
                  <bgColor theme="0"/>
                </patternFill>
              </fill>
            </x14:dxf>
          </x14:cfRule>
          <xm:sqref>C102:C103</xm:sqref>
        </x14:conditionalFormatting>
        <x14:conditionalFormatting xmlns:xm="http://schemas.microsoft.com/office/excel/2006/main">
          <x14:cfRule type="containsText" priority="491" operator="containsText" id="{28605ED3-C360-AD4F-B3CC-A008F167D438}">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264" operator="containsText" id="{F0B3403D-3AD3-864D-B591-0F93A03CCBF9}">
            <xm:f>NOT(ISERROR(SEARCH("SELECT WORKS",C119)))</xm:f>
            <xm:f>"SELECT WORKS"</xm:f>
            <x14:dxf>
              <font>
                <b/>
                <i val="0"/>
                <color rgb="FFC00000"/>
              </font>
              <fill>
                <patternFill>
                  <bgColor theme="0"/>
                </patternFill>
              </fill>
            </x14:dxf>
          </x14:cfRule>
          <xm:sqref>C119:C120</xm:sqref>
        </x14:conditionalFormatting>
        <x14:conditionalFormatting xmlns:xm="http://schemas.microsoft.com/office/excel/2006/main">
          <x14:cfRule type="containsText" priority="267" operator="containsText" id="{9399D055-8090-FE4F-ACB9-A058A0CDBFC4}">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95" operator="containsText" id="{707B3B16-845F-5342-A499-CBD4D592D7C8}">
            <xm:f>NOT(ISERROR(SEARCH("SELECT WORKS",C136)))</xm:f>
            <xm:f>"SELECT WORKS"</xm:f>
            <x14:dxf>
              <font>
                <b/>
                <i val="0"/>
                <color rgb="FFC00000"/>
              </font>
              <fill>
                <patternFill>
                  <bgColor theme="0"/>
                </patternFill>
              </fill>
            </x14:dxf>
          </x14:cfRule>
          <xm:sqref>C136:C137</xm:sqref>
        </x14:conditionalFormatting>
        <x14:conditionalFormatting xmlns:xm="http://schemas.microsoft.com/office/excel/2006/main">
          <x14:cfRule type="containsText" priority="198" operator="containsText" id="{54310855-7619-1242-8F63-EEA720320DFB}">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40" operator="containsText" id="{AB136E2A-2C41-B345-97B2-CACF57DA58DD}">
            <xm:f>NOT(ISERROR(SEARCH("SELECT WORKS",C153)))</xm:f>
            <xm:f>"SELECT WORKS"</xm:f>
            <x14:dxf>
              <font>
                <b/>
                <i val="0"/>
                <color rgb="FFC00000"/>
              </font>
              <fill>
                <patternFill>
                  <bgColor theme="0"/>
                </patternFill>
              </fill>
            </x14:dxf>
          </x14:cfRule>
          <xm:sqref>C153:C154</xm:sqref>
        </x14:conditionalFormatting>
        <x14:conditionalFormatting xmlns:xm="http://schemas.microsoft.com/office/excel/2006/main">
          <x14:cfRule type="containsText" priority="143" operator="containsText" id="{DDFAC461-CF87-6143-9A31-43525640A43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85" operator="containsText" id="{EF59112F-CD17-7F43-89BE-F17E7E741E6A}">
            <xm:f>NOT(ISERROR(SEARCH("SELECT WORKS",C170)))</xm:f>
            <xm:f>"SELECT WORKS"</xm:f>
            <x14:dxf>
              <font>
                <b/>
                <i val="0"/>
                <color rgb="FFC00000"/>
              </font>
              <fill>
                <patternFill>
                  <bgColor theme="0"/>
                </patternFill>
              </fill>
            </x14:dxf>
          </x14:cfRule>
          <xm:sqref>C170:C171</xm:sqref>
        </x14:conditionalFormatting>
        <x14:conditionalFormatting xmlns:xm="http://schemas.microsoft.com/office/excel/2006/main">
          <x14:cfRule type="containsText" priority="88" operator="containsText" id="{B40446A4-8562-4547-9E8F-66E120B24552}">
            <xm:f>NOT(ISERROR(SEARCH("SELECT CLADDING",C172)))</xm:f>
            <xm:f>"SELECT CLADDING"</xm:f>
            <x14:dxf>
              <font>
                <b/>
                <i val="0"/>
                <color rgb="FFC00000"/>
              </font>
              <fill>
                <patternFill>
                  <bgColor theme="0"/>
                </patternFill>
              </fill>
            </x14:dxf>
          </x14:cfRule>
          <xm:sqref>C172</xm:sqref>
        </x14:conditionalFormatting>
        <x14:conditionalFormatting xmlns:xm="http://schemas.microsoft.com/office/excel/2006/main">
          <x14:cfRule type="containsText" priority="54" operator="containsText" id="{E118CD41-DEA8-8E41-841C-A20AC7C13579}">
            <xm:f>NOT(ISERROR(SEARCH("SELECT WORKS",C33)))</xm:f>
            <xm:f>"SELECT WORKS"</xm:f>
            <x14:dxf>
              <font>
                <b/>
                <i val="0"/>
                <color rgb="FFC00000"/>
              </font>
              <fill>
                <patternFill>
                  <bgColor theme="0"/>
                </patternFill>
              </fill>
            </x14:dxf>
          </x14:cfRule>
          <xm:sqref>C33</xm:sqref>
        </x14:conditionalFormatting>
        <x14:conditionalFormatting xmlns:xm="http://schemas.microsoft.com/office/excel/2006/main">
          <x14:cfRule type="containsText" priority="48" operator="containsText" id="{9E17189C-2CED-094B-A143-243A89B8FF7B}">
            <xm:f>NOT(ISERROR(SEARCH("SELECT WORKS",C50)))</xm:f>
            <xm:f>"SELECT WORKS"</xm:f>
            <x14:dxf>
              <font>
                <b/>
                <i val="0"/>
                <color rgb="FFC00000"/>
              </font>
              <fill>
                <patternFill>
                  <bgColor theme="0"/>
                </patternFill>
              </fill>
            </x14:dxf>
          </x14:cfRule>
          <xm:sqref>C50</xm:sqref>
        </x14:conditionalFormatting>
        <x14:conditionalFormatting xmlns:xm="http://schemas.microsoft.com/office/excel/2006/main">
          <x14:cfRule type="containsText" priority="42" operator="containsText" id="{6AEC7D56-443D-9848-B85D-A595AA5DED45}">
            <xm:f>NOT(ISERROR(SEARCH("SELECT WORKS",C67)))</xm:f>
            <xm:f>"SELECT WORKS"</xm:f>
            <x14:dxf>
              <font>
                <b/>
                <i val="0"/>
                <color rgb="FFC00000"/>
              </font>
              <fill>
                <patternFill>
                  <bgColor theme="0"/>
                </patternFill>
              </fill>
            </x14:dxf>
          </x14:cfRule>
          <xm:sqref>C67</xm:sqref>
        </x14:conditionalFormatting>
        <x14:conditionalFormatting xmlns:xm="http://schemas.microsoft.com/office/excel/2006/main">
          <x14:cfRule type="containsText" priority="36" operator="containsText" id="{B9AF96AB-F9BC-9D46-98F1-5BE446BFDCD1}">
            <xm:f>NOT(ISERROR(SEARCH("SELECT WORKS",C84)))</xm:f>
            <xm:f>"SELECT WORKS"</xm:f>
            <x14:dxf>
              <font>
                <b/>
                <i val="0"/>
                <color rgb="FFC00000"/>
              </font>
              <fill>
                <patternFill>
                  <bgColor theme="0"/>
                </patternFill>
              </fill>
            </x14:dxf>
          </x14:cfRule>
          <xm:sqref>C84</xm:sqref>
        </x14:conditionalFormatting>
        <x14:conditionalFormatting xmlns:xm="http://schemas.microsoft.com/office/excel/2006/main">
          <x14:cfRule type="containsText" priority="30" operator="containsText" id="{06031C85-0AE8-724B-95EB-72128A78D63E}">
            <xm:f>NOT(ISERROR(SEARCH("SELECT WORKS",C101)))</xm:f>
            <xm:f>"SELECT WORKS"</xm:f>
            <x14:dxf>
              <font>
                <b/>
                <i val="0"/>
                <color rgb="FFC00000"/>
              </font>
              <fill>
                <patternFill>
                  <bgColor theme="0"/>
                </patternFill>
              </fill>
            </x14:dxf>
          </x14:cfRule>
          <xm:sqref>C101</xm:sqref>
        </x14:conditionalFormatting>
        <x14:conditionalFormatting xmlns:xm="http://schemas.microsoft.com/office/excel/2006/main">
          <x14:cfRule type="containsText" priority="24" operator="containsText" id="{9F7577FD-BBB7-C746-8772-D55CE6852E5B}">
            <xm:f>NOT(ISERROR(SEARCH("SELECT WORKS",C118)))</xm:f>
            <xm:f>"SELECT WORKS"</xm:f>
            <x14:dxf>
              <font>
                <b/>
                <i val="0"/>
                <color rgb="FFC00000"/>
              </font>
              <fill>
                <patternFill>
                  <bgColor theme="0"/>
                </patternFill>
              </fill>
            </x14:dxf>
          </x14:cfRule>
          <xm:sqref>C118</xm:sqref>
        </x14:conditionalFormatting>
        <x14:conditionalFormatting xmlns:xm="http://schemas.microsoft.com/office/excel/2006/main">
          <x14:cfRule type="containsText" priority="18" operator="containsText" id="{FA654B24-B4C1-DA4D-9EC8-AE18BFBC81F2}">
            <xm:f>NOT(ISERROR(SEARCH("SELECT WORKS",C135)))</xm:f>
            <xm:f>"SELECT WORKS"</xm:f>
            <x14:dxf>
              <font>
                <b/>
                <i val="0"/>
                <color rgb="FFC00000"/>
              </font>
              <fill>
                <patternFill>
                  <bgColor theme="0"/>
                </patternFill>
              </fill>
            </x14:dxf>
          </x14:cfRule>
          <xm:sqref>C135</xm:sqref>
        </x14:conditionalFormatting>
        <x14:conditionalFormatting xmlns:xm="http://schemas.microsoft.com/office/excel/2006/main">
          <x14:cfRule type="containsText" priority="12" operator="containsText" id="{C6EAFDB7-DA2D-9142-9063-167C7B4648C3}">
            <xm:f>NOT(ISERROR(SEARCH("SELECT WORKS",C152)))</xm:f>
            <xm:f>"SELECT WORKS"</xm:f>
            <x14:dxf>
              <font>
                <b/>
                <i val="0"/>
                <color rgb="FFC00000"/>
              </font>
              <fill>
                <patternFill>
                  <bgColor theme="0"/>
                </patternFill>
              </fill>
            </x14:dxf>
          </x14:cfRule>
          <xm:sqref>C152</xm:sqref>
        </x14:conditionalFormatting>
        <x14:conditionalFormatting xmlns:xm="http://schemas.microsoft.com/office/excel/2006/main">
          <x14:cfRule type="containsText" priority="6" operator="containsText" id="{0D008FC7-4A02-3042-9E16-3141CD6D2700}">
            <xm:f>NOT(ISERROR(SEARCH("SELECT WORKS",C169)))</xm:f>
            <xm:f>"SELECT WORKS"</xm:f>
            <x14:dxf>
              <font>
                <b/>
                <i val="0"/>
                <color rgb="FFC00000"/>
              </font>
              <fill>
                <patternFill>
                  <bgColor theme="0"/>
                </patternFill>
              </fill>
            </x14:dxf>
          </x14:cfRule>
          <xm:sqref>C169</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7093ED24-532C-8D47-90BA-7EA70BF2F179}">
          <x14:formula1>
            <xm:f>'Base Costs'!$M$4:$M$23</xm:f>
          </x14:formula1>
          <xm:sqref>C15</xm:sqref>
        </x14:dataValidation>
        <x14:dataValidation type="list" allowBlank="1" showInputMessage="1" showErrorMessage="1" xr:uid="{486582C4-B589-514B-9C00-EA5C33B4782C}">
          <x14:formula1>
            <xm:f>'Base Costs'!$M$4:$M$21</xm:f>
          </x14:formula1>
          <xm:sqref>C32 C168 C151 C134 C100 C49 C66 C83 C117</xm:sqref>
        </x14:dataValidation>
        <x14:dataValidation type="list" allowBlank="1" showInputMessage="1" showErrorMessage="1" xr:uid="{44EC0970-E14F-E54D-9E65-247EBCD0836B}">
          <x14:formula1>
            <xm:f>'Base Costs'!$A$39:$A$53</xm:f>
          </x14:formula1>
          <xm:sqref>D14 D167 D150 D133 D31 D99 D48 D82 D65 D116</xm:sqref>
        </x14:dataValidation>
        <x14:dataValidation type="list" allowBlank="1" showInputMessage="1" showErrorMessage="1" xr:uid="{629A8BCF-6A4A-0245-974A-5934591DE7DB}">
          <x14:formula1>
            <xm:f>CCBASE!$A$53:$A$73</xm:f>
          </x14:formula1>
          <xm:sqref>C67:C69 C84:C86 C33:C35 C50:C52 C16:C18 C101:C103 C118:C120 C135:C137 C152:C154 C169:C171</xm:sqref>
        </x14:dataValidation>
        <x14:dataValidation type="list" allowBlank="1" showInputMessage="1" showErrorMessage="1" xr:uid="{1BFA780D-5A7B-CE4E-9E52-974CEAD3BB9A}">
          <x14:formula1>
            <xm:f>CCBASE!$A$81:$A$85</xm:f>
          </x14:formula1>
          <xm:sqref>C25 C42 C93 C76 C59 C110 C127 C144 C161 C178</xm:sqref>
        </x14:dataValidation>
        <x14:dataValidation type="list" allowBlank="1" showInputMessage="1" showErrorMessage="1" xr:uid="{87397867-7463-FE40-9FC0-5A1634DBB83B}">
          <x14:formula1>
            <xm:f>'Base Costs'!$A$32:$A$37</xm:f>
          </x14:formula1>
          <xm:sqref>B9</xm:sqref>
        </x14:dataValidation>
        <x14:dataValidation type="list" allowBlank="1" showInputMessage="1" showErrorMessage="1" xr:uid="{20F43E85-D227-3C4A-A59E-752774737375}">
          <x14:formula1>
            <xm:f>'Base Costs'!$E$4:$E$213</xm:f>
          </x14:formula1>
          <xm:sqref>D183 D186</xm:sqref>
        </x14:dataValidation>
        <x14:dataValidation type="list" allowBlank="1" showInputMessage="1" showErrorMessage="1" xr:uid="{920F6492-5460-3749-87A1-650C1E511F41}">
          <x14:formula1>
            <xm:f>'Base Costs'!$A$4:$A$16</xm:f>
          </x14:formula1>
          <xm:sqref>D184:D185</xm:sqref>
        </x14:dataValidation>
        <x14:dataValidation type="list" allowBlank="1" showInputMessage="1" showErrorMessage="1" xr:uid="{21A43C50-AB72-D649-9D39-3B8AF7F6D4B0}">
          <x14:formula1>
            <xm:f>'Base Costs'!$A$19:$A$22</xm:f>
          </x14:formula1>
          <xm:sqref>C19 C172 C155 C138 C36 C87 C70 C53 C104 C121</xm:sqref>
        </x14:dataValidation>
        <x14:dataValidation type="list" allowBlank="1" showInputMessage="1" showErrorMessage="1" xr:uid="{17428FD5-F279-9D41-9B34-801B306E1DE5}">
          <x14:formula1>
            <xm:f>'Base Costs'!$Q$35:$Q$45</xm:f>
          </x14:formula1>
          <xm:sqref>C43 C179 C162 C145 C60 C77 C94 C111 C26 C128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87640-8595-7046-868C-3BD3A0B38F16}">
  <sheetPr>
    <tabColor theme="8" tint="0.79998168889431442"/>
    <pageSetUpPr fitToPage="1"/>
  </sheetPr>
  <dimension ref="A1:AB310"/>
  <sheetViews>
    <sheetView showGridLines="0" zoomScale="80" zoomScaleNormal="80" zoomScaleSheetLayoutView="50" workbookViewId="0">
      <selection activeCell="R29" sqref="R29"/>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e">
        <f>IF(#REF!="","",#REF!)</f>
        <v>#REF!</v>
      </c>
      <c r="D3" s="1113"/>
      <c r="F3" s="690" t="s">
        <v>78</v>
      </c>
      <c r="G3" s="1084" t="e">
        <f>IF(#REF!="","",#REF!)</f>
        <v>#REF!</v>
      </c>
      <c r="H3" s="1114"/>
      <c r="I3" s="1114" t="e">
        <f>IF(#REF!="","",#REF!)</f>
        <v>#REF!</v>
      </c>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e">
        <f>IF(#REF!="","",#REF!)</f>
        <v>#REF!</v>
      </c>
      <c r="D5" s="1083"/>
      <c r="F5" s="690" t="s">
        <v>77</v>
      </c>
      <c r="G5" s="1084" t="e">
        <f>IF(#REF!="","",#REF!)</f>
        <v>#REF!</v>
      </c>
      <c r="H5" s="1114"/>
      <c r="I5" s="1114" t="e">
        <f>IF(#REF!="","",#REF!)</f>
        <v>#REF!</v>
      </c>
      <c r="J5" s="1114"/>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e">
        <f>IF(#REF!="","",#REF!)</f>
        <v>#REF!</v>
      </c>
      <c r="D7" s="1113"/>
      <c r="F7" s="690" t="s">
        <v>76</v>
      </c>
      <c r="G7" s="1086" t="e">
        <f>IF(#REF!="","",#REF!)</f>
        <v>#REF!</v>
      </c>
      <c r="H7" s="1115"/>
      <c r="I7" s="1115" t="e">
        <f>IF(#REF!="","",#REF!)</f>
        <v>#REF!</v>
      </c>
      <c r="J7" s="1115"/>
      <c r="N7" s="699" t="s">
        <v>79</v>
      </c>
      <c r="O7" s="917" t="e">
        <f>IF(#REF!="","",#REF!)</f>
        <v>#REF!</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2"/>
      <c r="F9" s="1112"/>
      <c r="G9" s="1125"/>
      <c r="H9" s="1126"/>
      <c r="I9" s="1126"/>
      <c r="J9" s="1126"/>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7"/>
      <c r="F35" s="1108"/>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0" t="s">
        <v>1092</v>
      </c>
      <c r="F36" s="1108"/>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0" t="s">
        <v>1092</v>
      </c>
      <c r="F53" s="1108"/>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0" t="s">
        <v>1092</v>
      </c>
      <c r="F138" s="1108"/>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1027.2</v>
      </c>
      <c r="L182" s="704">
        <f>IF(K182=0,"-",O182/M182)</f>
        <v>0.39213566507684156</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7" t="s">
        <v>732</v>
      </c>
      <c r="F183" s="1108"/>
      <c r="G183" s="1109"/>
      <c r="H183" s="1109"/>
      <c r="I183" s="110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2" t="s">
        <v>892</v>
      </c>
      <c r="F185" s="1143"/>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4" t="s">
        <v>1412</v>
      </c>
      <c r="F186" s="1145"/>
      <c r="G186" s="1109"/>
      <c r="H186" s="1109"/>
      <c r="I186" s="110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0" t="s">
        <v>1414</v>
      </c>
      <c r="E189" s="1141"/>
      <c r="F189" s="1141"/>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0" t="s">
        <v>1416</v>
      </c>
      <c r="E190" s="1141"/>
      <c r="F190" s="1141"/>
      <c r="G190" s="1136" t="s">
        <v>1464</v>
      </c>
      <c r="H190" s="1136"/>
      <c r="I190" s="113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17"/>
      <c r="F193" s="111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E186:F186"/>
    <mergeCell ref="G186:I186"/>
    <mergeCell ref="D189:F189"/>
    <mergeCell ref="D190:F190"/>
    <mergeCell ref="G190:I190"/>
    <mergeCell ref="D193:F193"/>
    <mergeCell ref="H176:I176"/>
    <mergeCell ref="B182:G182"/>
    <mergeCell ref="E183:F183"/>
    <mergeCell ref="G183:I183"/>
    <mergeCell ref="E184:F184"/>
    <mergeCell ref="E185:F185"/>
    <mergeCell ref="H157:I157"/>
    <mergeCell ref="H158:I158"/>
    <mergeCell ref="H159:I159"/>
    <mergeCell ref="E172:F172"/>
    <mergeCell ref="H174:I174"/>
    <mergeCell ref="H175:I175"/>
    <mergeCell ref="H125:I125"/>
    <mergeCell ref="E138:F138"/>
    <mergeCell ref="H140:I140"/>
    <mergeCell ref="H141:I141"/>
    <mergeCell ref="H142:I142"/>
    <mergeCell ref="E155:F155"/>
    <mergeCell ref="H106:I106"/>
    <mergeCell ref="H107:I107"/>
    <mergeCell ref="H108:I108"/>
    <mergeCell ref="E121:F121"/>
    <mergeCell ref="H123:I123"/>
    <mergeCell ref="H124:I124"/>
    <mergeCell ref="H74:I74"/>
    <mergeCell ref="E87:F87"/>
    <mergeCell ref="H89:I89"/>
    <mergeCell ref="H90:I90"/>
    <mergeCell ref="H91:I91"/>
    <mergeCell ref="E104:F104"/>
    <mergeCell ref="H55:I55"/>
    <mergeCell ref="H56:I56"/>
    <mergeCell ref="H57:I57"/>
    <mergeCell ref="E70:F70"/>
    <mergeCell ref="H72:I72"/>
    <mergeCell ref="H73:I73"/>
    <mergeCell ref="E35:F35"/>
    <mergeCell ref="E36:F36"/>
    <mergeCell ref="H38:I38"/>
    <mergeCell ref="H39:I39"/>
    <mergeCell ref="H40:I40"/>
    <mergeCell ref="E53:F53"/>
    <mergeCell ref="E9:F9"/>
    <mergeCell ref="G9:J9"/>
    <mergeCell ref="E19:F19"/>
    <mergeCell ref="H21:I21"/>
    <mergeCell ref="H22:I22"/>
    <mergeCell ref="H23:I23"/>
    <mergeCell ref="B1:C1"/>
    <mergeCell ref="C3:D3"/>
    <mergeCell ref="G3:J3"/>
    <mergeCell ref="C5:D5"/>
    <mergeCell ref="G5:J5"/>
    <mergeCell ref="C7:D7"/>
    <mergeCell ref="G7:J7"/>
  </mergeCells>
  <conditionalFormatting sqref="B9">
    <cfRule type="containsText" dxfId="8699" priority="665" operator="containsText" text="SELECT">
      <formula>NOT(ISERROR(SEARCH("SELECT",B9)))</formula>
    </cfRule>
    <cfRule type="expression" dxfId="8698" priority="666">
      <formula>B9="CURRENCY"</formula>
    </cfRule>
  </conditionalFormatting>
  <conditionalFormatting sqref="B11">
    <cfRule type="expression" dxfId="8697" priority="627">
      <formula>$B11&lt;&gt;""</formula>
    </cfRule>
  </conditionalFormatting>
  <conditionalFormatting sqref="B14:B23">
    <cfRule type="expression" dxfId="8696" priority="619">
      <formula>$J14&gt;0</formula>
    </cfRule>
  </conditionalFormatting>
  <conditionalFormatting sqref="B24">
    <cfRule type="expression" dxfId="8695" priority="616">
      <formula>ISNUMBER(SEARCH("UV",$D14))</formula>
    </cfRule>
    <cfRule type="expression" dxfId="8694" priority="617">
      <formula>($D14="CANOPY TYPE")</formula>
    </cfRule>
  </conditionalFormatting>
  <conditionalFormatting sqref="B25:B27">
    <cfRule type="expression" dxfId="8693" priority="437">
      <formula>$J25&gt;0</formula>
    </cfRule>
  </conditionalFormatting>
  <conditionalFormatting sqref="B28">
    <cfRule type="expression" dxfId="8692" priority="625">
      <formula>$B28&lt;&gt;""</formula>
    </cfRule>
  </conditionalFormatting>
  <conditionalFormatting sqref="B31:B40">
    <cfRule type="expression" dxfId="8691" priority="263">
      <formula>$J31&gt;0</formula>
    </cfRule>
  </conditionalFormatting>
  <conditionalFormatting sqref="B41">
    <cfRule type="expression" dxfId="8690" priority="585">
      <formula>ISNUMBER(SEARCH("UV",$D31))</formula>
    </cfRule>
    <cfRule type="expression" dxfId="8689" priority="586">
      <formula>($D31="CANOPY TYPE")</formula>
    </cfRule>
  </conditionalFormatting>
  <conditionalFormatting sqref="B42:B44">
    <cfRule type="expression" dxfId="8688" priority="587">
      <formula>$J42&gt;0</formula>
    </cfRule>
  </conditionalFormatting>
  <conditionalFormatting sqref="B45">
    <cfRule type="expression" dxfId="8687" priority="624">
      <formula>$B45&lt;&gt;""</formula>
    </cfRule>
  </conditionalFormatting>
  <conditionalFormatting sqref="B48:B57">
    <cfRule type="expression" dxfId="8686" priority="252">
      <formula>$J48&gt;0</formula>
    </cfRule>
  </conditionalFormatting>
  <conditionalFormatting sqref="B58">
    <cfRule type="expression" dxfId="8685" priority="556">
      <formula>ISNUMBER(SEARCH("UV",$D48))</formula>
    </cfRule>
    <cfRule type="expression" dxfId="8684" priority="557">
      <formula>($D48="CANOPY TYPE")</formula>
    </cfRule>
  </conditionalFormatting>
  <conditionalFormatting sqref="B59:B61">
    <cfRule type="expression" dxfId="8683" priority="436">
      <formula>$J59&gt;0</formula>
    </cfRule>
  </conditionalFormatting>
  <conditionalFormatting sqref="B62">
    <cfRule type="expression" dxfId="8682" priority="623">
      <formula>$B62&lt;&gt;""</formula>
    </cfRule>
  </conditionalFormatting>
  <conditionalFormatting sqref="B65:B74">
    <cfRule type="expression" dxfId="8681" priority="241">
      <formula>$J65&gt;0</formula>
    </cfRule>
  </conditionalFormatting>
  <conditionalFormatting sqref="B75">
    <cfRule type="expression" dxfId="8680" priority="526">
      <formula>ISNUMBER(SEARCH("UV",$D65))</formula>
    </cfRule>
    <cfRule type="expression" dxfId="8679" priority="527">
      <formula>($D65="CANOPY TYPE")</formula>
    </cfRule>
  </conditionalFormatting>
  <conditionalFormatting sqref="B76:B78">
    <cfRule type="expression" dxfId="8678" priority="435">
      <formula>$J76&gt;0</formula>
    </cfRule>
  </conditionalFormatting>
  <conditionalFormatting sqref="B79">
    <cfRule type="expression" dxfId="8677" priority="622">
      <formula>$B79&lt;&gt;""</formula>
    </cfRule>
  </conditionalFormatting>
  <conditionalFormatting sqref="B82:B91">
    <cfRule type="expression" dxfId="8676" priority="230">
      <formula>$J82&gt;0</formula>
    </cfRule>
  </conditionalFormatting>
  <conditionalFormatting sqref="B92">
    <cfRule type="expression" dxfId="8675" priority="495">
      <formula>ISNUMBER(SEARCH("UV",$D82))</formula>
    </cfRule>
    <cfRule type="expression" dxfId="8674" priority="496">
      <formula>($D82="CANOPY TYPE")</formula>
    </cfRule>
  </conditionalFormatting>
  <conditionalFormatting sqref="B93:B95">
    <cfRule type="expression" dxfId="8673" priority="434">
      <formula>$J93&gt;0</formula>
    </cfRule>
  </conditionalFormatting>
  <conditionalFormatting sqref="B96">
    <cfRule type="expression" dxfId="8672" priority="621">
      <formula>$B96&lt;&gt;""</formula>
    </cfRule>
  </conditionalFormatting>
  <conditionalFormatting sqref="B99:B108">
    <cfRule type="expression" dxfId="8671" priority="219">
      <formula>$J99&gt;0</formula>
    </cfRule>
  </conditionalFormatting>
  <conditionalFormatting sqref="B109">
    <cfRule type="expression" dxfId="8670" priority="465">
      <formula>ISNUMBER(SEARCH("UV",$D99))</formula>
    </cfRule>
    <cfRule type="expression" dxfId="8669" priority="466">
      <formula>($D99="CANOPY TYPE")</formula>
    </cfRule>
  </conditionalFormatting>
  <conditionalFormatting sqref="B110:B112 B127:B129 B161:B163 B178:B180">
    <cfRule type="expression" dxfId="8668" priority="433">
      <formula>$J110&gt;0</formula>
    </cfRule>
  </conditionalFormatting>
  <conditionalFormatting sqref="B113">
    <cfRule type="expression" dxfId="8667" priority="325">
      <formula>$B113&lt;&gt;""</formula>
    </cfRule>
  </conditionalFormatting>
  <conditionalFormatting sqref="B116:B125">
    <cfRule type="expression" dxfId="8666" priority="208">
      <formula>$J116&gt;0</formula>
    </cfRule>
  </conditionalFormatting>
  <conditionalFormatting sqref="B126">
    <cfRule type="expression" dxfId="8665" priority="298">
      <formula>ISNUMBER(SEARCH("UV",$D116))</formula>
    </cfRule>
    <cfRule type="expression" dxfId="8664" priority="299">
      <formula>($D116="CANOPY TYPE")</formula>
    </cfRule>
  </conditionalFormatting>
  <conditionalFormatting sqref="B130">
    <cfRule type="expression" dxfId="8663" priority="189">
      <formula>$B130&lt;&gt;""</formula>
    </cfRule>
  </conditionalFormatting>
  <conditionalFormatting sqref="B133:B142">
    <cfRule type="expression" dxfId="8662" priority="21">
      <formula>$J133&gt;0</formula>
    </cfRule>
  </conditionalFormatting>
  <conditionalFormatting sqref="B143">
    <cfRule type="expression" dxfId="8661" priority="159">
      <formula>ISNUMBER(SEARCH("UV",$D133))</formula>
    </cfRule>
    <cfRule type="expression" dxfId="8660" priority="160">
      <formula>($D133="CANOPY TYPE")</formula>
    </cfRule>
  </conditionalFormatting>
  <conditionalFormatting sqref="B144:B146">
    <cfRule type="expression" dxfId="8659" priority="118">
      <formula>$J144&gt;0</formula>
    </cfRule>
  </conditionalFormatting>
  <conditionalFormatting sqref="B147">
    <cfRule type="expression" dxfId="8658" priority="188">
      <formula>$B147&lt;&gt;""</formula>
    </cfRule>
  </conditionalFormatting>
  <conditionalFormatting sqref="B150:B159">
    <cfRule type="expression" dxfId="8657" priority="10">
      <formula>$J150&gt;0</formula>
    </cfRule>
  </conditionalFormatting>
  <conditionalFormatting sqref="B160">
    <cfRule type="expression" dxfId="8656" priority="130">
      <formula>ISNUMBER(SEARCH("UV",$D150))</formula>
    </cfRule>
    <cfRule type="expression" dxfId="8655" priority="131">
      <formula>($D150="CANOPY TYPE")</formula>
    </cfRule>
  </conditionalFormatting>
  <conditionalFormatting sqref="B164">
    <cfRule type="expression" dxfId="8654" priority="81">
      <formula>$B164&lt;&gt;""</formula>
    </cfRule>
  </conditionalFormatting>
  <conditionalFormatting sqref="B167:B176">
    <cfRule type="expression" dxfId="8653" priority="5">
      <formula>$J167&gt;0</formula>
    </cfRule>
  </conditionalFormatting>
  <conditionalFormatting sqref="B177">
    <cfRule type="expression" dxfId="8652" priority="54">
      <formula>ISNUMBER(SEARCH("UV",$D167))</formula>
    </cfRule>
    <cfRule type="expression" dxfId="8651" priority="55">
      <formula>($D167="CANOPY TYPE")</formula>
    </cfRule>
  </conditionalFormatting>
  <conditionalFormatting sqref="B183:B197">
    <cfRule type="expression" dxfId="8650" priority="618">
      <formula>$C183&gt;0</formula>
    </cfRule>
  </conditionalFormatting>
  <conditionalFormatting sqref="C14">
    <cfRule type="containsText" dxfId="8649" priority="423" operator="containsText" text="CONFIG">
      <formula>NOT(ISERROR(SEARCH("CONFIG",C14)))</formula>
    </cfRule>
  </conditionalFormatting>
  <conditionalFormatting sqref="C15">
    <cfRule type="containsText" dxfId="8648" priority="428" operator="containsText" text="LIGHT SELECTION">
      <formula>NOT(ISERROR(SEARCH("LIGHT SELECTION",C15)))</formula>
    </cfRule>
  </conditionalFormatting>
  <conditionalFormatting sqref="C16:C17">
    <cfRule type="containsText" dxfId="8647" priority="674" operator="containsText" text="ANSUL SELECTION">
      <formula>NOT(ISERROR(SEARCH("ANSUL SELECTION",C16)))</formula>
    </cfRule>
  </conditionalFormatting>
  <conditionalFormatting sqref="C20:C21">
    <cfRule type="cellIs" dxfId="8644" priority="671" operator="lessThan">
      <formula>1</formula>
    </cfRule>
  </conditionalFormatting>
  <conditionalFormatting sqref="C22:C23">
    <cfRule type="expression" dxfId="8643" priority="403">
      <formula>D22="WW PODS"</formula>
    </cfRule>
  </conditionalFormatting>
  <conditionalFormatting sqref="C24">
    <cfRule type="expression" dxfId="8642" priority="689">
      <formula>ISNUMBER(SEARCH("UV",D14))</formula>
    </cfRule>
  </conditionalFormatting>
  <conditionalFormatting sqref="C25">
    <cfRule type="expression" dxfId="8641" priority="651">
      <formula>(ISNUMBER(SEARCH("CMW",D14)))=TRUE</formula>
    </cfRule>
  </conditionalFormatting>
  <conditionalFormatting sqref="C26">
    <cfRule type="expression" dxfId="8640" priority="650">
      <formula>(ISNUMBER(SEARCH("CMW",D14)))=TRUE</formula>
    </cfRule>
  </conditionalFormatting>
  <conditionalFormatting sqref="C27">
    <cfRule type="expression" dxfId="8639" priority="620">
      <formula>(ISNUMBER(SEARCH("CMW",$D14)))=TRUE</formula>
    </cfRule>
  </conditionalFormatting>
  <conditionalFormatting sqref="C31">
    <cfRule type="containsText" dxfId="8638" priority="595" operator="containsText" text="CONFIG">
      <formula>NOT(ISERROR(SEARCH("CONFIG",C31)))</formula>
    </cfRule>
  </conditionalFormatting>
  <conditionalFormatting sqref="C32">
    <cfRule type="containsText" dxfId="8637" priority="430" operator="containsText" text="LIGHT SELECTION">
      <formula>NOT(ISERROR(SEARCH("LIGHT SELECTION",C32)))</formula>
    </cfRule>
  </conditionalFormatting>
  <conditionalFormatting sqref="C33:C34">
    <cfRule type="containsText" dxfId="8636" priority="271" operator="containsText" text="ANSUL SELECTION">
      <formula>NOT(ISERROR(SEARCH("ANSUL SELECTION",C33)))</formula>
    </cfRule>
  </conditionalFormatting>
  <conditionalFormatting sqref="C37:C38">
    <cfRule type="cellIs" dxfId="8633" priority="594" operator="lessThan">
      <formula>1</formula>
    </cfRule>
  </conditionalFormatting>
  <conditionalFormatting sqref="C39:C40">
    <cfRule type="expression" dxfId="8632" priority="388">
      <formula>D39="WW PODS"</formula>
    </cfRule>
  </conditionalFormatting>
  <conditionalFormatting sqref="C41">
    <cfRule type="expression" dxfId="8631" priority="609">
      <formula>ISNUMBER(SEARCH("UV",D31))</formula>
    </cfRule>
  </conditionalFormatting>
  <conditionalFormatting sqref="C42">
    <cfRule type="expression" dxfId="8630" priority="592">
      <formula>(ISNUMBER(SEARCH("CMW",D31)))=TRUE</formula>
    </cfRule>
  </conditionalFormatting>
  <conditionalFormatting sqref="C43">
    <cfRule type="expression" dxfId="8629" priority="462">
      <formula>(ISNUMBER(SEARCH("CMW",D31)))=TRUE</formula>
    </cfRule>
  </conditionalFormatting>
  <conditionalFormatting sqref="C44">
    <cfRule type="expression" dxfId="8628" priority="588">
      <formula>(ISNUMBER(SEARCH("CMW",$D31)))=TRUE</formula>
    </cfRule>
  </conditionalFormatting>
  <conditionalFormatting sqref="C48">
    <cfRule type="containsText" dxfId="8627" priority="565" operator="containsText" text="CONFIG">
      <formula>NOT(ISERROR(SEARCH("CONFIG",C48)))</formula>
    </cfRule>
  </conditionalFormatting>
  <conditionalFormatting sqref="C49">
    <cfRule type="containsText" dxfId="8626" priority="427" operator="containsText" text="LIGHT SELECTION">
      <formula>NOT(ISERROR(SEARCH("LIGHT SELECTION",C49)))</formula>
    </cfRule>
  </conditionalFormatting>
  <conditionalFormatting sqref="C50:C51">
    <cfRule type="containsText" dxfId="8625" priority="260" operator="containsText" text="ANSUL SELECTION">
      <formula>NOT(ISERROR(SEARCH("ANSUL SELECTION",C50)))</formula>
    </cfRule>
  </conditionalFormatting>
  <conditionalFormatting sqref="C54:C55">
    <cfRule type="cellIs" dxfId="8622" priority="564" operator="lessThan">
      <formula>1</formula>
    </cfRule>
  </conditionalFormatting>
  <conditionalFormatting sqref="C56:C57">
    <cfRule type="expression" dxfId="8621" priority="373">
      <formula>D56="WW PODS"</formula>
    </cfRule>
  </conditionalFormatting>
  <conditionalFormatting sqref="C58">
    <cfRule type="expression" dxfId="8620" priority="578">
      <formula>ISNUMBER(SEARCH("UV",D48))</formula>
    </cfRule>
  </conditionalFormatting>
  <conditionalFormatting sqref="C59">
    <cfRule type="expression" dxfId="8619" priority="562">
      <formula>(ISNUMBER(SEARCH("CMW",D48)))=TRUE</formula>
    </cfRule>
  </conditionalFormatting>
  <conditionalFormatting sqref="C60">
    <cfRule type="expression" dxfId="8618" priority="461">
      <formula>(ISNUMBER(SEARCH("CMW",D48)))=TRUE</formula>
    </cfRule>
  </conditionalFormatting>
  <conditionalFormatting sqref="C61">
    <cfRule type="expression" dxfId="8617" priority="558">
      <formula>(ISNUMBER(SEARCH("CMW",$D48)))=TRUE</formula>
    </cfRule>
  </conditionalFormatting>
  <conditionalFormatting sqref="C65">
    <cfRule type="containsText" dxfId="8616" priority="536" operator="containsText" text="CONFIG">
      <formula>NOT(ISERROR(SEARCH("CONFIG",C65)))</formula>
    </cfRule>
  </conditionalFormatting>
  <conditionalFormatting sqref="C66">
    <cfRule type="containsText" dxfId="8615" priority="426" operator="containsText" text="LIGHT SELECTION">
      <formula>NOT(ISERROR(SEARCH("LIGHT SELECTION",C66)))</formula>
    </cfRule>
  </conditionalFormatting>
  <conditionalFormatting sqref="C67:C68">
    <cfRule type="containsText" dxfId="8614" priority="249" operator="containsText" text="ANSUL SELECTION">
      <formula>NOT(ISERROR(SEARCH("ANSUL SELECTION",C67)))</formula>
    </cfRule>
  </conditionalFormatting>
  <conditionalFormatting sqref="C71:C72">
    <cfRule type="cellIs" dxfId="8611" priority="535" operator="lessThan">
      <formula>1</formula>
    </cfRule>
  </conditionalFormatting>
  <conditionalFormatting sqref="C73:C74">
    <cfRule type="expression" dxfId="8610" priority="358">
      <formula>D73="WW PODS"</formula>
    </cfRule>
  </conditionalFormatting>
  <conditionalFormatting sqref="C75">
    <cfRule type="expression" dxfId="8609" priority="549">
      <formula>ISNUMBER(SEARCH("UV",D65))</formula>
    </cfRule>
  </conditionalFormatting>
  <conditionalFormatting sqref="C76">
    <cfRule type="expression" dxfId="8608" priority="532">
      <formula>(ISNUMBER(SEARCH("CMW",D65)))=TRUE</formula>
    </cfRule>
  </conditionalFormatting>
  <conditionalFormatting sqref="C77">
    <cfRule type="expression" dxfId="8607" priority="460">
      <formula>(ISNUMBER(SEARCH("CMW",D65)))=TRUE</formula>
    </cfRule>
  </conditionalFormatting>
  <conditionalFormatting sqref="C78">
    <cfRule type="expression" dxfId="8606" priority="528">
      <formula>(ISNUMBER(SEARCH("CMW",$D65)))=TRUE</formula>
    </cfRule>
  </conditionalFormatting>
  <conditionalFormatting sqref="C82">
    <cfRule type="containsText" dxfId="8605" priority="505" operator="containsText" text="CONFIG">
      <formula>NOT(ISERROR(SEARCH("CONFIG",C82)))</formula>
    </cfRule>
  </conditionalFormatting>
  <conditionalFormatting sqref="C83">
    <cfRule type="containsText" dxfId="8604" priority="425" operator="containsText" text="LIGHT SELECTION">
      <formula>NOT(ISERROR(SEARCH("LIGHT SELECTION",C83)))</formula>
    </cfRule>
  </conditionalFormatting>
  <conditionalFormatting sqref="C84:C85">
    <cfRule type="containsText" dxfId="8603" priority="238" operator="containsText" text="ANSUL SELECTION">
      <formula>NOT(ISERROR(SEARCH("ANSUL SELECTION",C84)))</formula>
    </cfRule>
  </conditionalFormatting>
  <conditionalFormatting sqref="C88:C89">
    <cfRule type="cellIs" dxfId="8600" priority="504" operator="lessThan">
      <formula>1</formula>
    </cfRule>
  </conditionalFormatting>
  <conditionalFormatting sqref="C90:C91">
    <cfRule type="expression" dxfId="8599" priority="343">
      <formula>D90="WW PODS"</formula>
    </cfRule>
  </conditionalFormatting>
  <conditionalFormatting sqref="C92">
    <cfRule type="expression" dxfId="8598" priority="519">
      <formula>ISNUMBER(SEARCH("UV",D82))</formula>
    </cfRule>
  </conditionalFormatting>
  <conditionalFormatting sqref="C93">
    <cfRule type="expression" dxfId="8597" priority="501">
      <formula>(ISNUMBER(SEARCH("CMW",D82)))=TRUE</formula>
    </cfRule>
  </conditionalFormatting>
  <conditionalFormatting sqref="C94">
    <cfRule type="expression" dxfId="8596" priority="459">
      <formula>(ISNUMBER(SEARCH("CMW",D82)))=TRUE</formula>
    </cfRule>
  </conditionalFormatting>
  <conditionalFormatting sqref="C95">
    <cfRule type="expression" dxfId="8595" priority="497">
      <formula>(ISNUMBER(SEARCH("CMW",$D82)))=TRUE</formula>
    </cfRule>
  </conditionalFormatting>
  <conditionalFormatting sqref="C99">
    <cfRule type="containsText" dxfId="8594" priority="474" operator="containsText" text="CONFIG">
      <formula>NOT(ISERROR(SEARCH("CONFIG",C99)))</formula>
    </cfRule>
  </conditionalFormatting>
  <conditionalFormatting sqref="C100">
    <cfRule type="containsText" dxfId="8593" priority="424" operator="containsText" text="LIGHT SELECTION">
      <formula>NOT(ISERROR(SEARCH("LIGHT SELECTION",C100)))</formula>
    </cfRule>
  </conditionalFormatting>
  <conditionalFormatting sqref="C101:C102">
    <cfRule type="containsText" dxfId="8592" priority="227" operator="containsText" text="ANSUL SELECTION">
      <formula>NOT(ISERROR(SEARCH("ANSUL SELECTION",C101)))</formula>
    </cfRule>
  </conditionalFormatting>
  <conditionalFormatting sqref="C105:C106">
    <cfRule type="cellIs" dxfId="8589" priority="473" operator="lessThan">
      <formula>1</formula>
    </cfRule>
  </conditionalFormatting>
  <conditionalFormatting sqref="C107:C108">
    <cfRule type="expression" dxfId="8588" priority="328">
      <formula>D107="WW PODS"</formula>
    </cfRule>
  </conditionalFormatting>
  <conditionalFormatting sqref="C109">
    <cfRule type="expression" dxfId="8587" priority="488">
      <formula>ISNUMBER(SEARCH("UV",D99))</formula>
    </cfRule>
  </conditionalFormatting>
  <conditionalFormatting sqref="C110">
    <cfRule type="expression" dxfId="8586" priority="471">
      <formula>(ISNUMBER(SEARCH("CMW",D99)))=TRUE</formula>
    </cfRule>
  </conditionalFormatting>
  <conditionalFormatting sqref="C111">
    <cfRule type="expression" dxfId="8585" priority="458">
      <formula>(ISNUMBER(SEARCH("CMW",D99)))=TRUE</formula>
    </cfRule>
  </conditionalFormatting>
  <conditionalFormatting sqref="C112 C129 C163 C180">
    <cfRule type="expression" dxfId="8584" priority="467">
      <formula>(ISNUMBER(SEARCH("CMW",$D99)))=TRUE</formula>
    </cfRule>
  </conditionalFormatting>
  <conditionalFormatting sqref="C116">
    <cfRule type="containsText" dxfId="8583" priority="306" operator="containsText" text="CONFIG">
      <formula>NOT(ISERROR(SEARCH("CONFIG",C116)))</formula>
    </cfRule>
  </conditionalFormatting>
  <conditionalFormatting sqref="C117">
    <cfRule type="containsText" dxfId="8582" priority="291" operator="containsText" text="LIGHT SELECTION">
      <formula>NOT(ISERROR(SEARCH("LIGHT SELECTION",C117)))</formula>
    </cfRule>
  </conditionalFormatting>
  <conditionalFormatting sqref="C118:C119">
    <cfRule type="containsText" dxfId="8581" priority="216" operator="containsText" text="ANSUL SELECTION">
      <formula>NOT(ISERROR(SEARCH("ANSUL SELECTION",C118)))</formula>
    </cfRule>
  </conditionalFormatting>
  <conditionalFormatting sqref="C122:C123">
    <cfRule type="cellIs" dxfId="8578" priority="305" operator="lessThan">
      <formula>1</formula>
    </cfRule>
  </conditionalFormatting>
  <conditionalFormatting sqref="C124:C125">
    <cfRule type="expression" dxfId="8577" priority="275">
      <formula>D124="WW PODS"</formula>
    </cfRule>
  </conditionalFormatting>
  <conditionalFormatting sqref="C126">
    <cfRule type="expression" dxfId="8576" priority="320">
      <formula>ISNUMBER(SEARCH("UV",D116))</formula>
    </cfRule>
  </conditionalFormatting>
  <conditionalFormatting sqref="C127">
    <cfRule type="expression" dxfId="8575" priority="303">
      <formula>(ISNUMBER(SEARCH("CMW",D116)))=TRUE</formula>
    </cfRule>
  </conditionalFormatting>
  <conditionalFormatting sqref="C128">
    <cfRule type="expression" dxfId="8574" priority="296">
      <formula>(ISNUMBER(SEARCH("CMW",D116)))=TRUE</formula>
    </cfRule>
  </conditionalFormatting>
  <conditionalFormatting sqref="C133">
    <cfRule type="containsText" dxfId="8573" priority="169" operator="containsText" text="CONFIG">
      <formula>NOT(ISERROR(SEARCH("CONFIG",C133)))</formula>
    </cfRule>
  </conditionalFormatting>
  <conditionalFormatting sqref="C134">
    <cfRule type="containsText" dxfId="8572" priority="117" operator="containsText" text="LIGHT SELECTION">
      <formula>NOT(ISERROR(SEARCH("LIGHT SELECTION",C134)))</formula>
    </cfRule>
  </conditionalFormatting>
  <conditionalFormatting sqref="C135:C136">
    <cfRule type="containsText" dxfId="8571" priority="29" operator="containsText" text="ANSUL SELECTION">
      <formula>NOT(ISERROR(SEARCH("ANSUL SELECTION",C135)))</formula>
    </cfRule>
  </conditionalFormatting>
  <conditionalFormatting sqref="C139:C140">
    <cfRule type="cellIs" dxfId="8568" priority="168" operator="lessThan">
      <formula>1</formula>
    </cfRule>
  </conditionalFormatting>
  <conditionalFormatting sqref="C141:C142">
    <cfRule type="expression" dxfId="8567" priority="99">
      <formula>D141="WW PODS"</formula>
    </cfRule>
  </conditionalFormatting>
  <conditionalFormatting sqref="C143">
    <cfRule type="expression" dxfId="8566" priority="183">
      <formula>ISNUMBER(SEARCH("UV",D133))</formula>
    </cfRule>
  </conditionalFormatting>
  <conditionalFormatting sqref="C144">
    <cfRule type="expression" dxfId="8565" priority="165">
      <formula>(ISNUMBER(SEARCH("CMW",D133)))=TRUE</formula>
    </cfRule>
  </conditionalFormatting>
  <conditionalFormatting sqref="C145">
    <cfRule type="expression" dxfId="8564" priority="128">
      <formula>(ISNUMBER(SEARCH("CMW",D133)))=TRUE</formula>
    </cfRule>
  </conditionalFormatting>
  <conditionalFormatting sqref="C146">
    <cfRule type="expression" dxfId="8563" priority="161">
      <formula>(ISNUMBER(SEARCH("CMW",$D133)))=TRUE</formula>
    </cfRule>
  </conditionalFormatting>
  <conditionalFormatting sqref="C150">
    <cfRule type="containsText" dxfId="8562" priority="138" operator="containsText" text="CONFIG">
      <formula>NOT(ISERROR(SEARCH("CONFIG",C150)))</formula>
    </cfRule>
  </conditionalFormatting>
  <conditionalFormatting sqref="C151">
    <cfRule type="containsText" dxfId="8561" priority="116" operator="containsText" text="LIGHT SELECTION">
      <formula>NOT(ISERROR(SEARCH("LIGHT SELECTION",C151)))</formula>
    </cfRule>
  </conditionalFormatting>
  <conditionalFormatting sqref="C152:C153">
    <cfRule type="containsText" dxfId="8560" priority="18" operator="containsText" text="ANSUL SELECTION">
      <formula>NOT(ISERROR(SEARCH("ANSUL SELECTION",C152)))</formula>
    </cfRule>
  </conditionalFormatting>
  <conditionalFormatting sqref="C156:C157">
    <cfRule type="cellIs" dxfId="8557" priority="137" operator="lessThan">
      <formula>1</formula>
    </cfRule>
  </conditionalFormatting>
  <conditionalFormatting sqref="C158:C159">
    <cfRule type="expression" dxfId="8556" priority="84">
      <formula>D158="WW PODS"</formula>
    </cfRule>
  </conditionalFormatting>
  <conditionalFormatting sqref="C160">
    <cfRule type="expression" dxfId="8555" priority="152">
      <formula>ISNUMBER(SEARCH("UV",D150))</formula>
    </cfRule>
  </conditionalFormatting>
  <conditionalFormatting sqref="C161">
    <cfRule type="expression" dxfId="8554" priority="135">
      <formula>(ISNUMBER(SEARCH("CMW",D150)))=TRUE</formula>
    </cfRule>
  </conditionalFormatting>
  <conditionalFormatting sqref="C162">
    <cfRule type="expression" dxfId="8553" priority="127">
      <formula>(ISNUMBER(SEARCH("CMW",D150)))=TRUE</formula>
    </cfRule>
  </conditionalFormatting>
  <conditionalFormatting sqref="C167">
    <cfRule type="containsText" dxfId="8552" priority="62" operator="containsText" text="CONFIG">
      <formula>NOT(ISERROR(SEARCH("CONFIG",C167)))</formula>
    </cfRule>
  </conditionalFormatting>
  <conditionalFormatting sqref="C168">
    <cfRule type="containsText" dxfId="8551" priority="47" operator="containsText" text="LIGHT SELECTION">
      <formula>NOT(ISERROR(SEARCH("LIGHT SELECTION",C168)))</formula>
    </cfRule>
  </conditionalFormatting>
  <conditionalFormatting sqref="C169:C170">
    <cfRule type="containsText" dxfId="8550" priority="7" operator="containsText" text="ANSUL SELECTION">
      <formula>NOT(ISERROR(SEARCH("ANSUL SELECTION",C169)))</formula>
    </cfRule>
  </conditionalFormatting>
  <conditionalFormatting sqref="C173:C174">
    <cfRule type="cellIs" dxfId="8547" priority="61" operator="lessThan">
      <formula>1</formula>
    </cfRule>
  </conditionalFormatting>
  <conditionalFormatting sqref="C175:C176">
    <cfRule type="expression" dxfId="8546" priority="31">
      <formula>D175="WW PODS"</formula>
    </cfRule>
  </conditionalFormatting>
  <conditionalFormatting sqref="C177">
    <cfRule type="expression" dxfId="8545" priority="76">
      <formula>ISNUMBER(SEARCH("UV",D167))</formula>
    </cfRule>
  </conditionalFormatting>
  <conditionalFormatting sqref="C178">
    <cfRule type="expression" dxfId="8544" priority="59">
      <formula>(ISNUMBER(SEARCH("CMW",D167)))=TRUE</formula>
    </cfRule>
  </conditionalFormatting>
  <conditionalFormatting sqref="C179">
    <cfRule type="expression" dxfId="8543" priority="52">
      <formula>(ISNUMBER(SEARCH("CMW",D167)))=TRUE</formula>
    </cfRule>
  </conditionalFormatting>
  <conditionalFormatting sqref="C183:C184">
    <cfRule type="cellIs" dxfId="8542" priority="673" operator="lessThan">
      <formula>1</formula>
    </cfRule>
  </conditionalFormatting>
  <conditionalFormatting sqref="C185:C186">
    <cfRule type="cellIs" dxfId="8541" priority="662" operator="lessThan">
      <formula>1</formula>
    </cfRule>
  </conditionalFormatting>
  <conditionalFormatting sqref="C187:C197">
    <cfRule type="cellIs" dxfId="8540" priority="273" operator="lessThan">
      <formula>1</formula>
    </cfRule>
  </conditionalFormatting>
  <conditionalFormatting sqref="C9:D9">
    <cfRule type="cellIs" dxfId="8539" priority="663" operator="lessThan">
      <formula>0</formula>
    </cfRule>
    <cfRule type="cellIs" dxfId="8538" priority="664" operator="greaterThan">
      <formula>0</formula>
    </cfRule>
  </conditionalFormatting>
  <conditionalFormatting sqref="D14">
    <cfRule type="containsText" dxfId="8537" priority="675" operator="containsText" text="CANOPY TYPE">
      <formula>NOT(ISERROR(SEARCH("CANOPY TYPE",D14)))</formula>
    </cfRule>
  </conditionalFormatting>
  <conditionalFormatting sqref="D15">
    <cfRule type="expression" dxfId="8536" priority="419">
      <formula>(C15="LIGHT SELECTION")</formula>
    </cfRule>
  </conditionalFormatting>
  <conditionalFormatting sqref="D18">
    <cfRule type="expression" dxfId="8535" priority="629">
      <formula>($C18="SELECT WORKS")</formula>
    </cfRule>
  </conditionalFormatting>
  <conditionalFormatting sqref="D19">
    <cfRule type="expression" dxfId="8534" priority="272">
      <formula>$C19="SELECT CLADDING"</formula>
    </cfRule>
  </conditionalFormatting>
  <conditionalFormatting sqref="D22:D23">
    <cfRule type="expression" dxfId="8533" priority="402">
      <formula>($D$14="CANOPY TYPE")</formula>
    </cfRule>
  </conditionalFormatting>
  <conditionalFormatting sqref="D24">
    <cfRule type="expression" dxfId="8532" priority="688">
      <formula>ISNUMBER(SEARCH("UV",D14))</formula>
    </cfRule>
  </conditionalFormatting>
  <conditionalFormatting sqref="D25">
    <cfRule type="expression" dxfId="8531" priority="614">
      <formula>($D$14="CANOPY TYPE")</formula>
    </cfRule>
  </conditionalFormatting>
  <conditionalFormatting sqref="D26">
    <cfRule type="expression" dxfId="8530" priority="637">
      <formula>(ISNUMBER(SEARCH("CMW",D14)))=TRUE</formula>
    </cfRule>
  </conditionalFormatting>
  <conditionalFormatting sqref="D31">
    <cfRule type="containsText" dxfId="8529" priority="596" operator="containsText" text="CANOPY TYPE">
      <formula>NOT(ISERROR(SEARCH("CANOPY TYPE",D31)))</formula>
    </cfRule>
  </conditionalFormatting>
  <conditionalFormatting sqref="D32">
    <cfRule type="expression" dxfId="8528" priority="432">
      <formula>(C32="LIGHT SELECTION")</formula>
    </cfRule>
  </conditionalFormatting>
  <conditionalFormatting sqref="D35">
    <cfRule type="expression" dxfId="8527" priority="589">
      <formula>($C35="SELECT WORKS")</formula>
    </cfRule>
  </conditionalFormatting>
  <conditionalFormatting sqref="D36">
    <cfRule type="expression" dxfId="8526" priority="411">
      <formula>$C36="SELECT CLADDING"</formula>
    </cfRule>
  </conditionalFormatting>
  <conditionalFormatting sqref="D39:D40">
    <cfRule type="expression" dxfId="8525" priority="387">
      <formula>($D$14="CANOPY TYPE")</formula>
    </cfRule>
  </conditionalFormatting>
  <conditionalFormatting sqref="D41">
    <cfRule type="expression" dxfId="8524" priority="608">
      <formula>ISNUMBER(SEARCH("UV",D31))</formula>
    </cfRule>
  </conditionalFormatting>
  <conditionalFormatting sqref="D42">
    <cfRule type="expression" dxfId="8523" priority="583">
      <formula>($D$14="CANOPY TYPE")</formula>
    </cfRule>
  </conditionalFormatting>
  <conditionalFormatting sqref="D43">
    <cfRule type="expression" dxfId="8522" priority="591">
      <formula>(ISNUMBER(SEARCH("CMW",D31)))=TRUE</formula>
    </cfRule>
  </conditionalFormatting>
  <conditionalFormatting sqref="D48">
    <cfRule type="containsText" dxfId="8521" priority="414" operator="containsText" text="CANOPY TYPE">
      <formula>NOT(ISERROR(SEARCH("CANOPY TYPE",D48)))</formula>
    </cfRule>
  </conditionalFormatting>
  <conditionalFormatting sqref="D49">
    <cfRule type="expression" dxfId="8520" priority="429">
      <formula>(C15="LIGHT SELECTION")</formula>
    </cfRule>
  </conditionalFormatting>
  <conditionalFormatting sqref="D52">
    <cfRule type="expression" dxfId="8519" priority="559">
      <formula>($C52="SELECT WORKS")</formula>
    </cfRule>
  </conditionalFormatting>
  <conditionalFormatting sqref="D53">
    <cfRule type="expression" dxfId="8518" priority="412">
      <formula>$C53="SELECT CLADDING"</formula>
    </cfRule>
  </conditionalFormatting>
  <conditionalFormatting sqref="D56:D57">
    <cfRule type="expression" dxfId="8517" priority="372">
      <formula>($D$14="CANOPY TYPE")</formula>
    </cfRule>
  </conditionalFormatting>
  <conditionalFormatting sqref="D58">
    <cfRule type="expression" dxfId="8516" priority="577">
      <formula>ISNUMBER(SEARCH("UV",D48))</formula>
    </cfRule>
  </conditionalFormatting>
  <conditionalFormatting sqref="D59">
    <cfRule type="expression" dxfId="8515" priority="554">
      <formula>($D$14="CANOPY TYPE")</formula>
    </cfRule>
  </conditionalFormatting>
  <conditionalFormatting sqref="D60">
    <cfRule type="expression" dxfId="8514" priority="561">
      <formula>(ISNUMBER(SEARCH("CMW",D48)))=TRUE</formula>
    </cfRule>
  </conditionalFormatting>
  <conditionalFormatting sqref="D65">
    <cfRule type="containsText" dxfId="8513" priority="413" operator="containsText" text="CANOPY TYPE">
      <formula>NOT(ISERROR(SEARCH("CANOPY TYPE",D65)))</formula>
    </cfRule>
  </conditionalFormatting>
  <conditionalFormatting sqref="D66">
    <cfRule type="expression" dxfId="8512" priority="422">
      <formula>(C66="LIGHT SELECTION")</formula>
    </cfRule>
  </conditionalFormatting>
  <conditionalFormatting sqref="D69">
    <cfRule type="expression" dxfId="8511" priority="529">
      <formula>($C69="SELECT WORKS")</formula>
    </cfRule>
  </conditionalFormatting>
  <conditionalFormatting sqref="D70">
    <cfRule type="expression" dxfId="8510" priority="533">
      <formula>$C70="SELECT CLADDING"</formula>
    </cfRule>
  </conditionalFormatting>
  <conditionalFormatting sqref="D73:D74">
    <cfRule type="expression" dxfId="8509" priority="357">
      <formula>($D$14="CANOPY TYPE")</formula>
    </cfRule>
  </conditionalFormatting>
  <conditionalFormatting sqref="D75">
    <cfRule type="expression" dxfId="8508" priority="548">
      <formula>ISNUMBER(SEARCH("UV",D65))</formula>
    </cfRule>
  </conditionalFormatting>
  <conditionalFormatting sqref="D76">
    <cfRule type="expression" dxfId="8507" priority="524">
      <formula>($D$14="CANOPY TYPE")</formula>
    </cfRule>
  </conditionalFormatting>
  <conditionalFormatting sqref="D77">
    <cfRule type="expression" dxfId="8506" priority="531">
      <formula>(ISNUMBER(SEARCH("CMW",D65)))=TRUE</formula>
    </cfRule>
  </conditionalFormatting>
  <conditionalFormatting sqref="D82">
    <cfRule type="containsText" dxfId="8505" priority="506" operator="containsText" text="CANOPY TYPE">
      <formula>NOT(ISERROR(SEARCH("CANOPY TYPE",D82)))</formula>
    </cfRule>
  </conditionalFormatting>
  <conditionalFormatting sqref="D83">
    <cfRule type="expression" dxfId="8504" priority="421">
      <formula>(C83="LIGHT SELECTION")</formula>
    </cfRule>
  </conditionalFormatting>
  <conditionalFormatting sqref="D86">
    <cfRule type="expression" dxfId="8503" priority="498">
      <formula>($C86="SELECT WORKS")</formula>
    </cfRule>
  </conditionalFormatting>
  <conditionalFormatting sqref="D87">
    <cfRule type="expression" dxfId="8502" priority="502">
      <formula>$C87="SELECT CLADDING"</formula>
    </cfRule>
  </conditionalFormatting>
  <conditionalFormatting sqref="D90:D91">
    <cfRule type="expression" dxfId="8501" priority="342">
      <formula>($D$14="CANOPY TYPE")</formula>
    </cfRule>
  </conditionalFormatting>
  <conditionalFormatting sqref="D92">
    <cfRule type="expression" dxfId="8500" priority="518">
      <formula>ISNUMBER(SEARCH("UV",D82))</formula>
    </cfRule>
  </conditionalFormatting>
  <conditionalFormatting sqref="D93">
    <cfRule type="expression" dxfId="8499" priority="493">
      <formula>($D$14="CANOPY TYPE")</formula>
    </cfRule>
  </conditionalFormatting>
  <conditionalFormatting sqref="D94">
    <cfRule type="expression" dxfId="8498" priority="500">
      <formula>(ISNUMBER(SEARCH("CMW",D82)))=TRUE</formula>
    </cfRule>
  </conditionalFormatting>
  <conditionalFormatting sqref="D99">
    <cfRule type="containsText" dxfId="8497" priority="475" operator="containsText" text="CANOPY TYPE">
      <formula>NOT(ISERROR(SEARCH("CANOPY TYPE",D99)))</formula>
    </cfRule>
  </conditionalFormatting>
  <conditionalFormatting sqref="D100">
    <cfRule type="expression" dxfId="8496" priority="420">
      <formula>(C100="LIGHT SELECTION")</formula>
    </cfRule>
  </conditionalFormatting>
  <conditionalFormatting sqref="D103">
    <cfRule type="expression" dxfId="8495" priority="468">
      <formula>($C103="SELECT WORKS")</formula>
    </cfRule>
  </conditionalFormatting>
  <conditionalFormatting sqref="D104">
    <cfRule type="expression" dxfId="8494" priority="410">
      <formula>$C104="SELECT CLADDING"</formula>
    </cfRule>
  </conditionalFormatting>
  <conditionalFormatting sqref="D107:D108">
    <cfRule type="expression" dxfId="8493" priority="327">
      <formula>($D$14="CANOPY TYPE")</formula>
    </cfRule>
  </conditionalFormatting>
  <conditionalFormatting sqref="D109">
    <cfRule type="expression" dxfId="8492" priority="487">
      <formula>ISNUMBER(SEARCH("UV",D99))</formula>
    </cfRule>
  </conditionalFormatting>
  <conditionalFormatting sqref="D110">
    <cfRule type="expression" dxfId="8491" priority="463">
      <formula>($D$14="CANOPY TYPE")</formula>
    </cfRule>
  </conditionalFormatting>
  <conditionalFormatting sqref="D111">
    <cfRule type="expression" dxfId="8490" priority="470">
      <formula>(ISNUMBER(SEARCH("CMW",D99)))=TRUE</formula>
    </cfRule>
  </conditionalFormatting>
  <conditionalFormatting sqref="D116">
    <cfRule type="containsText" dxfId="8489" priority="307" operator="containsText" text="CANOPY TYPE">
      <formula>NOT(ISERROR(SEARCH("CANOPY TYPE",D116)))</formula>
    </cfRule>
  </conditionalFormatting>
  <conditionalFormatting sqref="D117">
    <cfRule type="expression" dxfId="8488" priority="290">
      <formula>(C117="LIGHT SELECTION")</formula>
    </cfRule>
  </conditionalFormatting>
  <conditionalFormatting sqref="D120">
    <cfRule type="expression" dxfId="8487" priority="300">
      <formula>($C120="SELECT WORKS")</formula>
    </cfRule>
  </conditionalFormatting>
  <conditionalFormatting sqref="D121">
    <cfRule type="expression" dxfId="8486" priority="289">
      <formula>$C121="SELECT CLADDING"</formula>
    </cfRule>
  </conditionalFormatting>
  <conditionalFormatting sqref="D124:D125">
    <cfRule type="expression" dxfId="8485" priority="274">
      <formula>($D$14="CANOPY TYPE")</formula>
    </cfRule>
  </conditionalFormatting>
  <conditionalFormatting sqref="D126">
    <cfRule type="expression" dxfId="8484" priority="319">
      <formula>ISNUMBER(SEARCH("UV",D116))</formula>
    </cfRule>
  </conditionalFormatting>
  <conditionalFormatting sqref="D127">
    <cfRule type="expression" dxfId="8483" priority="297">
      <formula>($D$14="CANOPY TYPE")</formula>
    </cfRule>
  </conditionalFormatting>
  <conditionalFormatting sqref="D128">
    <cfRule type="expression" dxfId="8482" priority="302">
      <formula>(ISNUMBER(SEARCH("CMW",D116)))=TRUE</formula>
    </cfRule>
  </conditionalFormatting>
  <conditionalFormatting sqref="D133">
    <cfRule type="containsText" dxfId="8481" priority="170" operator="containsText" text="CANOPY TYPE">
      <formula>NOT(ISERROR(SEARCH("CANOPY TYPE",D133)))</formula>
    </cfRule>
  </conditionalFormatting>
  <conditionalFormatting sqref="D134">
    <cfRule type="expression" dxfId="8480" priority="115">
      <formula>(C134="LIGHT SELECTION")</formula>
    </cfRule>
  </conditionalFormatting>
  <conditionalFormatting sqref="D137">
    <cfRule type="expression" dxfId="8479" priority="162">
      <formula>($C137="SELECT WORKS")</formula>
    </cfRule>
  </conditionalFormatting>
  <conditionalFormatting sqref="D138">
    <cfRule type="expression" dxfId="8478" priority="166">
      <formula>$C138="SELECT CLADDING"</formula>
    </cfRule>
  </conditionalFormatting>
  <conditionalFormatting sqref="D141:D142">
    <cfRule type="expression" dxfId="8477" priority="98">
      <formula>($D$14="CANOPY TYPE")</formula>
    </cfRule>
  </conditionalFormatting>
  <conditionalFormatting sqref="D143">
    <cfRule type="expression" dxfId="8476" priority="182">
      <formula>ISNUMBER(SEARCH("UV",D133))</formula>
    </cfRule>
  </conditionalFormatting>
  <conditionalFormatting sqref="D144">
    <cfRule type="expression" dxfId="8475" priority="157">
      <formula>($D$14="CANOPY TYPE")</formula>
    </cfRule>
  </conditionalFormatting>
  <conditionalFormatting sqref="D145">
    <cfRule type="expression" dxfId="8474" priority="164">
      <formula>(ISNUMBER(SEARCH("CMW",D133)))=TRUE</formula>
    </cfRule>
  </conditionalFormatting>
  <conditionalFormatting sqref="D150">
    <cfRule type="containsText" dxfId="8473" priority="139" operator="containsText" text="CANOPY TYPE">
      <formula>NOT(ISERROR(SEARCH("CANOPY TYPE",D150)))</formula>
    </cfRule>
  </conditionalFormatting>
  <conditionalFormatting sqref="D151">
    <cfRule type="expression" dxfId="8472" priority="114">
      <formula>(C151="LIGHT SELECTION")</formula>
    </cfRule>
  </conditionalFormatting>
  <conditionalFormatting sqref="D154">
    <cfRule type="expression" dxfId="8471" priority="132">
      <formula>($C154="SELECT WORKS")</formula>
    </cfRule>
  </conditionalFormatting>
  <conditionalFormatting sqref="D155">
    <cfRule type="expression" dxfId="8470" priority="113">
      <formula>$C155="SELECT CLADDING"</formula>
    </cfRule>
  </conditionalFormatting>
  <conditionalFormatting sqref="D158:D159">
    <cfRule type="expression" dxfId="8469" priority="83">
      <formula>($D$14="CANOPY TYPE")</formula>
    </cfRule>
  </conditionalFormatting>
  <conditionalFormatting sqref="D160">
    <cfRule type="expression" dxfId="8468" priority="151">
      <formula>ISNUMBER(SEARCH("UV",D150))</formula>
    </cfRule>
  </conditionalFormatting>
  <conditionalFormatting sqref="D161">
    <cfRule type="expression" dxfId="8467" priority="129">
      <formula>($D$14="CANOPY TYPE")</formula>
    </cfRule>
  </conditionalFormatting>
  <conditionalFormatting sqref="D162">
    <cfRule type="expression" dxfId="8466" priority="134">
      <formula>(ISNUMBER(SEARCH("CMW",D150)))=TRUE</formula>
    </cfRule>
  </conditionalFormatting>
  <conditionalFormatting sqref="D167">
    <cfRule type="containsText" dxfId="8465" priority="63" operator="containsText" text="CANOPY TYPE">
      <formula>NOT(ISERROR(SEARCH("CANOPY TYPE",D167)))</formula>
    </cfRule>
  </conditionalFormatting>
  <conditionalFormatting sqref="D168">
    <cfRule type="expression" dxfId="8464" priority="46">
      <formula>(C168="LIGHT SELECTION")</formula>
    </cfRule>
  </conditionalFormatting>
  <conditionalFormatting sqref="D171">
    <cfRule type="expression" dxfId="8463" priority="56">
      <formula>($C171="SELECT WORKS")</formula>
    </cfRule>
  </conditionalFormatting>
  <conditionalFormatting sqref="D172">
    <cfRule type="expression" dxfId="8462" priority="45">
      <formula>$C172="SELECT CLADDING"</formula>
    </cfRule>
  </conditionalFormatting>
  <conditionalFormatting sqref="D175:D176">
    <cfRule type="expression" dxfId="8461" priority="30">
      <formula>($D$14="CANOPY TYPE")</formula>
    </cfRule>
  </conditionalFormatting>
  <conditionalFormatting sqref="D177">
    <cfRule type="expression" dxfId="8460" priority="75">
      <formula>ISNUMBER(SEARCH("UV",D167))</formula>
    </cfRule>
  </conditionalFormatting>
  <conditionalFormatting sqref="D178">
    <cfRule type="expression" dxfId="8459" priority="53">
      <formula>($D$14="CANOPY TYPE")</formula>
    </cfRule>
  </conditionalFormatting>
  <conditionalFormatting sqref="D179">
    <cfRule type="expression" dxfId="8458" priority="58">
      <formula>(ISNUMBER(SEARCH("CMW",D167)))=TRUE</formula>
    </cfRule>
  </conditionalFormatting>
  <conditionalFormatting sqref="E12">
    <cfRule type="expression" dxfId="8457" priority="685">
      <formula>AND((ISNUMBER(SEARCH("I-MUAP",$D$14))),E12&lt;2500)</formula>
    </cfRule>
    <cfRule type="expression" dxfId="8456" priority="686">
      <formula>ISNUMBER(SEARCH("I-MUAP",$D$14))</formula>
    </cfRule>
    <cfRule type="cellIs" dxfId="8455" priority="687" operator="greaterThan">
      <formula>2000</formula>
    </cfRule>
  </conditionalFormatting>
  <conditionalFormatting sqref="E15">
    <cfRule type="expression" dxfId="8454" priority="417">
      <formula>(C15="LIGHT SELECTION")</formula>
    </cfRule>
  </conditionalFormatting>
  <conditionalFormatting sqref="E17:E18">
    <cfRule type="expression" dxfId="8453" priority="628">
      <formula>$C17="SELECT WORKS"</formula>
    </cfRule>
  </conditionalFormatting>
  <conditionalFormatting sqref="E22:E23">
    <cfRule type="expression" dxfId="8452" priority="667">
      <formula>D22="WW PODS"</formula>
    </cfRule>
    <cfRule type="expression" dxfId="8451" priority="668">
      <formula>D22="FILTER TYPE"</formula>
    </cfRule>
    <cfRule type="expression" dxfId="8450" priority="669">
      <formula>D22="KSA"</formula>
    </cfRule>
    <cfRule type="expression" dxfId="8449" priority="690">
      <formula>(D14="CANOPY TYPE")</formula>
    </cfRule>
  </conditionalFormatting>
  <conditionalFormatting sqref="E24">
    <cfRule type="containsText" dxfId="8448" priority="677" operator="containsText" text="LONG ">
      <formula>NOT(ISERROR(SEARCH("LONG ",E24)))</formula>
    </cfRule>
  </conditionalFormatting>
  <conditionalFormatting sqref="E29">
    <cfRule type="expression" dxfId="8447" priority="605">
      <formula>AND((ISNUMBER(SEARCH("I-MUAP",$D$14))),E29&lt;2500)</formula>
    </cfRule>
    <cfRule type="expression" dxfId="8446" priority="606">
      <formula>ISNUMBER(SEARCH("I-MUAP",$D$14))</formula>
    </cfRule>
    <cfRule type="cellIs" dxfId="8445" priority="607" operator="greaterThan">
      <formula>2000</formula>
    </cfRule>
  </conditionalFormatting>
  <conditionalFormatting sqref="E34">
    <cfRule type="expression" dxfId="8444" priority="264">
      <formula>$C34="SELECT WORKS"</formula>
    </cfRule>
  </conditionalFormatting>
  <conditionalFormatting sqref="E39:E40">
    <cfRule type="expression" dxfId="8443" priority="389">
      <formula>D39="WW PODS"</formula>
    </cfRule>
    <cfRule type="expression" dxfId="8442" priority="390">
      <formula>D39="FILTER TYPE"</formula>
    </cfRule>
    <cfRule type="expression" dxfId="8441" priority="391">
      <formula>D39="KSA"</formula>
    </cfRule>
    <cfRule type="expression" dxfId="8440" priority="392">
      <formula>(D31="CANOPY TYPE")</formula>
    </cfRule>
  </conditionalFormatting>
  <conditionalFormatting sqref="E41">
    <cfRule type="containsText" dxfId="8439" priority="598" operator="containsText" text="LONG ">
      <formula>NOT(ISERROR(SEARCH("LONG ",E41)))</formula>
    </cfRule>
  </conditionalFormatting>
  <conditionalFormatting sqref="E46">
    <cfRule type="expression" dxfId="8438" priority="574">
      <formula>AND((ISNUMBER(SEARCH("I-MUAP",$D$14))),E46&lt;2500)</formula>
    </cfRule>
    <cfRule type="expression" dxfId="8437" priority="575">
      <formula>ISNUMBER(SEARCH("I-MUAP",$D$14))</formula>
    </cfRule>
    <cfRule type="cellIs" dxfId="8436" priority="576" operator="greaterThan">
      <formula>2000</formula>
    </cfRule>
  </conditionalFormatting>
  <conditionalFormatting sqref="E49">
    <cfRule type="expression" dxfId="8435" priority="431">
      <formula>(C49="LIGHT SELECTION")</formula>
    </cfRule>
  </conditionalFormatting>
  <conditionalFormatting sqref="E51:E52">
    <cfRule type="expression" dxfId="8434" priority="253">
      <formula>$C51="SELECT WORKS"</formula>
    </cfRule>
  </conditionalFormatting>
  <conditionalFormatting sqref="E56:E57">
    <cfRule type="expression" dxfId="8433" priority="374">
      <formula>D56="WW PODS"</formula>
    </cfRule>
    <cfRule type="expression" dxfId="8432" priority="375">
      <formula>D56="FILTER TYPE"</formula>
    </cfRule>
    <cfRule type="expression" dxfId="8431" priority="376">
      <formula>D56="KSA"</formula>
    </cfRule>
    <cfRule type="expression" dxfId="8430" priority="377">
      <formula>(D48="CANOPY TYPE")</formula>
    </cfRule>
  </conditionalFormatting>
  <conditionalFormatting sqref="E58">
    <cfRule type="containsText" dxfId="8429" priority="567" operator="containsText" text="LONG ">
      <formula>NOT(ISERROR(SEARCH("LONG ",E58)))</formula>
    </cfRule>
  </conditionalFormatting>
  <conditionalFormatting sqref="E63">
    <cfRule type="expression" dxfId="8428" priority="545">
      <formula>AND((ISNUMBER(SEARCH("I-MUAP",$D$14))),E63&lt;2500)</formula>
    </cfRule>
    <cfRule type="expression" dxfId="8427" priority="546">
      <formula>ISNUMBER(SEARCH("I-MUAP",$D$14))</formula>
    </cfRule>
    <cfRule type="cellIs" dxfId="8426" priority="547" operator="greaterThan">
      <formula>2000</formula>
    </cfRule>
  </conditionalFormatting>
  <conditionalFormatting sqref="E68:E69">
    <cfRule type="expression" dxfId="8425" priority="242">
      <formula>$C68="SELECT WORKS"</formula>
    </cfRule>
  </conditionalFormatting>
  <conditionalFormatting sqref="E73:E74">
    <cfRule type="expression" dxfId="8424" priority="359">
      <formula>D73="WW PODS"</formula>
    </cfRule>
    <cfRule type="expression" dxfId="8423" priority="360">
      <formula>D73="FILTER TYPE"</formula>
    </cfRule>
    <cfRule type="expression" dxfId="8422" priority="361">
      <formula>D73="KSA"</formula>
    </cfRule>
    <cfRule type="expression" dxfId="8421" priority="362">
      <formula>(D65="CANOPY TYPE")</formula>
    </cfRule>
  </conditionalFormatting>
  <conditionalFormatting sqref="E75">
    <cfRule type="containsText" dxfId="8420" priority="538" operator="containsText" text="LONG ">
      <formula>NOT(ISERROR(SEARCH("LONG ",E75)))</formula>
    </cfRule>
  </conditionalFormatting>
  <conditionalFormatting sqref="E80">
    <cfRule type="expression" dxfId="8419" priority="515">
      <formula>AND((ISNUMBER(SEARCH("I-MUAP",$D$14))),E80&lt;2500)</formula>
    </cfRule>
    <cfRule type="expression" dxfId="8418" priority="516">
      <formula>ISNUMBER(SEARCH("I-MUAP",$D$14))</formula>
    </cfRule>
    <cfRule type="cellIs" dxfId="8417" priority="517" operator="greaterThan">
      <formula>2000</formula>
    </cfRule>
  </conditionalFormatting>
  <conditionalFormatting sqref="E85:E86">
    <cfRule type="expression" dxfId="8416" priority="231">
      <formula>$C85="SELECT WORKS"</formula>
    </cfRule>
  </conditionalFormatting>
  <conditionalFormatting sqref="E90:E91">
    <cfRule type="expression" dxfId="8415" priority="344">
      <formula>D90="WW PODS"</formula>
    </cfRule>
    <cfRule type="expression" dxfId="8414" priority="345">
      <formula>D90="FILTER TYPE"</formula>
    </cfRule>
    <cfRule type="expression" dxfId="8413" priority="346">
      <formula>D90="KSA"</formula>
    </cfRule>
    <cfRule type="expression" dxfId="8412" priority="347">
      <formula>(D82="CANOPY TYPE")</formula>
    </cfRule>
  </conditionalFormatting>
  <conditionalFormatting sqref="E92">
    <cfRule type="containsText" dxfId="8411" priority="508" operator="containsText" text="LONG ">
      <formula>NOT(ISERROR(SEARCH("LONG ",E92)))</formula>
    </cfRule>
  </conditionalFormatting>
  <conditionalFormatting sqref="E97">
    <cfRule type="expression" dxfId="8410" priority="484">
      <formula>AND((ISNUMBER(SEARCH("I-MUAP",$D$14))),E97&lt;2500)</formula>
    </cfRule>
    <cfRule type="expression" dxfId="8409" priority="485">
      <formula>ISNUMBER(SEARCH("I-MUAP",$D$14))</formula>
    </cfRule>
    <cfRule type="cellIs" dxfId="8408" priority="486" operator="greaterThan">
      <formula>2000</formula>
    </cfRule>
  </conditionalFormatting>
  <conditionalFormatting sqref="E102:E103">
    <cfRule type="expression" dxfId="8407" priority="220">
      <formula>$C102="SELECT WORKS"</formula>
    </cfRule>
  </conditionalFormatting>
  <conditionalFormatting sqref="E107:E108">
    <cfRule type="expression" dxfId="8406" priority="329">
      <formula>D107="WW PODS"</formula>
    </cfRule>
    <cfRule type="expression" dxfId="8405" priority="330">
      <formula>D107="FILTER TYPE"</formula>
    </cfRule>
    <cfRule type="expression" dxfId="8404" priority="331">
      <formula>D107="KSA"</formula>
    </cfRule>
    <cfRule type="expression" dxfId="8403" priority="332">
      <formula>(D99="CANOPY TYPE")</formula>
    </cfRule>
  </conditionalFormatting>
  <conditionalFormatting sqref="E109">
    <cfRule type="containsText" dxfId="8402" priority="477" operator="containsText" text="LONG ">
      <formula>NOT(ISERROR(SEARCH("LONG ",E109)))</formula>
    </cfRule>
  </conditionalFormatting>
  <conditionalFormatting sqref="E114">
    <cfRule type="expression" dxfId="8401" priority="316">
      <formula>AND((ISNUMBER(SEARCH("I-MUAP",$D$14))),E114&lt;2500)</formula>
    </cfRule>
    <cfRule type="expression" dxfId="8400" priority="317">
      <formula>ISNUMBER(SEARCH("I-MUAP",$D$14))</formula>
    </cfRule>
    <cfRule type="cellIs" dxfId="8399" priority="318" operator="greaterThan">
      <formula>2000</formula>
    </cfRule>
  </conditionalFormatting>
  <conditionalFormatting sqref="E119:E120">
    <cfRule type="expression" dxfId="8398" priority="209">
      <formula>$C119="SELECT WORKS"</formula>
    </cfRule>
  </conditionalFormatting>
  <conditionalFormatting sqref="E124:E125">
    <cfRule type="expression" dxfId="8397" priority="276">
      <formula>D124="WW PODS"</formula>
    </cfRule>
    <cfRule type="expression" dxfId="8396" priority="277">
      <formula>D124="FILTER TYPE"</formula>
    </cfRule>
    <cfRule type="expression" dxfId="8395" priority="278">
      <formula>D124="KSA"</formula>
    </cfRule>
    <cfRule type="expression" dxfId="8394" priority="279">
      <formula>(D116="CANOPY TYPE")</formula>
    </cfRule>
  </conditionalFormatting>
  <conditionalFormatting sqref="E126">
    <cfRule type="containsText" dxfId="8393" priority="309" operator="containsText" text="LONG ">
      <formula>NOT(ISERROR(SEARCH("LONG ",E126)))</formula>
    </cfRule>
  </conditionalFormatting>
  <conditionalFormatting sqref="E131">
    <cfRule type="expression" dxfId="8392" priority="179">
      <formula>AND((ISNUMBER(SEARCH("I-MUAP",$D$14))),E131&lt;2500)</formula>
    </cfRule>
    <cfRule type="expression" dxfId="8391" priority="180">
      <formula>ISNUMBER(SEARCH("I-MUAP",$D$14))</formula>
    </cfRule>
    <cfRule type="cellIs" dxfId="8390" priority="181" operator="greaterThan">
      <formula>2000</formula>
    </cfRule>
  </conditionalFormatting>
  <conditionalFormatting sqref="E136:E137">
    <cfRule type="expression" dxfId="8389" priority="22">
      <formula>$C136="SELECT WORKS"</formula>
    </cfRule>
  </conditionalFormatting>
  <conditionalFormatting sqref="E141:E142">
    <cfRule type="expression" dxfId="8388" priority="100">
      <formula>D141="WW PODS"</formula>
    </cfRule>
    <cfRule type="expression" dxfId="8387" priority="101">
      <formula>D141="FILTER TYPE"</formula>
    </cfRule>
    <cfRule type="expression" dxfId="8386" priority="102">
      <formula>D141="KSA"</formula>
    </cfRule>
    <cfRule type="expression" dxfId="8385" priority="103">
      <formula>(D133="CANOPY TYPE")</formula>
    </cfRule>
  </conditionalFormatting>
  <conditionalFormatting sqref="E143">
    <cfRule type="containsText" dxfId="8384" priority="172" operator="containsText" text="LONG ">
      <formula>NOT(ISERROR(SEARCH("LONG ",E143)))</formula>
    </cfRule>
  </conditionalFormatting>
  <conditionalFormatting sqref="E148">
    <cfRule type="expression" dxfId="8383" priority="148">
      <formula>AND((ISNUMBER(SEARCH("I-MUAP",$D$14))),E148&lt;2500)</formula>
    </cfRule>
    <cfRule type="expression" dxfId="8382" priority="149">
      <formula>ISNUMBER(SEARCH("I-MUAP",$D$14))</formula>
    </cfRule>
    <cfRule type="cellIs" dxfId="8381" priority="150" operator="greaterThan">
      <formula>2000</formula>
    </cfRule>
  </conditionalFormatting>
  <conditionalFormatting sqref="E153:E154">
    <cfRule type="expression" dxfId="8380" priority="11">
      <formula>$C153="SELECT WORKS"</formula>
    </cfRule>
  </conditionalFormatting>
  <conditionalFormatting sqref="E158:E159">
    <cfRule type="expression" dxfId="8379" priority="85">
      <formula>D158="WW PODS"</formula>
    </cfRule>
    <cfRule type="expression" dxfId="8378" priority="86">
      <formula>D158="FILTER TYPE"</formula>
    </cfRule>
    <cfRule type="expression" dxfId="8377" priority="87">
      <formula>D158="KSA"</formula>
    </cfRule>
    <cfRule type="expression" dxfId="8376" priority="88">
      <formula>(D150="CANOPY TYPE")</formula>
    </cfRule>
  </conditionalFormatting>
  <conditionalFormatting sqref="E160">
    <cfRule type="containsText" dxfId="8375" priority="141" operator="containsText" text="LONG ">
      <formula>NOT(ISERROR(SEARCH("LONG ",E160)))</formula>
    </cfRule>
  </conditionalFormatting>
  <conditionalFormatting sqref="E165">
    <cfRule type="expression" dxfId="8374" priority="72">
      <formula>AND((ISNUMBER(SEARCH("I-MUAP",$D$14))),E165&lt;2500)</formula>
    </cfRule>
    <cfRule type="expression" dxfId="8373" priority="73">
      <formula>ISNUMBER(SEARCH("I-MUAP",$D$14))</formula>
    </cfRule>
    <cfRule type="cellIs" dxfId="8372" priority="74" operator="greaterThan">
      <formula>2000</formula>
    </cfRule>
  </conditionalFormatting>
  <conditionalFormatting sqref="E170:E171">
    <cfRule type="expression" dxfId="8371" priority="6">
      <formula>$C170="SELECT WORKS"</formula>
    </cfRule>
  </conditionalFormatting>
  <conditionalFormatting sqref="E175:E176">
    <cfRule type="expression" dxfId="8370" priority="32">
      <formula>D175="WW PODS"</formula>
    </cfRule>
    <cfRule type="expression" dxfId="8369" priority="33">
      <formula>D175="FILTER TYPE"</formula>
    </cfRule>
    <cfRule type="expression" dxfId="8368" priority="34">
      <formula>D175="KSA"</formula>
    </cfRule>
    <cfRule type="expression" dxfId="8367" priority="35">
      <formula>(D167="CANOPY TYPE")</formula>
    </cfRule>
  </conditionalFormatting>
  <conditionalFormatting sqref="E177">
    <cfRule type="containsText" dxfId="8366" priority="65" operator="containsText" text="LONG ">
      <formula>NOT(ISERROR(SEARCH("LONG ",E177)))</formula>
    </cfRule>
  </conditionalFormatting>
  <conditionalFormatting sqref="E12:F12">
    <cfRule type="cellIs" dxfId="8365" priority="681" operator="lessThan">
      <formula>1000</formula>
    </cfRule>
  </conditionalFormatting>
  <conditionalFormatting sqref="E14:F14">
    <cfRule type="cellIs" dxfId="8364" priority="678" operator="lessThan">
      <formula>1000</formula>
    </cfRule>
  </conditionalFormatting>
  <conditionalFormatting sqref="E25:F27">
    <cfRule type="expression" dxfId="8363" priority="615">
      <formula>($D$14="CANOPY TYPE")</formula>
    </cfRule>
  </conditionalFormatting>
  <conditionalFormatting sqref="E29:F29">
    <cfRule type="cellIs" dxfId="8362" priority="602" operator="lessThan">
      <formula>1000</formula>
    </cfRule>
  </conditionalFormatting>
  <conditionalFormatting sqref="E31:F31">
    <cfRule type="cellIs" dxfId="8361" priority="599" operator="lessThan">
      <formula>1000</formula>
    </cfRule>
  </conditionalFormatting>
  <conditionalFormatting sqref="E32:F32">
    <cfRule type="expression" dxfId="8360" priority="455">
      <formula>(C32="LIGHT SELECTION")</formula>
    </cfRule>
  </conditionalFormatting>
  <conditionalFormatting sqref="E42:F44">
    <cfRule type="expression" dxfId="8359" priority="584">
      <formula>($D$14="CANOPY TYPE")</formula>
    </cfRule>
  </conditionalFormatting>
  <conditionalFormatting sqref="E46:F46">
    <cfRule type="cellIs" dxfId="8358" priority="571" operator="lessThan">
      <formula>1000</formula>
    </cfRule>
  </conditionalFormatting>
  <conditionalFormatting sqref="E48:F48">
    <cfRule type="cellIs" dxfId="8357" priority="568" operator="lessThan">
      <formula>1000</formula>
    </cfRule>
  </conditionalFormatting>
  <conditionalFormatting sqref="E59:F61">
    <cfRule type="expression" dxfId="8356" priority="555">
      <formula>($D$14="CANOPY TYPE")</formula>
    </cfRule>
  </conditionalFormatting>
  <conditionalFormatting sqref="E63:F63">
    <cfRule type="cellIs" dxfId="8355" priority="542" operator="lessThan">
      <formula>1000</formula>
    </cfRule>
  </conditionalFormatting>
  <conditionalFormatting sqref="E65:F65">
    <cfRule type="cellIs" dxfId="8354" priority="539" operator="lessThan">
      <formula>1000</formula>
    </cfRule>
  </conditionalFormatting>
  <conditionalFormatting sqref="E66:F66">
    <cfRule type="expression" dxfId="8353" priority="448">
      <formula>(C66="LIGHT SELECTION")</formula>
    </cfRule>
  </conditionalFormatting>
  <conditionalFormatting sqref="E76:F78">
    <cfRule type="expression" dxfId="8352" priority="525">
      <formula>($D$14="CANOPY TYPE")</formula>
    </cfRule>
  </conditionalFormatting>
  <conditionalFormatting sqref="E80:F80">
    <cfRule type="cellIs" dxfId="8351" priority="512" operator="lessThan">
      <formula>1000</formula>
    </cfRule>
  </conditionalFormatting>
  <conditionalFormatting sqref="E82:F82">
    <cfRule type="cellIs" dxfId="8350" priority="509" operator="lessThan">
      <formula>1000</formula>
    </cfRule>
  </conditionalFormatting>
  <conditionalFormatting sqref="E83:F83">
    <cfRule type="expression" dxfId="8349" priority="444">
      <formula>(C83="LIGHT SELECTION")</formula>
    </cfRule>
  </conditionalFormatting>
  <conditionalFormatting sqref="E93:F95">
    <cfRule type="expression" dxfId="8348" priority="494">
      <formula>($D$14="CANOPY TYPE")</formula>
    </cfRule>
  </conditionalFormatting>
  <conditionalFormatting sqref="E97:F97">
    <cfRule type="cellIs" dxfId="8347" priority="481" operator="lessThan">
      <formula>1000</formula>
    </cfRule>
  </conditionalFormatting>
  <conditionalFormatting sqref="E99:F99">
    <cfRule type="cellIs" dxfId="8346" priority="478" operator="lessThan">
      <formula>1000</formula>
    </cfRule>
  </conditionalFormatting>
  <conditionalFormatting sqref="E100:F100">
    <cfRule type="expression" dxfId="8345" priority="440">
      <formula>(C100="LIGHT SELECTION")</formula>
    </cfRule>
  </conditionalFormatting>
  <conditionalFormatting sqref="E110:F112 E127:F129 E161:F163 E178:F180">
    <cfRule type="expression" dxfId="8344" priority="464">
      <formula>($D$14="CANOPY TYPE")</formula>
    </cfRule>
  </conditionalFormatting>
  <conditionalFormatting sqref="E114:F114">
    <cfRule type="cellIs" dxfId="8343" priority="313" operator="lessThan">
      <formula>1000</formula>
    </cfRule>
  </conditionalFormatting>
  <conditionalFormatting sqref="E116:F116">
    <cfRule type="cellIs" dxfId="8342" priority="310" operator="lessThan">
      <formula>1000</formula>
    </cfRule>
  </conditionalFormatting>
  <conditionalFormatting sqref="E117:F117">
    <cfRule type="expression" dxfId="8341" priority="294">
      <formula>(C117="LIGHT SELECTION")</formula>
    </cfRule>
  </conditionalFormatting>
  <conditionalFormatting sqref="E131:F131">
    <cfRule type="cellIs" dxfId="8340" priority="176" operator="lessThan">
      <formula>1000</formula>
    </cfRule>
  </conditionalFormatting>
  <conditionalFormatting sqref="E133:F133">
    <cfRule type="cellIs" dxfId="8339" priority="173" operator="lessThan">
      <formula>1000</formula>
    </cfRule>
  </conditionalFormatting>
  <conditionalFormatting sqref="E134:F134">
    <cfRule type="expression" dxfId="8338" priority="125">
      <formula>(C134="LIGHT SELECTION")</formula>
    </cfRule>
  </conditionalFormatting>
  <conditionalFormatting sqref="E144:F146">
    <cfRule type="expression" dxfId="8337" priority="158">
      <formula>($D$14="CANOPY TYPE")</formula>
    </cfRule>
  </conditionalFormatting>
  <conditionalFormatting sqref="E148:F148">
    <cfRule type="cellIs" dxfId="8336" priority="145" operator="lessThan">
      <formula>1000</formula>
    </cfRule>
  </conditionalFormatting>
  <conditionalFormatting sqref="E150:F150">
    <cfRule type="cellIs" dxfId="8335" priority="142" operator="lessThan">
      <formula>1000</formula>
    </cfRule>
  </conditionalFormatting>
  <conditionalFormatting sqref="E151:F151">
    <cfRule type="expression" dxfId="8334" priority="121">
      <formula>(C151="LIGHT SELECTION")</formula>
    </cfRule>
  </conditionalFormatting>
  <conditionalFormatting sqref="E165:F165">
    <cfRule type="cellIs" dxfId="8333" priority="69" operator="lessThan">
      <formula>1000</formula>
    </cfRule>
  </conditionalFormatting>
  <conditionalFormatting sqref="E167:F167">
    <cfRule type="cellIs" dxfId="8332" priority="66" operator="lessThan">
      <formula>1000</formula>
    </cfRule>
  </conditionalFormatting>
  <conditionalFormatting sqref="E168:F168">
    <cfRule type="expression" dxfId="8331" priority="50">
      <formula>(C168="LIGHT SELECTION")</formula>
    </cfRule>
  </conditionalFormatting>
  <conditionalFormatting sqref="F12">
    <cfRule type="cellIs" dxfId="8330" priority="682" operator="greaterThan">
      <formula>3001</formula>
    </cfRule>
  </conditionalFormatting>
  <conditionalFormatting sqref="F15">
    <cfRule type="expression" dxfId="8329" priority="457">
      <formula>(C15="LED STRIP")</formula>
    </cfRule>
    <cfRule type="expression" dxfId="8328" priority="670">
      <formula>(C15="LIGHT SELECTION")</formula>
    </cfRule>
    <cfRule type="expression" dxfId="8327" priority="672">
      <formula>(C15="FLO")</formula>
    </cfRule>
    <cfRule type="expression" dxfId="8326" priority="704">
      <formula>(D49="LIGHT SELECTION")</formula>
    </cfRule>
  </conditionalFormatting>
  <conditionalFormatting sqref="F22:F23">
    <cfRule type="expression" dxfId="8325" priority="695">
      <formula>D22="NF"</formula>
    </cfRule>
    <cfRule type="expression" dxfId="8324" priority="696">
      <formula>D22="WW PODS"</formula>
    </cfRule>
    <cfRule type="expression" dxfId="8323" priority="697">
      <formula>D22="GRILLE"</formula>
    </cfRule>
    <cfRule type="expression" dxfId="8322" priority="698">
      <formula>D22="CENTREX"</formula>
    </cfRule>
    <cfRule type="expression" dxfId="8321" priority="699" stopIfTrue="1">
      <formula>D14="canopy type"</formula>
    </cfRule>
    <cfRule type="expression" dxfId="8320" priority="700">
      <formula>(((I14*3600)/(C22*I11))^2+20)&gt;300</formula>
    </cfRule>
    <cfRule type="expression" dxfId="8319" priority="701" stopIfTrue="1">
      <formula>(ISNUMBER(SEARCH("UV",D14)))</formula>
    </cfRule>
    <cfRule type="expression" dxfId="8318" priority="702">
      <formula>(((I14*3600)/(C22*I11))^2+20)&gt;180</formula>
    </cfRule>
    <cfRule type="expression" dxfId="8317" priority="703">
      <formula>D22="KSA"</formula>
    </cfRule>
  </conditionalFormatting>
  <conditionalFormatting sqref="F24">
    <cfRule type="cellIs" dxfId="8316" priority="676" operator="lessThan">
      <formula>2100</formula>
    </cfRule>
  </conditionalFormatting>
  <conditionalFormatting sqref="F29">
    <cfRule type="cellIs" dxfId="8315" priority="603" operator="greaterThan">
      <formula>3001</formula>
    </cfRule>
  </conditionalFormatting>
  <conditionalFormatting sqref="F32">
    <cfRule type="expression" dxfId="8314" priority="453">
      <formula>(C32="LED STRIP")</formula>
    </cfRule>
    <cfRule type="expression" dxfId="8313" priority="454">
      <formula>(C32="LIGHT SELECTION")</formula>
    </cfRule>
    <cfRule type="expression" dxfId="8312" priority="456">
      <formula>(C32="FLO")</formula>
    </cfRule>
  </conditionalFormatting>
  <conditionalFormatting sqref="F39:F40">
    <cfRule type="expression" dxfId="8311" priority="393">
      <formula>D39="NF"</formula>
    </cfRule>
    <cfRule type="expression" dxfId="8310" priority="394">
      <formula>D39="WW PODS"</formula>
    </cfRule>
    <cfRule type="expression" dxfId="8309" priority="395">
      <formula>D39="GRILLE"</formula>
    </cfRule>
    <cfRule type="expression" dxfId="8308" priority="396">
      <formula>D39="CENTREX"</formula>
    </cfRule>
    <cfRule type="expression" dxfId="8307" priority="397" stopIfTrue="1">
      <formula>D31="canopy type"</formula>
    </cfRule>
    <cfRule type="expression" dxfId="8306" priority="398">
      <formula>(((I31*3600)/(C39*I28))^2+20)&gt;300</formula>
    </cfRule>
    <cfRule type="expression" dxfId="8305" priority="399" stopIfTrue="1">
      <formula>(ISNUMBER(SEARCH("UV",D31)))</formula>
    </cfRule>
    <cfRule type="expression" dxfId="8304" priority="400">
      <formula>(((I31*3600)/(C39*I28))^2+20)&gt;180</formula>
    </cfRule>
    <cfRule type="expression" dxfId="8303" priority="401">
      <formula>D39="KSA"</formula>
    </cfRule>
  </conditionalFormatting>
  <conditionalFormatting sqref="F41">
    <cfRule type="cellIs" dxfId="8302" priority="597" operator="lessThan">
      <formula>2100</formula>
    </cfRule>
  </conditionalFormatting>
  <conditionalFormatting sqref="F46">
    <cfRule type="cellIs" dxfId="8301" priority="572" operator="greaterThan">
      <formula>3001</formula>
    </cfRule>
  </conditionalFormatting>
  <conditionalFormatting sqref="F49">
    <cfRule type="expression" dxfId="8300" priority="450">
      <formula>(C49="LED STRIP")</formula>
    </cfRule>
    <cfRule type="expression" dxfId="8299" priority="451">
      <formula>(C49="LIGHT SELECTION")</formula>
    </cfRule>
    <cfRule type="expression" dxfId="8298" priority="452">
      <formula>(C49="FLO")</formula>
    </cfRule>
    <cfRule type="expression" dxfId="8297" priority="705">
      <formula>(#REF!="LIGHT SELECTION")</formula>
    </cfRule>
  </conditionalFormatting>
  <conditionalFormatting sqref="F56:F57">
    <cfRule type="expression" dxfId="8296" priority="378">
      <formula>D56="NF"</formula>
    </cfRule>
    <cfRule type="expression" dxfId="8295" priority="379">
      <formula>D56="WW PODS"</formula>
    </cfRule>
    <cfRule type="expression" dxfId="8294" priority="380">
      <formula>D56="GRILLE"</formula>
    </cfRule>
    <cfRule type="expression" dxfId="8293" priority="381">
      <formula>D56="CENTREX"</formula>
    </cfRule>
    <cfRule type="expression" dxfId="8292" priority="382" stopIfTrue="1">
      <formula>D48="canopy type"</formula>
    </cfRule>
    <cfRule type="expression" dxfId="8291" priority="383">
      <formula>(((I48*3600)/(C56*I45))^2+20)&gt;300</formula>
    </cfRule>
    <cfRule type="expression" dxfId="8290" priority="384" stopIfTrue="1">
      <formula>(ISNUMBER(SEARCH("UV",D48)))</formula>
    </cfRule>
    <cfRule type="expression" dxfId="8289" priority="385">
      <formula>(((I48*3600)/(C56*I45))^2+20)&gt;180</formula>
    </cfRule>
    <cfRule type="expression" dxfId="8288" priority="386">
      <formula>D56="KSA"</formula>
    </cfRule>
  </conditionalFormatting>
  <conditionalFormatting sqref="F58">
    <cfRule type="cellIs" dxfId="8287" priority="566" operator="lessThan">
      <formula>2100</formula>
    </cfRule>
  </conditionalFormatting>
  <conditionalFormatting sqref="F63">
    <cfRule type="cellIs" dxfId="8286" priority="543" operator="greaterThan">
      <formula>3001</formula>
    </cfRule>
  </conditionalFormatting>
  <conditionalFormatting sqref="F66">
    <cfRule type="expression" dxfId="8285" priority="446">
      <formula>(C66="LED STRIP")</formula>
    </cfRule>
    <cfRule type="expression" dxfId="8284" priority="447">
      <formula>(C66="LIGHT SELECTION")</formula>
    </cfRule>
    <cfRule type="expression" dxfId="8283" priority="449">
      <formula>(C66="FLO")</formula>
    </cfRule>
  </conditionalFormatting>
  <conditionalFormatting sqref="F73:F74">
    <cfRule type="expression" dxfId="8282" priority="363">
      <formula>D73="NF"</formula>
    </cfRule>
    <cfRule type="expression" dxfId="8281" priority="364">
      <formula>D73="WW PODS"</formula>
    </cfRule>
    <cfRule type="expression" dxfId="8280" priority="365">
      <formula>D73="GRILLE"</formula>
    </cfRule>
    <cfRule type="expression" dxfId="8279" priority="366">
      <formula>D73="CENTREX"</formula>
    </cfRule>
    <cfRule type="expression" dxfId="8278" priority="367" stopIfTrue="1">
      <formula>D65="canopy type"</formula>
    </cfRule>
    <cfRule type="expression" dxfId="8277" priority="368">
      <formula>(((I65*3600)/(C73*I62))^2+20)&gt;300</formula>
    </cfRule>
    <cfRule type="expression" dxfId="8276" priority="369" stopIfTrue="1">
      <formula>(ISNUMBER(SEARCH("UV",D65)))</formula>
    </cfRule>
    <cfRule type="expression" dxfId="8275" priority="370">
      <formula>(((I65*3600)/(C73*I62))^2+20)&gt;180</formula>
    </cfRule>
    <cfRule type="expression" dxfId="8274" priority="371">
      <formula>D73="KSA"</formula>
    </cfRule>
  </conditionalFormatting>
  <conditionalFormatting sqref="F75">
    <cfRule type="cellIs" dxfId="8273" priority="537" operator="lessThan">
      <formula>2100</formula>
    </cfRule>
  </conditionalFormatting>
  <conditionalFormatting sqref="F80">
    <cfRule type="cellIs" dxfId="8272" priority="513" operator="greaterThan">
      <formula>3001</formula>
    </cfRule>
  </conditionalFormatting>
  <conditionalFormatting sqref="F83">
    <cfRule type="expression" dxfId="8271" priority="442">
      <formula>(C83="LED STRIP")</formula>
    </cfRule>
    <cfRule type="expression" dxfId="8270" priority="443">
      <formula>(C83="LIGHT SELECTION")</formula>
    </cfRule>
    <cfRule type="expression" dxfId="8269" priority="445">
      <formula>(C83="FLO")</formula>
    </cfRule>
  </conditionalFormatting>
  <conditionalFormatting sqref="F90:F91">
    <cfRule type="expression" dxfId="8268" priority="348">
      <formula>D90="NF"</formula>
    </cfRule>
    <cfRule type="expression" dxfId="8267" priority="349">
      <formula>D90="WW PODS"</formula>
    </cfRule>
    <cfRule type="expression" dxfId="8266" priority="350">
      <formula>D90="GRILLE"</formula>
    </cfRule>
    <cfRule type="expression" dxfId="8265" priority="351">
      <formula>D90="CENTREX"</formula>
    </cfRule>
    <cfRule type="expression" dxfId="8264" priority="352" stopIfTrue="1">
      <formula>D82="canopy type"</formula>
    </cfRule>
    <cfRule type="expression" dxfId="8263" priority="353">
      <formula>(((I82*3600)/(C90*I79))^2+20)&gt;300</formula>
    </cfRule>
    <cfRule type="expression" dxfId="8262" priority="354" stopIfTrue="1">
      <formula>(ISNUMBER(SEARCH("UV",D82)))</formula>
    </cfRule>
    <cfRule type="expression" dxfId="8261" priority="355">
      <formula>(((I82*3600)/(C90*I79))^2+20)&gt;180</formula>
    </cfRule>
    <cfRule type="expression" dxfId="8260" priority="356">
      <formula>D90="KSA"</formula>
    </cfRule>
  </conditionalFormatting>
  <conditionalFormatting sqref="F92">
    <cfRule type="cellIs" dxfId="8259" priority="507" operator="lessThan">
      <formula>2100</formula>
    </cfRule>
  </conditionalFormatting>
  <conditionalFormatting sqref="F97">
    <cfRule type="cellIs" dxfId="8258" priority="482" operator="greaterThan">
      <formula>3001</formula>
    </cfRule>
  </conditionalFormatting>
  <conditionalFormatting sqref="F100">
    <cfRule type="expression" dxfId="8257" priority="438">
      <formula>(C100="LED STRIP")</formula>
    </cfRule>
    <cfRule type="expression" dxfId="8256" priority="439">
      <formula>(C100="LIGHT SELECTION")</formula>
    </cfRule>
    <cfRule type="expression" dxfId="8255" priority="441">
      <formula>(C100="FLO")</formula>
    </cfRule>
  </conditionalFormatting>
  <conditionalFormatting sqref="F107:F108">
    <cfRule type="expression" dxfId="8254" priority="333">
      <formula>D107="NF"</formula>
    </cfRule>
    <cfRule type="expression" dxfId="8253" priority="334">
      <formula>D107="WW PODS"</formula>
    </cfRule>
    <cfRule type="expression" dxfId="8252" priority="335">
      <formula>D107="GRILLE"</formula>
    </cfRule>
    <cfRule type="expression" dxfId="8251" priority="336">
      <formula>D107="CENTREX"</formula>
    </cfRule>
    <cfRule type="expression" dxfId="8250" priority="337" stopIfTrue="1">
      <formula>D99="canopy type"</formula>
    </cfRule>
    <cfRule type="expression" dxfId="8249" priority="338">
      <formula>(((I99*3600)/(C107*I96))^2+20)&gt;300</formula>
    </cfRule>
    <cfRule type="expression" dxfId="8248" priority="339" stopIfTrue="1">
      <formula>(ISNUMBER(SEARCH("UV",D99)))</formula>
    </cfRule>
    <cfRule type="expression" dxfId="8247" priority="340">
      <formula>(((I99*3600)/(C107*I96))^2+20)&gt;180</formula>
    </cfRule>
    <cfRule type="expression" dxfId="8246" priority="341">
      <formula>D107="KSA"</formula>
    </cfRule>
  </conditionalFormatting>
  <conditionalFormatting sqref="F109">
    <cfRule type="cellIs" dxfId="8245" priority="476" operator="lessThan">
      <formula>2100</formula>
    </cfRule>
  </conditionalFormatting>
  <conditionalFormatting sqref="F114">
    <cfRule type="cellIs" dxfId="8244" priority="314" operator="greaterThan">
      <formula>3001</formula>
    </cfRule>
  </conditionalFormatting>
  <conditionalFormatting sqref="F117">
    <cfRule type="expression" dxfId="8243" priority="292">
      <formula>(C117="LED STRIP")</formula>
    </cfRule>
    <cfRule type="expression" dxfId="8242" priority="293">
      <formula>(C117="LIGHT SELECTION")</formula>
    </cfRule>
    <cfRule type="expression" dxfId="8241" priority="295">
      <formula>(C117="FLO")</formula>
    </cfRule>
  </conditionalFormatting>
  <conditionalFormatting sqref="F124:F125">
    <cfRule type="expression" dxfId="8240" priority="280">
      <formula>D124="NF"</formula>
    </cfRule>
    <cfRule type="expression" dxfId="8239" priority="281">
      <formula>D124="WW PODS"</formula>
    </cfRule>
    <cfRule type="expression" dxfId="8238" priority="282">
      <formula>D124="GRILLE"</formula>
    </cfRule>
    <cfRule type="expression" dxfId="8237" priority="283">
      <formula>D124="CENTREX"</formula>
    </cfRule>
    <cfRule type="expression" dxfId="8236" priority="284" stopIfTrue="1">
      <formula>D116="canopy type"</formula>
    </cfRule>
    <cfRule type="expression" dxfId="8235" priority="285">
      <formula>(((I116*3600)/(C124*I113))^2+20)&gt;300</formula>
    </cfRule>
    <cfRule type="expression" dxfId="8234" priority="286" stopIfTrue="1">
      <formula>(ISNUMBER(SEARCH("UV",D116)))</formula>
    </cfRule>
    <cfRule type="expression" dxfId="8233" priority="287">
      <formula>(((I116*3600)/(C124*I113))^2+20)&gt;180</formula>
    </cfRule>
    <cfRule type="expression" dxfId="8232" priority="288">
      <formula>D124="KSA"</formula>
    </cfRule>
  </conditionalFormatting>
  <conditionalFormatting sqref="F126">
    <cfRule type="cellIs" dxfId="8231" priority="308" operator="lessThan">
      <formula>2100</formula>
    </cfRule>
  </conditionalFormatting>
  <conditionalFormatting sqref="F131">
    <cfRule type="cellIs" dxfId="8230" priority="177" operator="greaterThan">
      <formula>3001</formula>
    </cfRule>
  </conditionalFormatting>
  <conditionalFormatting sqref="F134">
    <cfRule type="expression" dxfId="8229" priority="123">
      <formula>(C134="LED STRIP")</formula>
    </cfRule>
    <cfRule type="expression" dxfId="8228" priority="124">
      <formula>(C134="LIGHT SELECTION")</formula>
    </cfRule>
    <cfRule type="expression" dxfId="8227" priority="126">
      <formula>(C134="FLO")</formula>
    </cfRule>
  </conditionalFormatting>
  <conditionalFormatting sqref="F141:F142">
    <cfRule type="expression" dxfId="8226" priority="104">
      <formula>D141="NF"</formula>
    </cfRule>
    <cfRule type="expression" dxfId="8225" priority="105">
      <formula>D141="WW PODS"</formula>
    </cfRule>
    <cfRule type="expression" dxfId="8224" priority="106">
      <formula>D141="GRILLE"</formula>
    </cfRule>
    <cfRule type="expression" dxfId="8223" priority="107">
      <formula>D141="CENTREX"</formula>
    </cfRule>
    <cfRule type="expression" dxfId="8222" priority="108" stopIfTrue="1">
      <formula>D133="canopy type"</formula>
    </cfRule>
    <cfRule type="expression" dxfId="8221" priority="109">
      <formula>(((I133*3600)/(C141*I130))^2+20)&gt;300</formula>
    </cfRule>
    <cfRule type="expression" dxfId="8220" priority="110" stopIfTrue="1">
      <formula>(ISNUMBER(SEARCH("UV",D133)))</formula>
    </cfRule>
    <cfRule type="expression" dxfId="8219" priority="111">
      <formula>(((I133*3600)/(C141*I130))^2+20)&gt;180</formula>
    </cfRule>
    <cfRule type="expression" dxfId="8218" priority="112">
      <formula>D141="KSA"</formula>
    </cfRule>
  </conditionalFormatting>
  <conditionalFormatting sqref="F143">
    <cfRule type="cellIs" dxfId="8217" priority="171" operator="lessThan">
      <formula>2100</formula>
    </cfRule>
  </conditionalFormatting>
  <conditionalFormatting sqref="F148">
    <cfRule type="cellIs" dxfId="8216" priority="146" operator="greaterThan">
      <formula>3001</formula>
    </cfRule>
  </conditionalFormatting>
  <conditionalFormatting sqref="F151">
    <cfRule type="expression" dxfId="8215" priority="119">
      <formula>(C151="LED STRIP")</formula>
    </cfRule>
    <cfRule type="expression" dxfId="8214" priority="120">
      <formula>(C151="LIGHT SELECTION")</formula>
    </cfRule>
    <cfRule type="expression" dxfId="8213" priority="122">
      <formula>(C151="FLO")</formula>
    </cfRule>
  </conditionalFormatting>
  <conditionalFormatting sqref="F158:F159">
    <cfRule type="expression" dxfId="8212" priority="89">
      <formula>D158="NF"</formula>
    </cfRule>
    <cfRule type="expression" dxfId="8211" priority="90">
      <formula>D158="WW PODS"</formula>
    </cfRule>
    <cfRule type="expression" dxfId="8210" priority="91">
      <formula>D158="GRILLE"</formula>
    </cfRule>
    <cfRule type="expression" dxfId="8209" priority="92">
      <formula>D158="CENTREX"</formula>
    </cfRule>
    <cfRule type="expression" dxfId="8208" priority="93" stopIfTrue="1">
      <formula>D150="canopy type"</formula>
    </cfRule>
    <cfRule type="expression" dxfId="8207" priority="94">
      <formula>(((I150*3600)/(C158*I147))^2+20)&gt;300</formula>
    </cfRule>
    <cfRule type="expression" dxfId="8206" priority="95" stopIfTrue="1">
      <formula>(ISNUMBER(SEARCH("UV",D150)))</formula>
    </cfRule>
    <cfRule type="expression" dxfId="8205" priority="96">
      <formula>(((I150*3600)/(C158*I147))^2+20)&gt;180</formula>
    </cfRule>
    <cfRule type="expression" dxfId="8204" priority="97">
      <formula>D158="KSA"</formula>
    </cfRule>
  </conditionalFormatting>
  <conditionalFormatting sqref="F160">
    <cfRule type="cellIs" dxfId="8203" priority="140" operator="lessThan">
      <formula>2100</formula>
    </cfRule>
  </conditionalFormatting>
  <conditionalFormatting sqref="F165">
    <cfRule type="cellIs" dxfId="8202" priority="70" operator="greaterThan">
      <formula>3001</formula>
    </cfRule>
  </conditionalFormatting>
  <conditionalFormatting sqref="F168">
    <cfRule type="expression" dxfId="8201" priority="48">
      <formula>(C168="LED STRIP")</formula>
    </cfRule>
    <cfRule type="expression" dxfId="8200" priority="49">
      <formula>(C168="LIGHT SELECTION")</formula>
    </cfRule>
    <cfRule type="expression" dxfId="8199" priority="51">
      <formula>(C168="FLO")</formula>
    </cfRule>
  </conditionalFormatting>
  <conditionalFormatting sqref="F175:F176">
    <cfRule type="expression" dxfId="8198" priority="36">
      <formula>D175="NF"</formula>
    </cfRule>
    <cfRule type="expression" dxfId="8197" priority="37">
      <formula>D175="WW PODS"</formula>
    </cfRule>
    <cfRule type="expression" dxfId="8196" priority="38">
      <formula>D175="GRILLE"</formula>
    </cfRule>
    <cfRule type="expression" dxfId="8195" priority="39">
      <formula>D175="CENTREX"</formula>
    </cfRule>
    <cfRule type="expression" dxfId="8194" priority="40" stopIfTrue="1">
      <formula>D167="canopy type"</formula>
    </cfRule>
    <cfRule type="expression" dxfId="8193" priority="41">
      <formula>(((I167*3600)/(C175*I164))^2+20)&gt;300</formula>
    </cfRule>
    <cfRule type="expression" dxfId="8192" priority="42" stopIfTrue="1">
      <formula>(ISNUMBER(SEARCH("UV",D167)))</formula>
    </cfRule>
    <cfRule type="expression" dxfId="8191" priority="43">
      <formula>(((I167*3600)/(C175*I164))^2+20)&gt;180</formula>
    </cfRule>
    <cfRule type="expression" dxfId="8190" priority="44">
      <formula>D175="KSA"</formula>
    </cfRule>
  </conditionalFormatting>
  <conditionalFormatting sqref="F177">
    <cfRule type="cellIs" dxfId="8189" priority="64" operator="lessThan">
      <formula>2100</formula>
    </cfRule>
  </conditionalFormatting>
  <conditionalFormatting sqref="G11">
    <cfRule type="expression" dxfId="8188" priority="684">
      <formula>((F14-50)/H14)&lt;950</formula>
    </cfRule>
  </conditionalFormatting>
  <conditionalFormatting sqref="G12">
    <cfRule type="expression" dxfId="8187" priority="683">
      <formula>((F14-50)/H14)&lt;950</formula>
    </cfRule>
  </conditionalFormatting>
  <conditionalFormatting sqref="G14">
    <cfRule type="cellIs" dxfId="8186" priority="679" operator="lessThan">
      <formula>400</formula>
    </cfRule>
  </conditionalFormatting>
  <conditionalFormatting sqref="G28">
    <cfRule type="expression" dxfId="8185" priority="626">
      <formula>((F31-50)/H31)&lt;950</formula>
    </cfRule>
  </conditionalFormatting>
  <conditionalFormatting sqref="G29">
    <cfRule type="expression" dxfId="8184" priority="604">
      <formula>((F31-50)/H31)&lt;950</formula>
    </cfRule>
  </conditionalFormatting>
  <conditionalFormatting sqref="G31">
    <cfRule type="cellIs" dxfId="8183" priority="600" operator="lessThan">
      <formula>400</formula>
    </cfRule>
  </conditionalFormatting>
  <conditionalFormatting sqref="G45">
    <cfRule type="expression" dxfId="8182" priority="643">
      <formula>((F48-50)/H48)&lt;950</formula>
    </cfRule>
  </conditionalFormatting>
  <conditionalFormatting sqref="G46">
    <cfRule type="expression" dxfId="8181" priority="573">
      <formula>((F48-50)/H48)&lt;950</formula>
    </cfRule>
  </conditionalFormatting>
  <conditionalFormatting sqref="G48">
    <cfRule type="cellIs" dxfId="8180" priority="569" operator="lessThan">
      <formula>400</formula>
    </cfRule>
  </conditionalFormatting>
  <conditionalFormatting sqref="G62">
    <cfRule type="expression" dxfId="8179" priority="644">
      <formula>((F65-50)/H65)&lt;950</formula>
    </cfRule>
  </conditionalFormatting>
  <conditionalFormatting sqref="G63">
    <cfRule type="expression" dxfId="8178" priority="544">
      <formula>((F65-50)/H65)&lt;950</formula>
    </cfRule>
  </conditionalFormatting>
  <conditionalFormatting sqref="G65">
    <cfRule type="cellIs" dxfId="8177" priority="540" operator="lessThan">
      <formula>400</formula>
    </cfRule>
  </conditionalFormatting>
  <conditionalFormatting sqref="G79">
    <cfRule type="expression" dxfId="8176" priority="645">
      <formula>((F82-50)/H82)&lt;950</formula>
    </cfRule>
  </conditionalFormatting>
  <conditionalFormatting sqref="G80">
    <cfRule type="expression" dxfId="8175" priority="514">
      <formula>((F82-50)/H82)&lt;950</formula>
    </cfRule>
  </conditionalFormatting>
  <conditionalFormatting sqref="G82">
    <cfRule type="cellIs" dxfId="8174" priority="510" operator="lessThan">
      <formula>400</formula>
    </cfRule>
  </conditionalFormatting>
  <conditionalFormatting sqref="G96">
    <cfRule type="expression" dxfId="8173" priority="653">
      <formula>((F99-50)/H99)&lt;950</formula>
    </cfRule>
  </conditionalFormatting>
  <conditionalFormatting sqref="G97">
    <cfRule type="expression" dxfId="8172" priority="483">
      <formula>((F99-50)/H99)&lt;950</formula>
    </cfRule>
  </conditionalFormatting>
  <conditionalFormatting sqref="G99">
    <cfRule type="cellIs" dxfId="8171" priority="479" operator="lessThan">
      <formula>400</formula>
    </cfRule>
  </conditionalFormatting>
  <conditionalFormatting sqref="G113">
    <cfRule type="expression" dxfId="8170" priority="326">
      <formula>((F116-50)/H116)&lt;950</formula>
    </cfRule>
  </conditionalFormatting>
  <conditionalFormatting sqref="G114">
    <cfRule type="expression" dxfId="8169" priority="315">
      <formula>((F116-50)/H116)&lt;950</formula>
    </cfRule>
  </conditionalFormatting>
  <conditionalFormatting sqref="G116">
    <cfRule type="cellIs" dxfId="8168" priority="311" operator="lessThan">
      <formula>400</formula>
    </cfRule>
  </conditionalFormatting>
  <conditionalFormatting sqref="G130">
    <cfRule type="expression" dxfId="8167" priority="190">
      <formula>((F133-50)/H133)&lt;950</formula>
    </cfRule>
  </conditionalFormatting>
  <conditionalFormatting sqref="G131">
    <cfRule type="expression" dxfId="8166" priority="178">
      <formula>((F133-50)/H133)&lt;950</formula>
    </cfRule>
  </conditionalFormatting>
  <conditionalFormatting sqref="G133">
    <cfRule type="cellIs" dxfId="8165" priority="174" operator="lessThan">
      <formula>400</formula>
    </cfRule>
  </conditionalFormatting>
  <conditionalFormatting sqref="G147">
    <cfRule type="expression" dxfId="8164" priority="191">
      <formula>((F150-50)/H150)&lt;950</formula>
    </cfRule>
  </conditionalFormatting>
  <conditionalFormatting sqref="G148">
    <cfRule type="expression" dxfId="8163" priority="147">
      <formula>((F150-50)/H150)&lt;950</formula>
    </cfRule>
  </conditionalFormatting>
  <conditionalFormatting sqref="G150">
    <cfRule type="cellIs" dxfId="8162" priority="143" operator="lessThan">
      <formula>400</formula>
    </cfRule>
  </conditionalFormatting>
  <conditionalFormatting sqref="G164">
    <cfRule type="expression" dxfId="8161" priority="82">
      <formula>((F167-50)/H167)&lt;950</formula>
    </cfRule>
  </conditionalFormatting>
  <conditionalFormatting sqref="G165">
    <cfRule type="expression" dxfId="8160" priority="71">
      <formula>((F167-50)/H167)&lt;950</formula>
    </cfRule>
  </conditionalFormatting>
  <conditionalFormatting sqref="G167">
    <cfRule type="cellIs" dxfId="8159" priority="67" operator="lessThan">
      <formula>400</formula>
    </cfRule>
  </conditionalFormatting>
  <conditionalFormatting sqref="I14">
    <cfRule type="cellIs" dxfId="8158" priority="680" operator="lessThan">
      <formula>0.1</formula>
    </cfRule>
  </conditionalFormatting>
  <conditionalFormatting sqref="I31">
    <cfRule type="cellIs" dxfId="8157" priority="601" operator="lessThan">
      <formula>0.1</formula>
    </cfRule>
  </conditionalFormatting>
  <conditionalFormatting sqref="I48">
    <cfRule type="cellIs" dxfId="8156" priority="570" operator="lessThan">
      <formula>0.1</formula>
    </cfRule>
  </conditionalFormatting>
  <conditionalFormatting sqref="I65">
    <cfRule type="cellIs" dxfId="8155" priority="541" operator="lessThan">
      <formula>0.1</formula>
    </cfRule>
  </conditionalFormatting>
  <conditionalFormatting sqref="I82">
    <cfRule type="cellIs" dxfId="8154" priority="511" operator="lessThan">
      <formula>0.1</formula>
    </cfRule>
  </conditionalFormatting>
  <conditionalFormatting sqref="I99">
    <cfRule type="cellIs" dxfId="8153" priority="480" operator="lessThan">
      <formula>0.1</formula>
    </cfRule>
  </conditionalFormatting>
  <conditionalFormatting sqref="I116">
    <cfRule type="cellIs" dxfId="8152" priority="312" operator="lessThan">
      <formula>0.1</formula>
    </cfRule>
  </conditionalFormatting>
  <conditionalFormatting sqref="I133">
    <cfRule type="cellIs" dxfId="8151" priority="175" operator="lessThan">
      <formula>0.1</formula>
    </cfRule>
  </conditionalFormatting>
  <conditionalFormatting sqref="I150">
    <cfRule type="cellIs" dxfId="8150" priority="144" operator="lessThan">
      <formula>0.1</formula>
    </cfRule>
  </conditionalFormatting>
  <conditionalFormatting sqref="I167">
    <cfRule type="cellIs" dxfId="8149" priority="68" operator="lessThan">
      <formula>0.1</formula>
    </cfRule>
  </conditionalFormatting>
  <conditionalFormatting sqref="J14:J27">
    <cfRule type="cellIs" dxfId="8148" priority="404" operator="greaterThan">
      <formula>0</formula>
    </cfRule>
  </conditionalFormatting>
  <conditionalFormatting sqref="J31:J44">
    <cfRule type="cellIs" dxfId="8147" priority="261" operator="greaterThan">
      <formula>0</formula>
    </cfRule>
  </conditionalFormatting>
  <conditionalFormatting sqref="J48:J61">
    <cfRule type="cellIs" dxfId="8146" priority="250" operator="greaterThan">
      <formula>0</formula>
    </cfRule>
  </conditionalFormatting>
  <conditionalFormatting sqref="J65:J78">
    <cfRule type="cellIs" dxfId="8145" priority="239" operator="greaterThan">
      <formula>0</formula>
    </cfRule>
  </conditionalFormatting>
  <conditionalFormatting sqref="J82:J95">
    <cfRule type="cellIs" dxfId="8144" priority="228" operator="greaterThan">
      <formula>0</formula>
    </cfRule>
  </conditionalFormatting>
  <conditionalFormatting sqref="J99:J112">
    <cfRule type="cellIs" dxfId="8143" priority="217" operator="greaterThan">
      <formula>0</formula>
    </cfRule>
  </conditionalFormatting>
  <conditionalFormatting sqref="J116:J129 J167:J180">
    <cfRule type="cellIs" dxfId="8142" priority="206" operator="greaterThan">
      <formula>0</formula>
    </cfRule>
  </conditionalFormatting>
  <conditionalFormatting sqref="J133:J146">
    <cfRule type="cellIs" dxfId="8141" priority="19" operator="greaterThan">
      <formula>0</formula>
    </cfRule>
  </conditionalFormatting>
  <conditionalFormatting sqref="J150:J163">
    <cfRule type="cellIs" dxfId="8140" priority="8" operator="greaterThan">
      <formula>0</formula>
    </cfRule>
  </conditionalFormatting>
  <conditionalFormatting sqref="J183:J197">
    <cfRule type="expression" dxfId="8139" priority="654">
      <formula>C183&gt;0</formula>
    </cfRule>
  </conditionalFormatting>
  <conditionalFormatting sqref="J199">
    <cfRule type="expression" dxfId="8138" priority="659">
      <formula>#REF!="EURO"</formula>
    </cfRule>
  </conditionalFormatting>
  <conditionalFormatting sqref="K14:K27">
    <cfRule type="cellIs" dxfId="8137" priority="418" operator="greaterThan">
      <formula>0</formula>
    </cfRule>
  </conditionalFormatting>
  <conditionalFormatting sqref="K31:K44">
    <cfRule type="cellIs" dxfId="8136" priority="262" operator="greaterThan">
      <formula>0</formula>
    </cfRule>
  </conditionalFormatting>
  <conditionalFormatting sqref="K48:K61">
    <cfRule type="cellIs" dxfId="8135" priority="251" operator="greaterThan">
      <formula>0</formula>
    </cfRule>
  </conditionalFormatting>
  <conditionalFormatting sqref="K65:K78">
    <cfRule type="cellIs" dxfId="8134" priority="240" operator="greaterThan">
      <formula>0</formula>
    </cfRule>
  </conditionalFormatting>
  <conditionalFormatting sqref="K82:K95">
    <cfRule type="cellIs" dxfId="8133" priority="229" operator="greaterThan">
      <formula>0</formula>
    </cfRule>
  </conditionalFormatting>
  <conditionalFormatting sqref="K99:K112">
    <cfRule type="cellIs" dxfId="8132" priority="218" operator="greaterThan">
      <formula>0</formula>
    </cfRule>
  </conditionalFormatting>
  <conditionalFormatting sqref="K116:K129 K167:K180">
    <cfRule type="cellIs" dxfId="8131" priority="207" operator="greaterThan">
      <formula>0</formula>
    </cfRule>
  </conditionalFormatting>
  <conditionalFormatting sqref="K133:K146">
    <cfRule type="cellIs" dxfId="8130" priority="20" operator="greaterThan">
      <formula>0</formula>
    </cfRule>
  </conditionalFormatting>
  <conditionalFormatting sqref="K150:K163">
    <cfRule type="cellIs" dxfId="8129" priority="9" operator="greaterThan">
      <formula>0</formula>
    </cfRule>
  </conditionalFormatting>
  <conditionalFormatting sqref="K183:K197">
    <cfRule type="cellIs" dxfId="8128" priority="661" operator="greaterThan">
      <formula>0</formula>
    </cfRule>
  </conditionalFormatting>
  <conditionalFormatting sqref="K199">
    <cfRule type="expression" dxfId="8127" priority="655">
      <formula>$B$9="PLN"</formula>
    </cfRule>
    <cfRule type="expression" dxfId="8126" priority="656">
      <formula>$B$9="CZK"</formula>
    </cfRule>
    <cfRule type="expression" dxfId="8125" priority="657">
      <formula>$B$9="USD"</formula>
    </cfRule>
    <cfRule type="expression" dxfId="8124" priority="658">
      <formula>$B$9="EURO"</formula>
    </cfRule>
  </conditionalFormatting>
  <conditionalFormatting sqref="L14:L27">
    <cfRule type="expression" dxfId="8123" priority="415">
      <formula>$C$9&lt;0</formula>
    </cfRule>
    <cfRule type="expression" dxfId="8122" priority="416">
      <formula>$C$9&gt;0</formula>
    </cfRule>
  </conditionalFormatting>
  <conditionalFormatting sqref="L31:L44">
    <cfRule type="expression" dxfId="8121" priority="204">
      <formula>$C$9&lt;0</formula>
    </cfRule>
    <cfRule type="expression" dxfId="8120" priority="205">
      <formula>$C$9&gt;0</formula>
    </cfRule>
  </conditionalFormatting>
  <conditionalFormatting sqref="L48:L61">
    <cfRule type="expression" dxfId="8119" priority="202">
      <formula>$C$9&lt;0</formula>
    </cfRule>
    <cfRule type="expression" dxfId="8118" priority="203">
      <formula>$C$9&gt;0</formula>
    </cfRule>
  </conditionalFormatting>
  <conditionalFormatting sqref="L65:L78">
    <cfRule type="expression" dxfId="8117" priority="200">
      <formula>$C$9&lt;0</formula>
    </cfRule>
    <cfRule type="expression" dxfId="8116" priority="201">
      <formula>$C$9&gt;0</formula>
    </cfRule>
  </conditionalFormatting>
  <conditionalFormatting sqref="L82:L95">
    <cfRule type="expression" dxfId="8115" priority="198">
      <formula>$C$9&lt;0</formula>
    </cfRule>
    <cfRule type="expression" dxfId="8114" priority="199">
      <formula>$C$9&gt;0</formula>
    </cfRule>
  </conditionalFormatting>
  <conditionalFormatting sqref="L99:L112">
    <cfRule type="expression" dxfId="8113" priority="196">
      <formula>$C$9&lt;0</formula>
    </cfRule>
    <cfRule type="expression" dxfId="8112" priority="197">
      <formula>$C$9&gt;0</formula>
    </cfRule>
  </conditionalFormatting>
  <conditionalFormatting sqref="L116:L129 L167:L180">
    <cfRule type="expression" dxfId="8111" priority="194">
      <formula>$C$9&lt;0</formula>
    </cfRule>
    <cfRule type="expression" dxfId="8110" priority="195">
      <formula>$C$9&gt;0</formula>
    </cfRule>
  </conditionalFormatting>
  <conditionalFormatting sqref="L133:L146">
    <cfRule type="expression" dxfId="8109" priority="3">
      <formula>$C$9&lt;0</formula>
    </cfRule>
    <cfRule type="expression" dxfId="8108" priority="4">
      <formula>$C$9&gt;0</formula>
    </cfRule>
  </conditionalFormatting>
  <conditionalFormatting sqref="L150:L163">
    <cfRule type="expression" dxfId="8107" priority="1">
      <formula>$C$9&lt;0</formula>
    </cfRule>
    <cfRule type="expression" dxfId="8106" priority="2">
      <formula>$C$9&gt;0</formula>
    </cfRule>
  </conditionalFormatting>
  <conditionalFormatting sqref="L183:L197">
    <cfRule type="expression" dxfId="8105" priority="192">
      <formula>$C$9&lt;0</formula>
    </cfRule>
    <cfRule type="expression" dxfId="8104" priority="193">
      <formula>$C$9&gt;0</formula>
    </cfRule>
  </conditionalFormatting>
  <conditionalFormatting sqref="N9 N12">
    <cfRule type="expression" dxfId="8103" priority="691">
      <formula>$B$9="PLN"</formula>
    </cfRule>
    <cfRule type="expression" dxfId="8102" priority="692">
      <formula>$B$9="CZK"</formula>
    </cfRule>
    <cfRule type="expression" dxfId="8101" priority="693">
      <formula>$B$9="USD"</formula>
    </cfRule>
    <cfRule type="expression" dxfId="8100" priority="694">
      <formula>$B$9="EURO"</formula>
    </cfRule>
  </conditionalFormatting>
  <conditionalFormatting sqref="N14:N27">
    <cfRule type="cellIs" dxfId="8099" priority="630" operator="greaterThan">
      <formula>0</formula>
    </cfRule>
    <cfRule type="expression" dxfId="8098" priority="631">
      <formula>$B$9="EURO"</formula>
    </cfRule>
    <cfRule type="expression" dxfId="8097" priority="632">
      <formula>$B$9="USD"</formula>
    </cfRule>
    <cfRule type="expression" dxfId="8096" priority="633">
      <formula>$B$9="PLN"</formula>
    </cfRule>
    <cfRule type="expression" dxfId="8095" priority="634">
      <formula>$B$9="CZK"</formula>
    </cfRule>
  </conditionalFormatting>
  <conditionalFormatting sqref="N29">
    <cfRule type="expression" dxfId="8094" priority="610">
      <formula>$B$9="PLN"</formula>
    </cfRule>
    <cfRule type="expression" dxfId="8093" priority="611">
      <formula>$B$9="CZK"</formula>
    </cfRule>
    <cfRule type="expression" dxfId="8092" priority="612">
      <formula>$B$9="USD"</formula>
    </cfRule>
    <cfRule type="expression" dxfId="8091" priority="613">
      <formula>$B$9="EURO"</formula>
    </cfRule>
  </conditionalFormatting>
  <conditionalFormatting sqref="N31:N44">
    <cfRule type="cellIs" dxfId="8090" priority="265" operator="greaterThan">
      <formula>0</formula>
    </cfRule>
    <cfRule type="expression" dxfId="8089" priority="266">
      <formula>$B$9="EURO"</formula>
    </cfRule>
    <cfRule type="expression" dxfId="8088" priority="267">
      <formula>$B$9="USD"</formula>
    </cfRule>
    <cfRule type="expression" dxfId="8087" priority="268">
      <formula>$B$9="PLN"</formula>
    </cfRule>
    <cfRule type="expression" dxfId="8086" priority="269">
      <formula>$B$9="CZK"</formula>
    </cfRule>
  </conditionalFormatting>
  <conditionalFormatting sqref="N46">
    <cfRule type="expression" dxfId="8085" priority="579">
      <formula>$B$9="PLN"</formula>
    </cfRule>
    <cfRule type="expression" dxfId="8084" priority="580">
      <formula>$B$9="CZK"</formula>
    </cfRule>
    <cfRule type="expression" dxfId="8083" priority="581">
      <formula>$B$9="USD"</formula>
    </cfRule>
    <cfRule type="expression" dxfId="8082" priority="582">
      <formula>$B$9="EURO"</formula>
    </cfRule>
  </conditionalFormatting>
  <conditionalFormatting sqref="N48:N61">
    <cfRule type="cellIs" dxfId="8081" priority="254" operator="greaterThan">
      <formula>0</formula>
    </cfRule>
    <cfRule type="expression" dxfId="8080" priority="255">
      <formula>$B$9="EURO"</formula>
    </cfRule>
    <cfRule type="expression" dxfId="8079" priority="256">
      <formula>$B$9="USD"</formula>
    </cfRule>
    <cfRule type="expression" dxfId="8078" priority="257">
      <formula>$B$9="PLN"</formula>
    </cfRule>
    <cfRule type="expression" dxfId="8077" priority="258">
      <formula>$B$9="CZK"</formula>
    </cfRule>
  </conditionalFormatting>
  <conditionalFormatting sqref="N63">
    <cfRule type="expression" dxfId="8076" priority="550">
      <formula>$B$9="PLN"</formula>
    </cfRule>
    <cfRule type="expression" dxfId="8075" priority="551">
      <formula>$B$9="CZK"</formula>
    </cfRule>
    <cfRule type="expression" dxfId="8074" priority="552">
      <formula>$B$9="USD"</formula>
    </cfRule>
    <cfRule type="expression" dxfId="8073" priority="553">
      <formula>$B$9="EURO"</formula>
    </cfRule>
  </conditionalFormatting>
  <conditionalFormatting sqref="N65:N78">
    <cfRule type="cellIs" dxfId="8072" priority="243" operator="greaterThan">
      <formula>0</formula>
    </cfRule>
    <cfRule type="expression" dxfId="8071" priority="244">
      <formula>$B$9="EURO"</formula>
    </cfRule>
    <cfRule type="expression" dxfId="8070" priority="245">
      <formula>$B$9="USD"</formula>
    </cfRule>
    <cfRule type="expression" dxfId="8069" priority="246">
      <formula>$B$9="PLN"</formula>
    </cfRule>
    <cfRule type="expression" dxfId="8068" priority="247">
      <formula>$B$9="CZK"</formula>
    </cfRule>
  </conditionalFormatting>
  <conditionalFormatting sqref="N80">
    <cfRule type="expression" dxfId="8067" priority="520">
      <formula>$B$9="PLN"</formula>
    </cfRule>
    <cfRule type="expression" dxfId="8066" priority="521">
      <formula>$B$9="CZK"</formula>
    </cfRule>
    <cfRule type="expression" dxfId="8065" priority="522">
      <formula>$B$9="USD"</formula>
    </cfRule>
    <cfRule type="expression" dxfId="8064" priority="523">
      <formula>$B$9="EURO"</formula>
    </cfRule>
  </conditionalFormatting>
  <conditionalFormatting sqref="N82:N95">
    <cfRule type="cellIs" dxfId="8063" priority="232" operator="greaterThan">
      <formula>0</formula>
    </cfRule>
    <cfRule type="expression" dxfId="8062" priority="233">
      <formula>$B$9="EURO"</formula>
    </cfRule>
    <cfRule type="expression" dxfId="8061" priority="234">
      <formula>$B$9="USD"</formula>
    </cfRule>
    <cfRule type="expression" dxfId="8060" priority="235">
      <formula>$B$9="PLN"</formula>
    </cfRule>
    <cfRule type="expression" dxfId="8059" priority="236">
      <formula>$B$9="CZK"</formula>
    </cfRule>
  </conditionalFormatting>
  <conditionalFormatting sqref="N97">
    <cfRule type="expression" dxfId="8058" priority="489">
      <formula>$B$9="PLN"</formula>
    </cfRule>
    <cfRule type="expression" dxfId="8057" priority="490">
      <formula>$B$9="CZK"</formula>
    </cfRule>
    <cfRule type="expression" dxfId="8056" priority="491">
      <formula>$B$9="USD"</formula>
    </cfRule>
    <cfRule type="expression" dxfId="8055" priority="492">
      <formula>$B$9="EURO"</formula>
    </cfRule>
  </conditionalFormatting>
  <conditionalFormatting sqref="N99:N112">
    <cfRule type="cellIs" dxfId="8054" priority="221" operator="greaterThan">
      <formula>0</formula>
    </cfRule>
    <cfRule type="expression" dxfId="8053" priority="222">
      <formula>$B$9="EURO"</formula>
    </cfRule>
    <cfRule type="expression" dxfId="8052" priority="223">
      <formula>$B$9="USD"</formula>
    </cfRule>
    <cfRule type="expression" dxfId="8051" priority="224">
      <formula>$B$9="PLN"</formula>
    </cfRule>
    <cfRule type="expression" dxfId="8050" priority="225">
      <formula>$B$9="CZK"</formula>
    </cfRule>
  </conditionalFormatting>
  <conditionalFormatting sqref="N114">
    <cfRule type="expression" dxfId="8049" priority="321">
      <formula>$B$9="PLN"</formula>
    </cfRule>
    <cfRule type="expression" dxfId="8048" priority="322">
      <formula>$B$9="CZK"</formula>
    </cfRule>
    <cfRule type="expression" dxfId="8047" priority="323">
      <formula>$B$9="USD"</formula>
    </cfRule>
    <cfRule type="expression" dxfId="8046" priority="324">
      <formula>$B$9="EURO"</formula>
    </cfRule>
  </conditionalFormatting>
  <conditionalFormatting sqref="N116:N129 N167:N180">
    <cfRule type="cellIs" dxfId="8045" priority="210" operator="greaterThan">
      <formula>0</formula>
    </cfRule>
    <cfRule type="expression" dxfId="8044" priority="211">
      <formula>$B$9="EURO"</formula>
    </cfRule>
    <cfRule type="expression" dxfId="8043" priority="212">
      <formula>$B$9="USD"</formula>
    </cfRule>
    <cfRule type="expression" dxfId="8042" priority="213">
      <formula>$B$9="PLN"</formula>
    </cfRule>
    <cfRule type="expression" dxfId="8041" priority="214">
      <formula>$B$9="CZK"</formula>
    </cfRule>
  </conditionalFormatting>
  <conditionalFormatting sqref="N131">
    <cfRule type="expression" dxfId="8040" priority="184">
      <formula>$B$9="PLN"</formula>
    </cfRule>
    <cfRule type="expression" dxfId="8039" priority="185">
      <formula>$B$9="CZK"</formula>
    </cfRule>
    <cfRule type="expression" dxfId="8038" priority="186">
      <formula>$B$9="USD"</formula>
    </cfRule>
    <cfRule type="expression" dxfId="8037" priority="187">
      <formula>$B$9="EURO"</formula>
    </cfRule>
  </conditionalFormatting>
  <conditionalFormatting sqref="N133:N146">
    <cfRule type="cellIs" dxfId="8036" priority="23" operator="greaterThan">
      <formula>0</formula>
    </cfRule>
    <cfRule type="expression" dxfId="8035" priority="24">
      <formula>$B$9="EURO"</formula>
    </cfRule>
    <cfRule type="expression" dxfId="8034" priority="25">
      <formula>$B$9="USD"</formula>
    </cfRule>
    <cfRule type="expression" dxfId="8033" priority="26">
      <formula>$B$9="PLN"</formula>
    </cfRule>
    <cfRule type="expression" dxfId="8032" priority="27">
      <formula>$B$9="CZK"</formula>
    </cfRule>
  </conditionalFormatting>
  <conditionalFormatting sqref="N148">
    <cfRule type="expression" dxfId="8031" priority="153">
      <formula>$B$9="PLN"</formula>
    </cfRule>
    <cfRule type="expression" dxfId="8030" priority="154">
      <formula>$B$9="CZK"</formula>
    </cfRule>
    <cfRule type="expression" dxfId="8029" priority="155">
      <formula>$B$9="USD"</formula>
    </cfRule>
    <cfRule type="expression" dxfId="8028" priority="156">
      <formula>$B$9="EURO"</formula>
    </cfRule>
  </conditionalFormatting>
  <conditionalFormatting sqref="N150:N163">
    <cfRule type="cellIs" dxfId="8027" priority="12" operator="greaterThan">
      <formula>0</formula>
    </cfRule>
    <cfRule type="expression" dxfId="8026" priority="13">
      <formula>$B$9="EURO"</formula>
    </cfRule>
    <cfRule type="expression" dxfId="8025" priority="14">
      <formula>$B$9="USD"</formula>
    </cfRule>
    <cfRule type="expression" dxfId="8024" priority="15">
      <formula>$B$9="PLN"</formula>
    </cfRule>
    <cfRule type="expression" dxfId="8023" priority="16">
      <formula>$B$9="CZK"</formula>
    </cfRule>
  </conditionalFormatting>
  <conditionalFormatting sqref="N165">
    <cfRule type="expression" dxfId="8022" priority="77">
      <formula>$B$9="PLN"</formula>
    </cfRule>
    <cfRule type="expression" dxfId="8021" priority="78">
      <formula>$B$9="CZK"</formula>
    </cfRule>
    <cfRule type="expression" dxfId="8020" priority="79">
      <formula>$B$9="USD"</formula>
    </cfRule>
    <cfRule type="expression" dxfId="8019" priority="80">
      <formula>$B$9="EURO"</formula>
    </cfRule>
  </conditionalFormatting>
  <conditionalFormatting sqref="N183:N197">
    <cfRule type="cellIs" dxfId="8018" priority="638" operator="greaterThan">
      <formula>0</formula>
    </cfRule>
    <cfRule type="expression" dxfId="8017" priority="639">
      <formula>$B$9="EURO"</formula>
    </cfRule>
    <cfRule type="expression" dxfId="8016" priority="640">
      <formula>$B$9="USD"</formula>
    </cfRule>
    <cfRule type="expression" dxfId="8015" priority="641">
      <formula>$B$9="PLN"</formula>
    </cfRule>
    <cfRule type="expression" dxfId="8014" priority="642">
      <formula>$B$9="CZK"</formula>
    </cfRule>
  </conditionalFormatting>
  <conditionalFormatting sqref="N182:O182">
    <cfRule type="expression" dxfId="8013" priority="646">
      <formula>$B$9="PLN"</formula>
    </cfRule>
    <cfRule type="expression" dxfId="8012" priority="647">
      <formula>$B$9="CZK"</formula>
    </cfRule>
    <cfRule type="expression" dxfId="8011" priority="648">
      <formula>$B$9="USD"</formula>
    </cfRule>
    <cfRule type="expression" dxfId="8010" priority="649">
      <formula>$B$9="EURO"</formula>
    </cfRule>
  </conditionalFormatting>
  <conditionalFormatting sqref="O14:O27">
    <cfRule type="cellIs" dxfId="8009" priority="635" operator="greaterThan">
      <formula>0</formula>
    </cfRule>
  </conditionalFormatting>
  <conditionalFormatting sqref="O31:O44">
    <cfRule type="cellIs" dxfId="8008" priority="270" operator="greaterThan">
      <formula>0</formula>
    </cfRule>
  </conditionalFormatting>
  <conditionalFormatting sqref="O48:O61">
    <cfRule type="cellIs" dxfId="8007" priority="259" operator="greaterThan">
      <formula>0</formula>
    </cfRule>
  </conditionalFormatting>
  <conditionalFormatting sqref="O65:O78">
    <cfRule type="cellIs" dxfId="8006" priority="248" operator="greaterThan">
      <formula>0</formula>
    </cfRule>
  </conditionalFormatting>
  <conditionalFormatting sqref="O82:O95">
    <cfRule type="cellIs" dxfId="8005" priority="237" operator="greaterThan">
      <formula>0</formula>
    </cfRule>
  </conditionalFormatting>
  <conditionalFormatting sqref="O99:O112">
    <cfRule type="cellIs" dxfId="8004" priority="226" operator="greaterThan">
      <formula>0</formula>
    </cfRule>
  </conditionalFormatting>
  <conditionalFormatting sqref="O116:O129 O167:O180">
    <cfRule type="cellIs" dxfId="8003" priority="215" operator="greaterThan">
      <formula>0</formula>
    </cfRule>
  </conditionalFormatting>
  <conditionalFormatting sqref="O133:O146">
    <cfRule type="cellIs" dxfId="8002" priority="28" operator="greaterThan">
      <formula>0</formula>
    </cfRule>
  </conditionalFormatting>
  <conditionalFormatting sqref="O150:O163">
    <cfRule type="cellIs" dxfId="8001" priority="17" operator="greaterThan">
      <formula>0</formula>
    </cfRule>
  </conditionalFormatting>
  <conditionalFormatting sqref="O183:O197">
    <cfRule type="cellIs" dxfId="8000" priority="660" operator="greaterThan">
      <formula>0</formula>
    </cfRule>
  </conditionalFormatting>
  <conditionalFormatting sqref="Q16">
    <cfRule type="cellIs" dxfId="7999" priority="405" operator="greaterThan">
      <formula>0</formula>
    </cfRule>
    <cfRule type="expression" dxfId="7998" priority="406">
      <formula>$B$9="EURO"</formula>
    </cfRule>
    <cfRule type="expression" dxfId="7997" priority="407">
      <formula>$B$9="USD"</formula>
    </cfRule>
    <cfRule type="expression" dxfId="7996" priority="408">
      <formula>$B$9="PLN"</formula>
    </cfRule>
    <cfRule type="expression" dxfId="7995" priority="409">
      <formula>$B$9="CZK"</formula>
    </cfRule>
  </conditionalFormatting>
  <dataValidations count="7">
    <dataValidation type="list" allowBlank="1" showInputMessage="1" showErrorMessage="1" sqref="C27 C78 C95 C44 C61 C112 C129 C146 C163 C180" xr:uid="{D47033D6-AE38-5242-9A72-B1DD9BBD87AB}">
      <formula1>"0,0.5,1,1.5,2,2.5,3,3.5,4,4.5,5"</formula1>
    </dataValidation>
    <dataValidation type="list" allowBlank="1" showInputMessage="1" showErrorMessage="1" errorTitle="Minimum number of sections " error="Must be greater than zero" sqref="H14 H65 H48 H31 H82 H99 H116 H133 H150 H167" xr:uid="{D00C5C2A-CDCD-F34C-8DB1-36E7CB2AF97C}">
      <formula1>"1,2,3,4,5,6,7,8,9,10"</formula1>
    </dataValidation>
    <dataValidation type="list" allowBlank="1" showInputMessage="1" showErrorMessage="1" sqref="C71:C72 C37:C38 C88:C89 C20:C21 I84 I16 C54:C55 I67 I33 I50 C105:C106 I101 C122:C123 I118 C139:C140 I135 C156:C157 I152 C173:C174 I169" xr:uid="{77104C5C-FE90-6248-AFD4-3449B47697E1}">
      <formula1>"0,1,2,3,4,5,6,7,8,9,10,11,12,13,14,15,16,17,18,19,20"</formula1>
    </dataValidation>
    <dataValidation operator="greaterThan" allowBlank="1" showInputMessage="1" showErrorMessage="1" sqref="E14 E65 E48 E31 E82 E99 E116 E133 E150 E167" xr:uid="{03F8DD91-87DD-994D-9C8C-C737DB722998}"/>
    <dataValidation type="list" allowBlank="1" showInputMessage="1" showErrorMessage="1" sqref="C99 C31 C82 C65 C48 C14 C116 C150 C133 C167" xr:uid="{1D6C438B-1430-7D45-955F-4611D55E38A2}">
      <formula1>"WALL, ISLAND"</formula1>
    </dataValidation>
    <dataValidation type="list" allowBlank="1" showInputMessage="1" showErrorMessage="1" sqref="G181" xr:uid="{4560351B-FA87-914F-9E9B-1F3B9BA9AF4B}">
      <formula1>#REF!</formula1>
    </dataValidation>
    <dataValidation type="list" allowBlank="1" showInputMessage="1" showErrorMessage="1" sqref="D26 D94 D77 D60 D43 D111 D128 D145 D162 D179" xr:uid="{E41A6299-D2A9-B84E-9E2B-32C3AFB8B0D1}">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AC6FE998-B726-2943-A5B2-B661B2EABF3F}">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3D206DA-0DB9-DE40-9880-97CA2A6F011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1B94BE45-9245-F945-9142-6C0D95235102}">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13FC2037-0BA7-F240-9CA4-C3F7CC6A270F}">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DF3E874E-DCEE-0E44-8F4B-88DFE98D7FE0}">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67A8D378-E6C4-204E-B6EA-B5F2A7887F53}">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636224E3-8F3C-7B4C-90A4-05F068086DEF}">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DF00B33C-5EE3-F946-8FBE-F3D7933EB5C7}">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8B6A5F96-3AD4-A24A-B266-0D55E4199D29}">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70BC47F4-9900-B84A-9CC3-D58EF6A8E118}">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43E4B19E-5EF2-B54F-A5F7-9860758154DC}">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5AAE7123-DBE2-E449-8844-AFA232587EFE}">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2A26C023-26D3-D446-ACFB-BAB3F79E47E8}">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F1568FD4-07C7-704A-8B64-D8AA720AA24D}">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360C4401-CD0A-CF4B-8CA0-A92148DA8067}">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0BA985BF-D73C-9541-8E28-3D46DF42CE19}">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AC764CFE-D5A0-674E-8972-0FC65CD5173C}">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4D6AB2F5-259D-514A-9738-F17EA3325C8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E9BEB1C4-BF4E-334F-A1A2-31CFD0849BD2}">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C21C9414-4025-424C-AFA4-2ED6AED3E7A1}">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767ED1D1-4AAE-ED42-B3FA-DDEA359D87F4}">
          <x14:formula1>
            <xm:f>'Base Costs'!$M$4:$M$23</xm:f>
          </x14:formula1>
          <xm:sqref>C15</xm:sqref>
        </x14:dataValidation>
        <x14:dataValidation type="list" allowBlank="1" showInputMessage="1" showErrorMessage="1" xr:uid="{693183AC-295E-5A46-85F5-0E43FDB6768E}">
          <x14:formula1>
            <xm:f>'Base Costs'!$M$4:$M$21</xm:f>
          </x14:formula1>
          <xm:sqref>C32 C151 C134 C168 C100 C49 C66 C83 C117</xm:sqref>
        </x14:dataValidation>
        <x14:dataValidation type="list" allowBlank="1" showInputMessage="1" showErrorMessage="1" xr:uid="{46D0DD53-DB0C-7741-AD6C-B433969F3D70}">
          <x14:formula1>
            <xm:f>'Base Costs'!$A$39:$A$53</xm:f>
          </x14:formula1>
          <xm:sqref>D14 D150 D133 D167 D31 D99 D48 D82 D65 D116</xm:sqref>
        </x14:dataValidation>
        <x14:dataValidation type="list" allowBlank="1" showInputMessage="1" showErrorMessage="1" xr:uid="{2725B910-918A-D440-9BC3-6F75AF2A1F0C}">
          <x14:formula1>
            <xm:f>CCBASE!$A$53:$A$73</xm:f>
          </x14:formula1>
          <xm:sqref>C52 C69 C18 C35 C103 C86 C120 C154 C137 C171</xm:sqref>
        </x14:dataValidation>
        <x14:dataValidation type="list" allowBlank="1" showInputMessage="1" showErrorMessage="1" xr:uid="{F4A835E0-E72D-B840-B22E-73BD5795A041}">
          <x14:formula1>
            <xm:f>CCBASE!$A$81:$A$85</xm:f>
          </x14:formula1>
          <xm:sqref>C25 C42 C93 C76 C59 C110 C127 C144 C161 C178</xm:sqref>
        </x14:dataValidation>
        <x14:dataValidation type="list" allowBlank="1" showInputMessage="1" showErrorMessage="1" xr:uid="{98180BED-EA81-1743-85D6-802518641CF5}">
          <x14:formula1>
            <xm:f>'Base Costs'!$A$32:$A$37</xm:f>
          </x14:formula1>
          <xm:sqref>B9</xm:sqref>
        </x14:dataValidation>
        <x14:dataValidation type="list" allowBlank="1" showInputMessage="1" showErrorMessage="1" xr:uid="{B820FA71-DE1A-0E40-B3CD-23F0D931A769}">
          <x14:formula1>
            <xm:f>'Base Costs'!$E$4:$E$213</xm:f>
          </x14:formula1>
          <xm:sqref>D183 D186</xm:sqref>
        </x14:dataValidation>
        <x14:dataValidation type="list" allowBlank="1" showInputMessage="1" showErrorMessage="1" xr:uid="{2B6573FD-92D3-E342-9048-FBC1D5D93F52}">
          <x14:formula1>
            <xm:f>'Base Costs'!$A$4:$A$16</xm:f>
          </x14:formula1>
          <xm:sqref>D184:D185</xm:sqref>
        </x14:dataValidation>
        <x14:dataValidation type="list" allowBlank="1" showInputMessage="1" showErrorMessage="1" xr:uid="{F587606C-5B53-C049-BD36-C6C2B4B1CFE6}">
          <x14:formula1>
            <xm:f>'Base Costs'!$A$19:$A$22</xm:f>
          </x14:formula1>
          <xm:sqref>C19 C138 C155 C172 C36 C87 C70 C53 C104 C121</xm:sqref>
        </x14:dataValidation>
        <x14:dataValidation type="list" allowBlank="1" showInputMessage="1" showErrorMessage="1" xr:uid="{DFE4B042-EC03-D745-845E-2C0785DBA6DC}">
          <x14:formula1>
            <xm:f>'Base Costs'!$Q$35:$Q$45</xm:f>
          </x14:formula1>
          <xm:sqref>C43 C145 C162 C179 C60 C77 C94 C111 C26 C128</xm:sqref>
        </x14:dataValidation>
        <x14:dataValidation type="list" allowBlank="1" showInputMessage="1" showErrorMessage="1" xr:uid="{23DF5487-DFDD-404F-976A-435C7A443D6C}">
          <x14:formula1>
            <xm:f>'Base Costs'!$U$4:$U$41</xm:f>
          </x14:formula1>
          <xm:sqref>C33 C152 C135 C169 C16 C101 C84 C67 C50 C118</xm:sqref>
        </x14:dataValidation>
        <x14:dataValidation type="list" allowBlank="1" showInputMessage="1" showErrorMessage="1" xr:uid="{B0BB3993-5B2F-4A45-9AD7-91EA3113CF2E}">
          <x14:formula1>
            <xm:f>'Base Costs'!$U$44:$U$56</xm:f>
          </x14:formula1>
          <xm:sqref>C17 C170 C153 C136 C119 C102 C85 C68 C51 C34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7FE3F-A8A4-7B44-9397-2E2C37CB6A83}">
  <sheetPr>
    <tabColor theme="8" tint="0.79998168889431442"/>
    <pageSetUpPr fitToPage="1"/>
  </sheetPr>
  <dimension ref="A1:AE117"/>
  <sheetViews>
    <sheetView topLeftCell="A14" zoomScale="80" zoomScaleNormal="80" workbookViewId="0"/>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56" t="s">
        <v>1502</v>
      </c>
      <c r="C1" s="1156"/>
      <c r="D1" s="1156"/>
      <c r="E1" s="160"/>
      <c r="F1" s="161"/>
      <c r="G1" s="162"/>
      <c r="H1" s="163"/>
      <c r="I1" s="161"/>
      <c r="J1" s="161"/>
      <c r="K1" s="989" t="s">
        <v>1501</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8" t="e">
        <f>IF(#REF!="","",#REF!)</f>
        <v>#REF!</v>
      </c>
      <c r="D4" s="1158"/>
      <c r="E4" s="177" t="s">
        <v>78</v>
      </c>
      <c r="F4" s="1159" t="e">
        <f>IF(#REF!="","",#REF!)</f>
        <v>#REF!</v>
      </c>
      <c r="G4" s="1159"/>
      <c r="H4" s="1159"/>
      <c r="I4" s="1157"/>
      <c r="J4" s="1157"/>
      <c r="K4" s="1157"/>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8" t="e">
        <f>IF(#REF!="","",#REF!)</f>
        <v>#REF!</v>
      </c>
      <c r="D6" s="1158"/>
      <c r="E6" s="177" t="s">
        <v>77</v>
      </c>
      <c r="F6" s="1159" t="e">
        <f>IF(#REF!="","",#REF!)</f>
        <v>#REF!</v>
      </c>
      <c r="G6" s="1159"/>
      <c r="H6" s="1159"/>
      <c r="I6" s="1157"/>
      <c r="J6" s="1157"/>
      <c r="K6" s="1157"/>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8" t="e">
        <f>IF(#REF!="","",#REF!)</f>
        <v>#REF!</v>
      </c>
      <c r="D8" s="1158"/>
      <c r="E8" s="181" t="s">
        <v>76</v>
      </c>
      <c r="F8" s="1160" t="e">
        <f>IF(#REF!="","",#REF!)</f>
        <v>#REF!</v>
      </c>
      <c r="G8" s="1160"/>
      <c r="H8" s="1160"/>
      <c r="J8" s="187" t="s">
        <v>79</v>
      </c>
      <c r="K8" s="1148" t="e">
        <f>IF(#REF!="","",#REF!)</f>
        <v>#REF!</v>
      </c>
      <c r="L8" s="1148"/>
      <c r="M8" s="467"/>
      <c r="N8" s="1094" t="s">
        <v>1409</v>
      </c>
      <c r="O8" s="1094"/>
      <c r="P8" s="1094"/>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0"/>
      <c r="F10" s="1151"/>
      <c r="G10" s="25">
        <f>SUBTOTAL(9,G14:G102)</f>
        <v>1488</v>
      </c>
      <c r="H10" s="981">
        <f>IF(K10=0,"-",K10/I10)</f>
        <v>0.40143664399961704</v>
      </c>
      <c r="I10" s="25">
        <f>SUBTOTAL(9,I14:I102)</f>
        <v>2485.9523809523807</v>
      </c>
      <c r="J10" s="464">
        <f>SUBTOTAL(9,J14:J102)</f>
        <v>2485.9523809523807</v>
      </c>
      <c r="K10" s="25">
        <f>SUBTOTAL(9,K14:K102)</f>
        <v>997.95238095238119</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1488</v>
      </c>
      <c r="H13" s="145">
        <f>IF(G13=0,"-",K13/I13)</f>
        <v>0.40143664399961704</v>
      </c>
      <c r="I13" s="61">
        <f>SUBTOTAL(9,I14:I32)</f>
        <v>2485.9523809523807</v>
      </c>
      <c r="J13" s="465">
        <f>SUBTOTAL(9,J14:J32)</f>
        <v>2485.9523809523807</v>
      </c>
      <c r="K13" s="61">
        <f>SUBTOTAL(9,K14:K32)</f>
        <v>997.95238095238119</v>
      </c>
      <c r="L13" s="469"/>
      <c r="O13" s="840" t="s">
        <v>918</v>
      </c>
      <c r="Q13" s="1154" t="s">
        <v>664</v>
      </c>
      <c r="R13" s="1155"/>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v>1</v>
      </c>
      <c r="D30" s="269" t="s">
        <v>491</v>
      </c>
      <c r="E30" s="315"/>
      <c r="F30" s="380">
        <f>'Base Costs'!AX22</f>
        <v>700</v>
      </c>
      <c r="G30" s="378">
        <f t="shared" si="2"/>
        <v>700</v>
      </c>
      <c r="H30" s="381">
        <v>0.4</v>
      </c>
      <c r="I30" s="311">
        <f t="shared" si="0"/>
        <v>1166.6666666666667</v>
      </c>
      <c r="J30" s="378">
        <f>I30*VLOOKUP($B$10,'Base Costs'!$A$32:$B$37,2,FALSE)</f>
        <v>1166.6666666666667</v>
      </c>
      <c r="K30" s="379">
        <f t="shared" si="1"/>
        <v>466.66666666666674</v>
      </c>
      <c r="L30" s="469"/>
      <c r="M30" s="469"/>
      <c r="N30" s="469"/>
      <c r="Q30" s="164"/>
      <c r="R30" s="164"/>
    </row>
    <row r="31" spans="1:18" ht="15.75" customHeight="1" x14ac:dyDescent="0.2">
      <c r="A31" s="299">
        <v>268</v>
      </c>
      <c r="B31" s="269" t="s">
        <v>55</v>
      </c>
      <c r="C31" s="314">
        <v>1</v>
      </c>
      <c r="D31" s="269" t="s">
        <v>491</v>
      </c>
      <c r="E31" s="315"/>
      <c r="F31" s="380">
        <f>'Base Costs'!AX23</f>
        <v>380</v>
      </c>
      <c r="G31" s="378">
        <f t="shared" si="2"/>
        <v>380</v>
      </c>
      <c r="H31" s="381">
        <v>0.4</v>
      </c>
      <c r="I31" s="311">
        <f t="shared" si="0"/>
        <v>633.33333333333337</v>
      </c>
      <c r="J31" s="378">
        <f>I31*VLOOKUP($B$10,'Base Costs'!$A$32:$B$37,2,FALSE)</f>
        <v>633.33333333333337</v>
      </c>
      <c r="K31" s="379">
        <f t="shared" si="1"/>
        <v>253.33333333333337</v>
      </c>
      <c r="L31" s="469"/>
      <c r="M31" s="469"/>
      <c r="N31" s="469"/>
      <c r="Q31" s="164"/>
      <c r="R31" s="164"/>
    </row>
    <row r="32" spans="1:18" ht="15.75" customHeight="1" x14ac:dyDescent="0.2">
      <c r="A32" s="299">
        <v>268</v>
      </c>
      <c r="B32" s="269" t="s">
        <v>56</v>
      </c>
      <c r="C32" s="314">
        <v>1</v>
      </c>
      <c r="D32" s="269" t="s">
        <v>442</v>
      </c>
      <c r="E32" s="315"/>
      <c r="F32" s="380">
        <f>'Base Costs'!AX24</f>
        <v>358</v>
      </c>
      <c r="G32" s="378">
        <f t="shared" si="2"/>
        <v>358</v>
      </c>
      <c r="H32" s="381">
        <v>0.4</v>
      </c>
      <c r="I32" s="311">
        <f t="shared" si="0"/>
        <v>596.66666666666674</v>
      </c>
      <c r="J32" s="378">
        <f>I32*VLOOKUP($B$10,'Base Costs'!$A$32:$B$37,2,FALSE)</f>
        <v>596.66666666666674</v>
      </c>
      <c r="K32" s="379">
        <f t="shared" si="1"/>
        <v>238.66666666666674</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61"/>
      <c r="P34" s="1161"/>
      <c r="Q34" s="815"/>
      <c r="R34" s="815"/>
      <c r="S34" s="1162"/>
      <c r="T34" s="1162"/>
      <c r="U34" s="1162"/>
      <c r="V34" s="1162"/>
      <c r="Y34" s="1163"/>
      <c r="Z34" s="1163"/>
      <c r="AA34" s="1163"/>
      <c r="AB34" s="1163"/>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49"/>
      <c r="P35" s="1149"/>
      <c r="Q35" s="815"/>
      <c r="R35" s="815"/>
      <c r="S35" s="1152"/>
      <c r="T35" s="1152"/>
      <c r="U35" s="1152"/>
      <c r="V35" s="1152"/>
      <c r="W35" s="822"/>
      <c r="Y35" s="1152"/>
      <c r="Z35" s="1152"/>
      <c r="AA35" s="1152"/>
      <c r="AB35" s="1152"/>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49"/>
      <c r="P36" s="1149"/>
      <c r="Q36" s="815"/>
      <c r="R36" s="815"/>
      <c r="S36" s="1152"/>
      <c r="T36" s="1152"/>
      <c r="U36" s="1152"/>
      <c r="V36" s="1152"/>
      <c r="W36" s="822"/>
      <c r="Y36" s="1152"/>
      <c r="Z36" s="1152"/>
      <c r="AA36" s="1152"/>
      <c r="AB36" s="1152"/>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49"/>
      <c r="P37" s="1149"/>
      <c r="Q37" s="815"/>
      <c r="R37" s="815"/>
      <c r="S37" s="1152"/>
      <c r="T37" s="1152"/>
      <c r="U37" s="1152"/>
      <c r="V37" s="1152"/>
      <c r="W37" s="822"/>
      <c r="Y37" s="1152"/>
      <c r="Z37" s="1152"/>
      <c r="AA37" s="1152"/>
      <c r="AB37" s="1152"/>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1481</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49"/>
      <c r="P39" s="1149"/>
      <c r="Q39" s="815"/>
      <c r="R39" s="815"/>
      <c r="S39" s="1152"/>
      <c r="T39" s="1152"/>
      <c r="U39" s="1152"/>
      <c r="V39" s="1152"/>
      <c r="W39" s="822"/>
      <c r="Y39" s="1152"/>
      <c r="Z39" s="1152"/>
      <c r="AA39" s="1152"/>
      <c r="AB39" s="1152"/>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49"/>
      <c r="P40" s="1149"/>
      <c r="Q40" s="815"/>
      <c r="R40" s="815"/>
      <c r="S40" s="1152"/>
      <c r="T40" s="1152"/>
      <c r="U40" s="1152"/>
      <c r="V40" s="1152"/>
      <c r="W40" s="822"/>
      <c r="Y40" s="1152"/>
      <c r="Z40" s="1152"/>
      <c r="AA40" s="1152"/>
      <c r="AB40" s="1152"/>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49"/>
      <c r="P41" s="1149"/>
      <c r="Q41" s="815"/>
      <c r="R41" s="815"/>
      <c r="Y41" s="1153"/>
      <c r="Z41" s="1153"/>
      <c r="AA41" s="1153"/>
      <c r="AB41" s="1153"/>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Costs'!$AU$65:$BA$72,7,FALSE)),0)</f>
        <v>0</v>
      </c>
      <c r="M49" s="820">
        <f>L49*C49</f>
        <v>0</v>
      </c>
      <c r="N49" s="469"/>
      <c r="O49" s="1149"/>
      <c r="P49" s="1149"/>
      <c r="Q49" s="815"/>
      <c r="R49" s="815"/>
      <c r="Y49" s="1153"/>
      <c r="Z49" s="1153"/>
      <c r="AA49" s="1153"/>
      <c r="AB49" s="1153"/>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Costs'!$AU$65:$BA$72,7,FALSE)),0)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Costs'!$AU$65:$BA$72,7,FALSE)),0)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Costs'!$AU$65:$BA$72,7,FALSE)),0)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Costs'!$AU$65:$BA$72,7,FALSE)),0)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Costs'!$AU$65:$BA$72,7,FALSE)),0)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Costs'!$AU$65:$BA$72,7,FALSE)),0)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Costs'!$AU$65:$BA$72,7,FALSE)),0)</f>
        <v>0</v>
      </c>
      <c r="M56" s="820">
        <f t="shared" si="11"/>
        <v>0</v>
      </c>
      <c r="N56" s="469"/>
      <c r="O56" s="1149"/>
      <c r="P56" s="1149"/>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49"/>
      <c r="P57" s="1149"/>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49"/>
      <c r="P58" s="1149"/>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49"/>
      <c r="P59" s="1149"/>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49"/>
      <c r="P60" s="1149"/>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49"/>
      <c r="P61" s="1149"/>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49"/>
      <c r="P62" s="1149"/>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49"/>
      <c r="P63" s="1149"/>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49"/>
      <c r="P64" s="1149"/>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49"/>
      <c r="P65" s="1149"/>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49"/>
      <c r="P66" s="1149"/>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49"/>
      <c r="P67" s="1149"/>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49"/>
      <c r="P68" s="1149"/>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46" t="s">
        <v>1478</v>
      </c>
      <c r="E99" s="1147"/>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2485.9523809523807</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2485.9523809523807</v>
      </c>
      <c r="D108" s="202"/>
      <c r="E108" s="204"/>
      <c r="F108" s="202"/>
      <c r="G108" s="209"/>
      <c r="H108" s="206"/>
      <c r="I108" s="203"/>
      <c r="J108" s="203"/>
      <c r="K108" s="209"/>
    </row>
    <row r="109" spans="1:18" ht="15.75" customHeight="1" thickBot="1" x14ac:dyDescent="0.25">
      <c r="A109" s="299">
        <v>280</v>
      </c>
      <c r="B109" s="580" t="s">
        <v>666</v>
      </c>
      <c r="C109" s="916">
        <f>C108+J102</f>
        <v>2485.9523809523807</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O64:P64"/>
    <mergeCell ref="O65:P65"/>
    <mergeCell ref="O66:P66"/>
    <mergeCell ref="O67:P67"/>
    <mergeCell ref="O68:P68"/>
    <mergeCell ref="D99:E99"/>
    <mergeCell ref="O58:P58"/>
    <mergeCell ref="O59:P59"/>
    <mergeCell ref="O60:P60"/>
    <mergeCell ref="O61:P61"/>
    <mergeCell ref="O62:P62"/>
    <mergeCell ref="O63:P63"/>
    <mergeCell ref="O41:P41"/>
    <mergeCell ref="Y41:AB41"/>
    <mergeCell ref="O49:P49"/>
    <mergeCell ref="Y49:AB49"/>
    <mergeCell ref="O56:P56"/>
    <mergeCell ref="O57:P57"/>
    <mergeCell ref="O39:P39"/>
    <mergeCell ref="S39:V39"/>
    <mergeCell ref="Y39:AB39"/>
    <mergeCell ref="O40:P40"/>
    <mergeCell ref="S40:V40"/>
    <mergeCell ref="Y40:AB40"/>
    <mergeCell ref="O36:P36"/>
    <mergeCell ref="S36:V36"/>
    <mergeCell ref="Y36:AB36"/>
    <mergeCell ref="O37:P37"/>
    <mergeCell ref="S37:V37"/>
    <mergeCell ref="Y37:AB37"/>
    <mergeCell ref="O34:P34"/>
    <mergeCell ref="S34:V34"/>
    <mergeCell ref="Y34:AB34"/>
    <mergeCell ref="O35:P35"/>
    <mergeCell ref="S35:V35"/>
    <mergeCell ref="Y35:AB35"/>
    <mergeCell ref="C8:D8"/>
    <mergeCell ref="F8:H8"/>
    <mergeCell ref="K8:L8"/>
    <mergeCell ref="N8:P8"/>
    <mergeCell ref="E10:F10"/>
    <mergeCell ref="Q13:R13"/>
    <mergeCell ref="B1:D1"/>
    <mergeCell ref="C4:D4"/>
    <mergeCell ref="F4:H4"/>
    <mergeCell ref="I4:K4"/>
    <mergeCell ref="C6:D6"/>
    <mergeCell ref="F6:H6"/>
    <mergeCell ref="I6:K6"/>
  </mergeCells>
  <conditionalFormatting sqref="B10">
    <cfRule type="containsText" dxfId="7994" priority="33" operator="containsText" text="SELECT">
      <formula>NOT(ISERROR(SEARCH("SELECT",B10)))</formula>
    </cfRule>
    <cfRule type="expression" dxfId="7993" priority="34">
      <formula>B10="CURRENCY"</formula>
    </cfRule>
  </conditionalFormatting>
  <conditionalFormatting sqref="B14:B40">
    <cfRule type="expression" dxfId="7992" priority="12">
      <formula>$C14&gt;0</formula>
    </cfRule>
  </conditionalFormatting>
  <conditionalFormatting sqref="B35 B41:B56">
    <cfRule type="expression" dxfId="7991" priority="42">
      <formula>$D35&gt;0</formula>
    </cfRule>
  </conditionalFormatting>
  <conditionalFormatting sqref="B57:B68">
    <cfRule type="expression" dxfId="7990" priority="17">
      <formula>$C57&gt;0</formula>
    </cfRule>
  </conditionalFormatting>
  <conditionalFormatting sqref="B71:B82">
    <cfRule type="expression" dxfId="7989" priority="16">
      <formula>$C71&gt;0</formula>
    </cfRule>
  </conditionalFormatting>
  <conditionalFormatting sqref="B85:B93">
    <cfRule type="expression" dxfId="7988" priority="15">
      <formula>$C85&gt;0</formula>
    </cfRule>
  </conditionalFormatting>
  <conditionalFormatting sqref="B96:B102">
    <cfRule type="expression" dxfId="7987" priority="14">
      <formula>$C96&gt;0</formula>
    </cfRule>
  </conditionalFormatting>
  <conditionalFormatting sqref="C14:C32 C71:C82 C85:C93">
    <cfRule type="cellIs" dxfId="7986" priority="35" operator="equal">
      <formula>0</formula>
    </cfRule>
  </conditionalFormatting>
  <conditionalFormatting sqref="C35:C68">
    <cfRule type="cellIs" dxfId="7985" priority="11" operator="equal">
      <formula>0</formula>
    </cfRule>
  </conditionalFormatting>
  <conditionalFormatting sqref="C96:C102">
    <cfRule type="cellIs" dxfId="7984" priority="13" operator="equal">
      <formula>0</formula>
    </cfRule>
  </conditionalFormatting>
  <conditionalFormatting sqref="C10:D10">
    <cfRule type="cellIs" dxfId="7983" priority="31" operator="lessThan">
      <formula>0</formula>
    </cfRule>
    <cfRule type="cellIs" dxfId="7982" priority="32" operator="greaterThan">
      <formula>0</formula>
    </cfRule>
  </conditionalFormatting>
  <conditionalFormatting sqref="F14:F68">
    <cfRule type="expression" dxfId="7981" priority="1">
      <formula>C14&gt;0</formula>
    </cfRule>
  </conditionalFormatting>
  <conditionalFormatting sqref="F35:F64">
    <cfRule type="expression" dxfId="7980" priority="2">
      <formula>D35&gt;0</formula>
    </cfRule>
  </conditionalFormatting>
  <conditionalFormatting sqref="F71:F82">
    <cfRule type="expression" dxfId="7979" priority="30">
      <formula>C71&gt;0</formula>
    </cfRule>
  </conditionalFormatting>
  <conditionalFormatting sqref="F85:F93">
    <cfRule type="expression" dxfId="7978" priority="28">
      <formula>C85&gt;0</formula>
    </cfRule>
  </conditionalFormatting>
  <conditionalFormatting sqref="F96:F102">
    <cfRule type="expression" dxfId="7977" priority="29">
      <formula>C96&gt;0</formula>
    </cfRule>
  </conditionalFormatting>
  <conditionalFormatting sqref="G14:G32">
    <cfRule type="cellIs" dxfId="7976" priority="27" operator="greaterThan">
      <formula>0</formula>
    </cfRule>
  </conditionalFormatting>
  <conditionalFormatting sqref="G35:G68">
    <cfRule type="cellIs" dxfId="7975" priority="3" operator="greaterThan">
      <formula>0</formula>
    </cfRule>
  </conditionalFormatting>
  <conditionalFormatting sqref="G71:G82 G85:G93 G96:G102">
    <cfRule type="cellIs" dxfId="7974" priority="26" operator="greaterThan">
      <formula>0</formula>
    </cfRule>
  </conditionalFormatting>
  <conditionalFormatting sqref="H14:H32">
    <cfRule type="expression" dxfId="7973" priority="40">
      <formula>$C$10&gt;0</formula>
    </cfRule>
    <cfRule type="expression" dxfId="7972" priority="41">
      <formula>$C$10&lt;0</formula>
    </cfRule>
  </conditionalFormatting>
  <conditionalFormatting sqref="H35:H68">
    <cfRule type="expression" dxfId="7971" priority="9">
      <formula>$C$10&gt;0</formula>
    </cfRule>
  </conditionalFormatting>
  <conditionalFormatting sqref="H35:H82">
    <cfRule type="expression" dxfId="7970" priority="23">
      <formula>$C$10&lt;0</formula>
    </cfRule>
  </conditionalFormatting>
  <conditionalFormatting sqref="H40:H68">
    <cfRule type="expression" dxfId="7969" priority="10">
      <formula>$C$10&lt;0</formula>
    </cfRule>
  </conditionalFormatting>
  <conditionalFormatting sqref="H71:H82">
    <cfRule type="expression" dxfId="7968" priority="22">
      <formula>$C$10&gt;0</formula>
    </cfRule>
  </conditionalFormatting>
  <conditionalFormatting sqref="H85:H93">
    <cfRule type="expression" dxfId="7967" priority="20">
      <formula>$C$10&gt;0</formula>
    </cfRule>
    <cfRule type="expression" dxfId="7966" priority="21">
      <formula>$C$10&lt;0</formula>
    </cfRule>
  </conditionalFormatting>
  <conditionalFormatting sqref="H96:H102">
    <cfRule type="expression" dxfId="7965" priority="18">
      <formula>$C$10&gt;0</formula>
    </cfRule>
    <cfRule type="expression" dxfId="7964" priority="19">
      <formula>$C$10&lt;0</formula>
    </cfRule>
  </conditionalFormatting>
  <conditionalFormatting sqref="J1:J7 J9:J33">
    <cfRule type="expression" dxfId="7963" priority="36">
      <formula>$B$10="EURO"</formula>
    </cfRule>
    <cfRule type="expression" dxfId="7962" priority="37">
      <formula>$B$10="USD"</formula>
    </cfRule>
    <cfRule type="expression" dxfId="7961" priority="38">
      <formula>$B$10="PLN"</formula>
    </cfRule>
    <cfRule type="expression" dxfId="7960" priority="39">
      <formula>$B$10="CZK"</formula>
    </cfRule>
  </conditionalFormatting>
  <conditionalFormatting sqref="J35:J69">
    <cfRule type="expression" dxfId="7959" priority="5">
      <formula>$B$10="EURO"</formula>
    </cfRule>
  </conditionalFormatting>
  <conditionalFormatting sqref="J35:J1048576">
    <cfRule type="expression" dxfId="7958" priority="6">
      <formula>$B$10="USD"</formula>
    </cfRule>
    <cfRule type="expression" dxfId="7957" priority="7">
      <formula>$B$10="PLN"</formula>
    </cfRule>
    <cfRule type="expression" dxfId="7956" priority="8">
      <formula>$B$10="CZK"</formula>
    </cfRule>
  </conditionalFormatting>
  <conditionalFormatting sqref="J71:J83 J85:J94 J96:J1048576">
    <cfRule type="expression" dxfId="7955" priority="25">
      <formula>$B$10="EURO"</formula>
    </cfRule>
  </conditionalFormatting>
  <conditionalFormatting sqref="J14:K68">
    <cfRule type="cellIs" dxfId="7954" priority="4" operator="greaterThan">
      <formula>0</formula>
    </cfRule>
  </conditionalFormatting>
  <conditionalFormatting sqref="J71:K82 J85:K93 J96:K102">
    <cfRule type="cellIs" dxfId="7953"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C08C6235-BCA4-FE40-B52A-B52FBE3DD40D}">
          <x14:formula1>
            <xm:f>'Base Costs'!$E$4:$E$213</xm:f>
          </x14:formula1>
          <xm:sqref>D97</xm:sqref>
        </x14:dataValidation>
        <x14:dataValidation type="list" allowBlank="1" showInputMessage="1" showErrorMessage="1" xr:uid="{97D03179-53FD-C944-ADF1-282D4A70DE83}">
          <x14:formula1>
            <xm:f>'Base Costs'!$A$32:$A$37</xm:f>
          </x14:formula1>
          <xm:sqref>B10</xm:sqref>
        </x14:dataValidation>
        <x14:dataValidation type="list" allowBlank="1" showInputMessage="1" showErrorMessage="1" xr:uid="{C4E8911A-7479-9241-BBB2-9620F949B952}">
          <x14:formula1>
            <xm:f>'Base Costs'!$AU$26:$AU$48</xm:f>
          </x14:formula1>
          <xm:sqref>D35</xm:sqref>
        </x14:dataValidation>
        <x14:dataValidation type="list" allowBlank="1" showInputMessage="1" showErrorMessage="1" xr:uid="{700A0552-D028-B240-8382-2617F2A4862C}">
          <x14:formula1>
            <xm:f>'Base Costs'!$AU$64:$AU$72</xm:f>
          </x14:formula1>
          <xm:sqref>D49:D56</xm:sqref>
        </x14:dataValidation>
        <x14:dataValidation type="list" allowBlank="1" showInputMessage="1" showErrorMessage="1" xr:uid="{0CC09C4B-141E-404E-B818-6F12FDD8E83F}">
          <x14:formula1>
            <xm:f>'Base Costs'!$AU$55:$AU$61</xm:f>
          </x14:formula1>
          <xm:sqref>D40:D47</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BFCDE-45A3-D948-9E93-081D0E13ED37}">
  <sheetPr>
    <tabColor theme="8" tint="0.79998168889431442"/>
  </sheetPr>
  <dimension ref="A1"/>
  <sheetViews>
    <sheetView workbookViewId="0"/>
  </sheetViews>
  <sheetFormatPr baseColWidth="10" defaultRowHeight="13" x14ac:dyDescent="0.1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3D021-303A-7B4B-A005-D22D42FBCF39}">
  <sheetPr>
    <tabColor theme="8" tint="0.79998168889431442"/>
    <pageSetUpPr fitToPage="1"/>
  </sheetPr>
  <dimension ref="A1:AD161"/>
  <sheetViews>
    <sheetView showGridLines="0" zoomScale="80" zoomScaleNormal="80" zoomScaleSheetLayoutView="50" workbookViewId="0">
      <selection activeCell="R29" sqref="R29"/>
    </sheetView>
  </sheetViews>
  <sheetFormatPr baseColWidth="10" defaultColWidth="8.83203125" defaultRowHeight="15" customHeight="1" x14ac:dyDescent="0.15"/>
  <cols>
    <col min="1" max="2" width="2" style="215" customWidth="1"/>
    <col min="3" max="3" width="42.83203125" style="217" bestFit="1"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1505</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1498</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1499</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1488</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1491</v>
      </c>
      <c r="D25" s="1080" t="s">
        <v>1497</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1489</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1493</v>
      </c>
      <c r="U27" s="229"/>
      <c r="AA27" s="217"/>
    </row>
    <row r="28" spans="1:27" ht="15" customHeight="1" x14ac:dyDescent="0.2">
      <c r="C28" s="869" t="s">
        <v>1490</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1492</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f>IF(K37=0,"-",O37/M37)</f>
        <v>0.39433325837643363</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7952" priority="35" operator="containsText" text="SELECT">
      <formula>NOT(ISERROR(SEARCH("SELECT",C9)))</formula>
    </cfRule>
    <cfRule type="expression" dxfId="7951" priority="36">
      <formula>C9="CURRENCY"</formula>
    </cfRule>
  </conditionalFormatting>
  <conditionalFormatting sqref="C14:C34">
    <cfRule type="expression" dxfId="7950" priority="1">
      <formula>$J14&gt;0</formula>
    </cfRule>
  </conditionalFormatting>
  <conditionalFormatting sqref="C38:C48">
    <cfRule type="expression" dxfId="7949" priority="12">
      <formula>$D38&gt;0</formula>
    </cfRule>
  </conditionalFormatting>
  <conditionalFormatting sqref="D38:D39 D41:D48">
    <cfRule type="cellIs" dxfId="7948" priority="37" operator="lessThan">
      <formula>1</formula>
    </cfRule>
  </conditionalFormatting>
  <conditionalFormatting sqref="D40">
    <cfRule type="cellIs" dxfId="7947" priority="32" operator="lessThan">
      <formula>1</formula>
    </cfRule>
  </conditionalFormatting>
  <conditionalFormatting sqref="D9:E9">
    <cfRule type="cellIs" dxfId="7946" priority="33" operator="lessThan">
      <formula>0</formula>
    </cfRule>
    <cfRule type="cellIs" dxfId="7945" priority="34" operator="greaterThan">
      <formula>0</formula>
    </cfRule>
  </conditionalFormatting>
  <conditionalFormatting sqref="F12">
    <cfRule type="expression" dxfId="7944" priority="42">
      <formula>AND((ISNUMBER(SEARCH("I-MUAP",$E$14))),F12&lt;2500)</formula>
    </cfRule>
    <cfRule type="expression" dxfId="7943" priority="43">
      <formula>ISNUMBER(SEARCH("I-MUAP",$E$14))</formula>
    </cfRule>
    <cfRule type="cellIs" dxfId="7942" priority="44" operator="greaterThan">
      <formula>2000</formula>
    </cfRule>
  </conditionalFormatting>
  <conditionalFormatting sqref="F12:G12">
    <cfRule type="cellIs" dxfId="7941" priority="38" operator="lessThan">
      <formula>1000</formula>
    </cfRule>
  </conditionalFormatting>
  <conditionalFormatting sqref="F14:G28">
    <cfRule type="cellIs" dxfId="7940" priority="5" operator="lessThan">
      <formula>1000</formula>
    </cfRule>
  </conditionalFormatting>
  <conditionalFormatting sqref="F31:G32">
    <cfRule type="cellIs" dxfId="7939" priority="2" operator="lessThan">
      <formula>1000</formula>
    </cfRule>
  </conditionalFormatting>
  <conditionalFormatting sqref="G12">
    <cfRule type="cellIs" dxfId="7938" priority="39" operator="greaterThan">
      <formula>3001</formula>
    </cfRule>
  </conditionalFormatting>
  <conditionalFormatting sqref="H11">
    <cfRule type="expression" dxfId="7937" priority="41">
      <formula>((G14-50)/I14)&lt;950</formula>
    </cfRule>
  </conditionalFormatting>
  <conditionalFormatting sqref="H12">
    <cfRule type="expression" dxfId="7936" priority="40">
      <formula>((G14-50)/I14)&lt;950</formula>
    </cfRule>
  </conditionalFormatting>
  <conditionalFormatting sqref="H14:H28">
    <cfRule type="cellIs" dxfId="7935" priority="6" operator="lessThan">
      <formula>400</formula>
    </cfRule>
  </conditionalFormatting>
  <conditionalFormatting sqref="H31:H32">
    <cfRule type="cellIs" dxfId="7934" priority="3" operator="lessThan">
      <formula>400</formula>
    </cfRule>
  </conditionalFormatting>
  <conditionalFormatting sqref="H35">
    <cfRule type="expression" dxfId="7933" priority="49">
      <formula>((#REF!-50)/#REF!)&lt;950</formula>
    </cfRule>
  </conditionalFormatting>
  <conditionalFormatting sqref="J14:J32">
    <cfRule type="cellIs" dxfId="7932" priority="17" operator="greaterThan">
      <formula>0</formula>
    </cfRule>
  </conditionalFormatting>
  <conditionalFormatting sqref="J38:J48">
    <cfRule type="expression" dxfId="7931" priority="25">
      <formula>D38&gt;0</formula>
    </cfRule>
  </conditionalFormatting>
  <conditionalFormatting sqref="J50:J56">
    <cfRule type="expression" dxfId="7930" priority="30">
      <formula>#REF!="EURO"</formula>
    </cfRule>
  </conditionalFormatting>
  <conditionalFormatting sqref="K14:K34">
    <cfRule type="cellIs" dxfId="7929" priority="4" operator="greaterThan">
      <formula>0</formula>
    </cfRule>
  </conditionalFormatting>
  <conditionalFormatting sqref="K38:K48">
    <cfRule type="cellIs" dxfId="7928" priority="31" operator="greaterThan">
      <formula>0</formula>
    </cfRule>
  </conditionalFormatting>
  <conditionalFormatting sqref="K50:K56">
    <cfRule type="expression" dxfId="7927" priority="26">
      <formula>$C$9="PLN"</formula>
    </cfRule>
    <cfRule type="expression" dxfId="7926" priority="27">
      <formula>$C$9="CZK"</formula>
    </cfRule>
    <cfRule type="expression" dxfId="7925" priority="28">
      <formula>$C$9="USD"</formula>
    </cfRule>
    <cfRule type="expression" dxfId="7924" priority="29">
      <formula>$C$9="EURO"</formula>
    </cfRule>
  </conditionalFormatting>
  <conditionalFormatting sqref="L14:L34">
    <cfRule type="expression" dxfId="7923" priority="15">
      <formula>$D$9&lt;0</formula>
    </cfRule>
    <cfRule type="expression" dxfId="7922" priority="16">
      <formula>$D$9&gt;0</formula>
    </cfRule>
  </conditionalFormatting>
  <conditionalFormatting sqref="L38:L48">
    <cfRule type="expression" dxfId="7921" priority="13">
      <formula>$D$9&lt;0</formula>
    </cfRule>
    <cfRule type="expression" dxfId="7920" priority="14">
      <formula>$D$9&gt;0</formula>
    </cfRule>
  </conditionalFormatting>
  <conditionalFormatting sqref="N9 N12">
    <cfRule type="expression" dxfId="7919" priority="45">
      <formula>$C$9="PLN"</formula>
    </cfRule>
    <cfRule type="expression" dxfId="7918" priority="46">
      <formula>$C$9="CZK"</formula>
    </cfRule>
    <cfRule type="expression" dxfId="7917" priority="47">
      <formula>$C$9="USD"</formula>
    </cfRule>
    <cfRule type="expression" dxfId="7916" priority="48">
      <formula>$C$9="EURO"</formula>
    </cfRule>
  </conditionalFormatting>
  <conditionalFormatting sqref="N14:N34">
    <cfRule type="expression" dxfId="7915" priority="19">
      <formula>$C$9="PLN"</formula>
    </cfRule>
    <cfRule type="expression" dxfId="7914" priority="20">
      <formula>$C$9="CZK"</formula>
    </cfRule>
    <cfRule type="expression" dxfId="7913" priority="21">
      <formula>$C$9="USD"</formula>
    </cfRule>
    <cfRule type="expression" dxfId="7912" priority="22">
      <formula>$C$9="EURO"</formula>
    </cfRule>
  </conditionalFormatting>
  <conditionalFormatting sqref="N18:N22">
    <cfRule type="cellIs" dxfId="7911" priority="23" operator="greaterThan">
      <formula>0</formula>
    </cfRule>
  </conditionalFormatting>
  <conditionalFormatting sqref="N37:N48">
    <cfRule type="expression" dxfId="7910" priority="8">
      <formula>$C$9="PLN"</formula>
    </cfRule>
    <cfRule type="expression" dxfId="7909" priority="9">
      <formula>$C$9="CZK"</formula>
    </cfRule>
    <cfRule type="expression" dxfId="7908" priority="10">
      <formula>$C$9="USD"</formula>
    </cfRule>
    <cfRule type="expression" dxfId="7907" priority="11">
      <formula>$C$9="EURO"</formula>
    </cfRule>
  </conditionalFormatting>
  <conditionalFormatting sqref="N14:O34">
    <cfRule type="cellIs" dxfId="7906" priority="18" operator="greaterThan">
      <formula>0</formula>
    </cfRule>
  </conditionalFormatting>
  <conditionalFormatting sqref="N38:O48">
    <cfRule type="cellIs" dxfId="7905" priority="7" operator="greaterThan">
      <formula>0</formula>
    </cfRule>
  </conditionalFormatting>
  <conditionalFormatting sqref="O14:O22">
    <cfRule type="cellIs" dxfId="7904" priority="24" operator="greaterThan">
      <formula>0</formula>
    </cfRule>
  </conditionalFormatting>
  <dataValidations count="3">
    <dataValidation type="list" allowBlank="1" showInputMessage="1" showErrorMessage="1" sqref="H36" xr:uid="{1C199693-2C45-9E43-B78A-AAAE3C52CAF7}">
      <formula1>#REF!</formula1>
    </dataValidation>
    <dataValidation operator="greaterThan" allowBlank="1" showInputMessage="1" showErrorMessage="1" sqref="F14:F28 F31:F32" xr:uid="{09255E94-0B2C-BD45-8BEE-C8A6D595C4FC}"/>
    <dataValidation type="list" allowBlank="1" showInputMessage="1" showErrorMessage="1" sqref="E14:E34" xr:uid="{26572C09-F566-A747-8E2C-A9593ACFE31F}">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50FD2BE2-0ADE-7C43-87A6-D027F66DE556}">
          <x14:formula1>
            <xm:f>'Base Costs'!$A$4:$A$16</xm:f>
          </x14:formula1>
          <xm:sqref>E39:E40</xm:sqref>
        </x14:dataValidation>
        <x14:dataValidation type="list" allowBlank="1" showInputMessage="1" showErrorMessage="1" xr:uid="{22E1D981-5987-A647-806C-78050A89338F}">
          <x14:formula1>
            <xm:f>'Base Costs'!$E$4:$E$213</xm:f>
          </x14:formula1>
          <xm:sqref>E38</xm:sqref>
        </x14:dataValidation>
        <x14:dataValidation type="list" allowBlank="1" showInputMessage="1" showErrorMessage="1" xr:uid="{708AEA87-ABAA-A243-BDF5-A4A36BD15160}">
          <x14:formula1>
            <xm:f>'Base Costs'!$A$32:$A$37</xm:f>
          </x14:formula1>
          <xm:sqref>C9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21428-77C1-214C-ABEA-256EE012DEFA}">
  <sheetPr>
    <tabColor theme="8" tint="0.79998168889431442"/>
    <pageSetUpPr fitToPage="1"/>
  </sheetPr>
  <dimension ref="A1:AD160"/>
  <sheetViews>
    <sheetView showGridLines="0" topLeftCell="B4" zoomScale="90" zoomScaleNormal="90" zoomScaleSheetLayoutView="50" workbookViewId="0">
      <selection activeCell="R29" sqref="R29"/>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1509</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IF(K36=0,"-",O36/M36)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1" t="s">
        <v>1442</v>
      </c>
      <c r="G38" s="1121"/>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1393</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1" t="s">
        <v>1443</v>
      </c>
      <c r="G42" s="1121"/>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4" t="s">
        <v>1494</v>
      </c>
      <c r="F46" s="1185"/>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7903" priority="35" operator="containsText" text="SELECT">
      <formula>NOT(ISERROR(SEARCH("SELECT",C9)))</formula>
    </cfRule>
    <cfRule type="expression" dxfId="7902" priority="36">
      <formula>C9="CURRENCY"</formula>
    </cfRule>
  </conditionalFormatting>
  <conditionalFormatting sqref="C14:C33">
    <cfRule type="expression" dxfId="7901" priority="1">
      <formula>$J14&gt;0</formula>
    </cfRule>
  </conditionalFormatting>
  <conditionalFormatting sqref="C37:C47">
    <cfRule type="expression" dxfId="7900" priority="12">
      <formula>$D37&gt;0</formula>
    </cfRule>
  </conditionalFormatting>
  <conditionalFormatting sqref="D37:D38 D40:D47">
    <cfRule type="cellIs" dxfId="7899" priority="37" operator="lessThan">
      <formula>1</formula>
    </cfRule>
  </conditionalFormatting>
  <conditionalFormatting sqref="D39">
    <cfRule type="cellIs" dxfId="7898" priority="32" operator="lessThan">
      <formula>1</formula>
    </cfRule>
  </conditionalFormatting>
  <conditionalFormatting sqref="D9:E9">
    <cfRule type="cellIs" dxfId="7897" priority="33" operator="lessThan">
      <formula>0</formula>
    </cfRule>
    <cfRule type="cellIs" dxfId="7896" priority="34" operator="greaterThan">
      <formula>0</formula>
    </cfRule>
  </conditionalFormatting>
  <conditionalFormatting sqref="F12">
    <cfRule type="expression" dxfId="7895" priority="42">
      <formula>AND((ISNUMBER(SEARCH("I-MUAP",$E$14))),F12&lt;2500)</formula>
    </cfRule>
    <cfRule type="expression" dxfId="7894" priority="43">
      <formula>ISNUMBER(SEARCH("I-MUAP",$E$14))</formula>
    </cfRule>
    <cfRule type="cellIs" dxfId="7893" priority="44" operator="greaterThan">
      <formula>2000</formula>
    </cfRule>
  </conditionalFormatting>
  <conditionalFormatting sqref="F12:G12">
    <cfRule type="cellIs" dxfId="7892" priority="38" operator="lessThan">
      <formula>1000</formula>
    </cfRule>
  </conditionalFormatting>
  <conditionalFormatting sqref="F14:G26">
    <cfRule type="cellIs" dxfId="7891" priority="5" operator="lessThan">
      <formula>1000</formula>
    </cfRule>
  </conditionalFormatting>
  <conditionalFormatting sqref="F30:G31">
    <cfRule type="cellIs" dxfId="7890" priority="2" operator="lessThan">
      <formula>1000</formula>
    </cfRule>
  </conditionalFormatting>
  <conditionalFormatting sqref="G12">
    <cfRule type="cellIs" dxfId="7889" priority="39" operator="greaterThan">
      <formula>3001</formula>
    </cfRule>
  </conditionalFormatting>
  <conditionalFormatting sqref="H11">
    <cfRule type="expression" dxfId="7888" priority="41">
      <formula>((G14-50)/I14)&lt;950</formula>
    </cfRule>
  </conditionalFormatting>
  <conditionalFormatting sqref="H12">
    <cfRule type="expression" dxfId="7887" priority="40">
      <formula>((G14-50)/I14)&lt;950</formula>
    </cfRule>
  </conditionalFormatting>
  <conditionalFormatting sqref="H14:H26">
    <cfRule type="cellIs" dxfId="7886" priority="6" operator="lessThan">
      <formula>400</formula>
    </cfRule>
  </conditionalFormatting>
  <conditionalFormatting sqref="H30:H31">
    <cfRule type="cellIs" dxfId="7885" priority="3" operator="lessThan">
      <formula>400</formula>
    </cfRule>
  </conditionalFormatting>
  <conditionalFormatting sqref="H34">
    <cfRule type="expression" dxfId="7884" priority="49">
      <formula>((#REF!-50)/#REF!)&lt;950</formula>
    </cfRule>
  </conditionalFormatting>
  <conditionalFormatting sqref="J14:J31">
    <cfRule type="cellIs" dxfId="7883" priority="17" operator="greaterThan">
      <formula>0</formula>
    </cfRule>
  </conditionalFormatting>
  <conditionalFormatting sqref="J37:J47">
    <cfRule type="expression" dxfId="7882" priority="25">
      <formula>D37&gt;0</formula>
    </cfRule>
  </conditionalFormatting>
  <conditionalFormatting sqref="J49:J55">
    <cfRule type="expression" dxfId="7881" priority="30">
      <formula>#REF!="EURO"</formula>
    </cfRule>
  </conditionalFormatting>
  <conditionalFormatting sqref="K14:K33">
    <cfRule type="cellIs" dxfId="7880" priority="4" operator="greaterThan">
      <formula>0</formula>
    </cfRule>
  </conditionalFormatting>
  <conditionalFormatting sqref="K37:K47">
    <cfRule type="cellIs" dxfId="7879" priority="31" operator="greaterThan">
      <formula>0</formula>
    </cfRule>
  </conditionalFormatting>
  <conditionalFormatting sqref="K49:K55">
    <cfRule type="expression" dxfId="7878" priority="26">
      <formula>$C$9="PLN"</formula>
    </cfRule>
    <cfRule type="expression" dxfId="7877" priority="27">
      <formula>$C$9="CZK"</formula>
    </cfRule>
    <cfRule type="expression" dxfId="7876" priority="28">
      <formula>$C$9="USD"</formula>
    </cfRule>
    <cfRule type="expression" dxfId="7875" priority="29">
      <formula>$C$9="EURO"</formula>
    </cfRule>
  </conditionalFormatting>
  <conditionalFormatting sqref="L14:L33">
    <cfRule type="expression" dxfId="7874" priority="15">
      <formula>$D$9&lt;0</formula>
    </cfRule>
    <cfRule type="expression" dxfId="7873" priority="16">
      <formula>$D$9&gt;0</formula>
    </cfRule>
  </conditionalFormatting>
  <conditionalFormatting sqref="L37:L47">
    <cfRule type="expression" dxfId="7872" priority="13">
      <formula>$D$9&lt;0</formula>
    </cfRule>
    <cfRule type="expression" dxfId="7871" priority="14">
      <formula>$D$9&gt;0</formula>
    </cfRule>
  </conditionalFormatting>
  <conditionalFormatting sqref="N9 N12">
    <cfRule type="expression" dxfId="7870" priority="45">
      <formula>$C$9="PLN"</formula>
    </cfRule>
    <cfRule type="expression" dxfId="7869" priority="46">
      <formula>$C$9="CZK"</formula>
    </cfRule>
    <cfRule type="expression" dxfId="7868" priority="47">
      <formula>$C$9="USD"</formula>
    </cfRule>
    <cfRule type="expression" dxfId="7867" priority="48">
      <formula>$C$9="EURO"</formula>
    </cfRule>
  </conditionalFormatting>
  <conditionalFormatting sqref="N14:N33">
    <cfRule type="expression" dxfId="7866" priority="19">
      <formula>$C$9="PLN"</formula>
    </cfRule>
    <cfRule type="expression" dxfId="7865" priority="20">
      <formula>$C$9="CZK"</formula>
    </cfRule>
    <cfRule type="expression" dxfId="7864" priority="21">
      <formula>$C$9="USD"</formula>
    </cfRule>
    <cfRule type="expression" dxfId="7863" priority="22">
      <formula>$C$9="EURO"</formula>
    </cfRule>
  </conditionalFormatting>
  <conditionalFormatting sqref="N18:N20">
    <cfRule type="cellIs" dxfId="7862" priority="23" operator="greaterThan">
      <formula>0</formula>
    </cfRule>
  </conditionalFormatting>
  <conditionalFormatting sqref="N36:N47">
    <cfRule type="expression" dxfId="7861" priority="8">
      <formula>$C$9="PLN"</formula>
    </cfRule>
    <cfRule type="expression" dxfId="7860" priority="9">
      <formula>$C$9="CZK"</formula>
    </cfRule>
    <cfRule type="expression" dxfId="7859" priority="10">
      <formula>$C$9="USD"</formula>
    </cfRule>
    <cfRule type="expression" dxfId="7858" priority="11">
      <formula>$C$9="EURO"</formula>
    </cfRule>
  </conditionalFormatting>
  <conditionalFormatting sqref="N14:O33">
    <cfRule type="cellIs" dxfId="7857" priority="18" operator="greaterThan">
      <formula>0</formula>
    </cfRule>
  </conditionalFormatting>
  <conditionalFormatting sqref="N37:O47">
    <cfRule type="cellIs" dxfId="7856" priority="7" operator="greaterThan">
      <formula>0</formula>
    </cfRule>
  </conditionalFormatting>
  <conditionalFormatting sqref="O14:O20">
    <cfRule type="cellIs" dxfId="7855" priority="24" operator="greaterThan">
      <formula>0</formula>
    </cfRule>
  </conditionalFormatting>
  <dataValidations count="3">
    <dataValidation type="list" allowBlank="1" showInputMessage="1" showErrorMessage="1" sqref="E14:E33" xr:uid="{7968D65D-52C4-AA4F-83CA-16EBEFC6E3D8}">
      <formula1>"0,1,2,3,4,5,6,7,8,9,10,11,12,13,14,15,16,17,18,19,20"</formula1>
    </dataValidation>
    <dataValidation operator="greaterThan" allowBlank="1" showInputMessage="1" showErrorMessage="1" sqref="F14:F26 F30:F31" xr:uid="{A492C79A-F995-7A4E-A10D-DCC91A855A62}"/>
    <dataValidation type="list" allowBlank="1" showInputMessage="1" showErrorMessage="1" sqref="H35" xr:uid="{DFE88675-FD48-694E-8F5E-9EC5DDA8019F}">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BF9C2CC8-0A74-B140-82F2-74B048AF2768}">
          <x14:formula1>
            <xm:f>'Base Costs'!$A$32:$A$37</xm:f>
          </x14:formula1>
          <xm:sqref>C9</xm:sqref>
        </x14:dataValidation>
        <x14:dataValidation type="list" allowBlank="1" showInputMessage="1" showErrorMessage="1" xr:uid="{A296A13A-2518-EA40-8667-6D4154A3AFE8}">
          <x14:formula1>
            <xm:f>'Base Costs'!$E$4:$E$213</xm:f>
          </x14:formula1>
          <xm:sqref>E37</xm:sqref>
        </x14:dataValidation>
        <x14:dataValidation type="list" allowBlank="1" showInputMessage="1" showErrorMessage="1" xr:uid="{BC6B19BC-6D9C-E14F-84E3-18AF9209C2BD}">
          <x14:formula1>
            <xm:f>'Base Costs'!$A$4:$A$16</xm:f>
          </x14:formula1>
          <xm:sqref>E38:E39</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0CA6-DB95-914D-A170-A6F7F80A911C}">
  <sheetPr>
    <tabColor theme="8" tint="0.79998168889431442"/>
    <pageSetUpPr fitToPage="1"/>
  </sheetPr>
  <dimension ref="A1:AB310"/>
  <sheetViews>
    <sheetView showGridLines="0" topLeftCell="A3" zoomScale="80" zoomScaleNormal="80" zoomScaleSheetLayoutView="50" workbookViewId="0">
      <selection activeCell="R29" sqref="R29"/>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13"/>
      <c r="F3" s="690" t="s">
        <v>78</v>
      </c>
      <c r="G3" s="1084"/>
      <c r="H3" s="1114"/>
      <c r="I3" s="1114"/>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13"/>
      <c r="F5" s="690" t="s">
        <v>77</v>
      </c>
      <c r="G5" s="1084"/>
      <c r="H5" s="1114"/>
      <c r="I5" s="1114"/>
      <c r="J5" s="1114"/>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13"/>
      <c r="F7" s="690" t="s">
        <v>76</v>
      </c>
      <c r="G7" s="1086"/>
      <c r="H7" s="1115"/>
      <c r="I7" s="1115"/>
      <c r="J7" s="1115"/>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2"/>
      <c r="F9" s="1112"/>
      <c r="G9" s="1125"/>
      <c r="H9" s="1126"/>
      <c r="I9" s="1126"/>
      <c r="J9" s="1126"/>
      <c r="K9" s="703">
        <f>SUBTOTAL(9,K12:K197)</f>
        <v>0</v>
      </c>
      <c r="L9" s="982" t="str">
        <f>IF(O9=0,"-",O9/M9)</f>
        <v>-</v>
      </c>
      <c r="M9" s="703">
        <f>SUBTOTAL(9,M12:M197)</f>
        <v>0</v>
      </c>
      <c r="N9" s="705">
        <f>SUBTOTAL(9,N12:N197)</f>
        <v>0</v>
      </c>
      <c r="O9" s="703">
        <f>SUBTOTAL(9,O12:O197)</f>
        <v>0</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344</v>
      </c>
      <c r="C16" s="752" t="s">
        <v>347</v>
      </c>
      <c r="D16" s="735"/>
      <c r="E16" s="753" t="str">
        <f>IF(C16="","",VLOOKUP(C16,CCBASE!$A$53:$D$73,4,FALSE))</f>
        <v/>
      </c>
      <c r="F16" s="754"/>
      <c r="G16" s="749"/>
      <c r="H16" s="750"/>
      <c r="I16" s="755"/>
      <c r="J16" s="736">
        <f>IF(C16="",0,VLOOKUP(C16,CCBASE!$A$53:$C$73,2,FALSE))</f>
        <v>0</v>
      </c>
      <c r="K16" s="737">
        <f>J16*D16</f>
        <v>0</v>
      </c>
      <c r="L16" s="738">
        <v>0.35</v>
      </c>
      <c r="M16" s="739">
        <f t="shared" si="0"/>
        <v>0</v>
      </c>
      <c r="N16" s="737">
        <f>M16*VLOOKUP($B$9,'Base Costs'!$A$32:$B$37,2,FALSE)</f>
        <v>0</v>
      </c>
      <c r="O16" s="740">
        <f t="shared" si="1"/>
        <v>0</v>
      </c>
      <c r="P16" s="745"/>
      <c r="Q16" s="940"/>
      <c r="S16" s="694"/>
      <c r="Y16" s="673"/>
    </row>
    <row r="17" spans="1:26" ht="15"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customHeight="1" outlineLevel="1" x14ac:dyDescent="0.15">
      <c r="B18" s="992" t="s">
        <v>344</v>
      </c>
      <c r="C18" s="993" t="s">
        <v>1404</v>
      </c>
      <c r="D18" s="994">
        <v>0</v>
      </c>
      <c r="E18" s="995" t="str">
        <f>IF(C18="","",VLOOKUP(C18,CCBASE!$A$53:$D$73,4,FALSE))</f>
        <v>SECTION(S) OF CANOPY</v>
      </c>
      <c r="F18" s="996"/>
      <c r="G18" s="991"/>
      <c r="H18" s="997"/>
      <c r="I18" s="998"/>
      <c r="J18" s="999">
        <f>IF(C18="",0,VLOOKUP(C18,CCBASE!$A$53:$C$73,2,FALSE))</f>
        <v>50</v>
      </c>
      <c r="K18" s="1000">
        <f>J18*D18</f>
        <v>0</v>
      </c>
      <c r="L18" s="1001">
        <v>0.44</v>
      </c>
      <c r="M18" s="1002">
        <f t="shared" si="0"/>
        <v>0</v>
      </c>
      <c r="N18" s="1000">
        <f>M18*VLOOKUP($B$9,'Base Costs'!$A$32:$B$37,2,FALSE)</f>
        <v>0</v>
      </c>
      <c r="O18" s="1003">
        <f t="shared" si="1"/>
        <v>0</v>
      </c>
      <c r="P18" s="1004" t="s">
        <v>1453</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P19" t="s">
        <v>1513</v>
      </c>
      <c r="Q19" t="s">
        <v>1514</v>
      </c>
      <c r="R19" s="217"/>
      <c r="S19" s="229" t="s">
        <v>1515</v>
      </c>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K32" si="2">J24*1</f>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344</v>
      </c>
      <c r="C33" s="752" t="s">
        <v>347</v>
      </c>
      <c r="D33" s="735"/>
      <c r="E33" s="753" t="str">
        <f>IF(C33="","",VLOOKUP(C33,CCBASE!$A$53:$D$73,4,FALSE))</f>
        <v/>
      </c>
      <c r="F33" s="754"/>
      <c r="G33" s="749"/>
      <c r="H33" s="750"/>
      <c r="I33" s="755"/>
      <c r="J33" s="736">
        <f>IF(C33="",0,VLOOKUP(C33,CCBASE!$A$53:$C$73,2,FALSE))</f>
        <v>0</v>
      </c>
      <c r="K33" s="737">
        <f>J33*D33</f>
        <v>0</v>
      </c>
      <c r="L33" s="738">
        <v>0.35</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8"/>
      <c r="F35" s="119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ROUNDUP($F31/1000,0)</f>
        <v>0</v>
      </c>
      <c r="E36" s="1110" t="s">
        <v>1092</v>
      </c>
      <c r="F36" s="1196"/>
      <c r="G36" s="754"/>
      <c r="H36" s="750"/>
      <c r="I36" s="755"/>
      <c r="J36" s="736">
        <f>IF(D36=0,0,VLOOKUP(C36,'Base Costs'!$A$19:$B$22,2,FALSE))</f>
        <v>0</v>
      </c>
      <c r="K36" s="737">
        <f>J36*D36</f>
        <v>0</v>
      </c>
      <c r="L36" s="738">
        <v>0.44</v>
      </c>
      <c r="M36" s="739">
        <f t="shared" si="3"/>
        <v>0</v>
      </c>
      <c r="N36" s="737">
        <f>M36*VLOOKUP($B$9,'Base Costs'!$A$32:$B$37,2,FALSE)</f>
        <v>0</v>
      </c>
      <c r="O36" s="740">
        <f>M36-K36</f>
        <v>0</v>
      </c>
      <c r="P36" t="s">
        <v>1513</v>
      </c>
      <c r="Q36" t="s">
        <v>1514</v>
      </c>
      <c r="R36" s="217"/>
      <c r="S36" s="229" t="s">
        <v>1515</v>
      </c>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269" t="s">
        <v>344</v>
      </c>
      <c r="C50" s="752" t="s">
        <v>347</v>
      </c>
      <c r="D50" s="735"/>
      <c r="E50" s="753" t="str">
        <f>IF(C50="","",VLOOKUP(C50,CCBASE!$A$53:$D$73,4,FALSE))</f>
        <v/>
      </c>
      <c r="F50" s="754"/>
      <c r="G50" s="749"/>
      <c r="H50" s="750"/>
      <c r="I50" s="755"/>
      <c r="J50" s="736">
        <f>IF(C50="",0,VLOOKUP(C50,CCBASE!$A$53:$C$73,2,FALSE))</f>
        <v>0</v>
      </c>
      <c r="K50" s="737">
        <f>J50*D50</f>
        <v>0</v>
      </c>
      <c r="L50" s="738">
        <v>0.35</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ROUNDUP($F48/1000,0)</f>
        <v>0</v>
      </c>
      <c r="E53" s="1110" t="s">
        <v>1092</v>
      </c>
      <c r="F53" s="1196"/>
      <c r="G53" s="754"/>
      <c r="H53" s="750"/>
      <c r="I53" s="755"/>
      <c r="J53" s="736">
        <f>IF(D53=0,0,VLOOKUP(C53,'Base Costs'!$A$19:$B$22,2,FALSE))</f>
        <v>0</v>
      </c>
      <c r="K53" s="737">
        <f>J53*D53</f>
        <v>0</v>
      </c>
      <c r="L53" s="738">
        <v>0.44</v>
      </c>
      <c r="M53" s="739">
        <f t="shared" si="7"/>
        <v>0</v>
      </c>
      <c r="N53" s="737">
        <f>M53*VLOOKUP($B$9,'Base Costs'!$A$32:$B$37,2,FALSE)</f>
        <v>0</v>
      </c>
      <c r="O53" s="740">
        <f>M53-K53</f>
        <v>0</v>
      </c>
      <c r="P53" t="s">
        <v>1513</v>
      </c>
      <c r="Q53" t="s">
        <v>1514</v>
      </c>
      <c r="R53" s="217"/>
      <c r="S53" s="229" t="s">
        <v>1515</v>
      </c>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269" t="s">
        <v>344</v>
      </c>
      <c r="C67" s="752" t="s">
        <v>347</v>
      </c>
      <c r="D67" s="735"/>
      <c r="E67" s="753" t="str">
        <f>IF(C67="","",VLOOKUP(C67,CCBASE!$A$53:$D$73,4,FALSE))</f>
        <v/>
      </c>
      <c r="F67" s="754"/>
      <c r="G67" s="749"/>
      <c r="H67" s="750"/>
      <c r="I67" s="755"/>
      <c r="J67" s="736">
        <f>IF(C67="",0,VLOOKUP(C67,CCBASE!$A$53:$C$73,2,FALSE))</f>
        <v>0</v>
      </c>
      <c r="K67" s="737">
        <f>J67*D67</f>
        <v>0</v>
      </c>
      <c r="L67" s="738">
        <v>0.35</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1"/>
        <v>0</v>
      </c>
      <c r="N70" s="737">
        <f>M70*VLOOKUP($B$9,'Base Costs'!$A$32:$B$37,2,FALSE)</f>
        <v>0</v>
      </c>
      <c r="O70" s="740">
        <f>M70-K70</f>
        <v>0</v>
      </c>
      <c r="P70" t="s">
        <v>1513</v>
      </c>
      <c r="Q70" t="s">
        <v>1514</v>
      </c>
      <c r="R70" s="217"/>
      <c r="S70" s="229" t="s">
        <v>1515</v>
      </c>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217"/>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269" t="s">
        <v>344</v>
      </c>
      <c r="C84" s="752" t="s">
        <v>347</v>
      </c>
      <c r="D84" s="735"/>
      <c r="E84" s="753" t="str">
        <f>IF(C84="","",VLOOKUP(C84,CCBASE!$A$53:$D$73,4,FALSE))</f>
        <v/>
      </c>
      <c r="F84" s="754"/>
      <c r="G84" s="749"/>
      <c r="H84" s="750"/>
      <c r="I84" s="755"/>
      <c r="J84" s="736">
        <f>IF(C84="",0,VLOOKUP(C84,CCBASE!$A$53:$C$73,2,FALSE))</f>
        <v>0</v>
      </c>
      <c r="K84" s="737">
        <f>J84*D84</f>
        <v>0</v>
      </c>
      <c r="L84" s="738">
        <v>0.35</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5"/>
        <v>0</v>
      </c>
      <c r="N87" s="737">
        <f>M87*VLOOKUP($B$9,'Base Costs'!$A$32:$B$37,2,FALSE)</f>
        <v>0</v>
      </c>
      <c r="O87" s="740">
        <f>M87-K87</f>
        <v>0</v>
      </c>
      <c r="P87" t="s">
        <v>1513</v>
      </c>
      <c r="Q87" t="s">
        <v>1514</v>
      </c>
      <c r="R87" s="217"/>
      <c r="S87" s="229" t="s">
        <v>1515</v>
      </c>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269" t="s">
        <v>344</v>
      </c>
      <c r="C101" s="752" t="s">
        <v>347</v>
      </c>
      <c r="D101" s="735"/>
      <c r="E101" s="753" t="str">
        <f>IF(C101="","",VLOOKUP(C101,CCBASE!$A$53:$D$73,4,FALSE))</f>
        <v/>
      </c>
      <c r="F101" s="754"/>
      <c r="G101" s="749"/>
      <c r="H101" s="750"/>
      <c r="I101" s="755"/>
      <c r="J101" s="736">
        <f>IF(C101="",0,VLOOKUP(C101,CCBASE!$A$53:$C$73,2,FALSE))</f>
        <v>0</v>
      </c>
      <c r="K101" s="737">
        <f>J101*D101</f>
        <v>0</v>
      </c>
      <c r="L101" s="738">
        <v>0.35</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19"/>
        <v>0</v>
      </c>
      <c r="N104" s="737">
        <f>M104*VLOOKUP($B$9,'Base Costs'!$A$32:$B$37,2,FALSE)</f>
        <v>0</v>
      </c>
      <c r="O104" s="740">
        <f>M104-K104</f>
        <v>0</v>
      </c>
      <c r="P104" t="s">
        <v>1513</v>
      </c>
      <c r="Q104" t="s">
        <v>1514</v>
      </c>
      <c r="R104" s="217"/>
      <c r="S104" s="229" t="s">
        <v>1515</v>
      </c>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269" t="s">
        <v>344</v>
      </c>
      <c r="C118" s="752" t="s">
        <v>347</v>
      </c>
      <c r="D118" s="735"/>
      <c r="E118" s="753" t="str">
        <f>IF(C118="","",VLOOKUP(C118,CCBASE!$A$53:$D$73,4,FALSE))</f>
        <v/>
      </c>
      <c r="F118" s="754"/>
      <c r="G118" s="749"/>
      <c r="H118" s="750"/>
      <c r="I118" s="755"/>
      <c r="J118" s="736">
        <f>IF(C118="",0,VLOOKUP(C118,CCBASE!$A$53:$C$73,2,FALSE))</f>
        <v>0</v>
      </c>
      <c r="K118" s="737">
        <f>J118*D118</f>
        <v>0</v>
      </c>
      <c r="L118" s="738">
        <v>0.35</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3"/>
        <v>0</v>
      </c>
      <c r="N121" s="737">
        <f>M121*VLOOKUP($B$9,'Base Costs'!$A$32:$B$37,2,FALSE)</f>
        <v>0</v>
      </c>
      <c r="O121" s="740">
        <f>M121-K121</f>
        <v>0</v>
      </c>
      <c r="P121" t="s">
        <v>1513</v>
      </c>
      <c r="Q121" t="s">
        <v>1514</v>
      </c>
      <c r="R121" s="217"/>
      <c r="S121" s="229" t="s">
        <v>1515</v>
      </c>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269" t="s">
        <v>344</v>
      </c>
      <c r="C135" s="752" t="s">
        <v>347</v>
      </c>
      <c r="D135" s="735"/>
      <c r="E135" s="753" t="str">
        <f>IF(C135="","",VLOOKUP(C135,CCBASE!$A$53:$D$73,4,FALSE))</f>
        <v/>
      </c>
      <c r="F135" s="754"/>
      <c r="G135" s="749"/>
      <c r="H135" s="750"/>
      <c r="I135" s="755"/>
      <c r="J135" s="736">
        <f>IF(C135="",0,VLOOKUP(C135,CCBASE!$A$53:$C$73,2,FALSE))</f>
        <v>0</v>
      </c>
      <c r="K135" s="737">
        <f>J135*D135</f>
        <v>0</v>
      </c>
      <c r="L135" s="738">
        <v>0.35</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ROUNDUP($F133/1000,0)</f>
        <v>0</v>
      </c>
      <c r="E138" s="1110" t="s">
        <v>1092</v>
      </c>
      <c r="F138" s="1108"/>
      <c r="G138" s="754"/>
      <c r="H138" s="750"/>
      <c r="I138" s="755"/>
      <c r="J138" s="736">
        <f>IF(D138=0,0,VLOOKUP(C138,'Base Costs'!$A$19:$B$22,2,FALSE))</f>
        <v>0</v>
      </c>
      <c r="K138" s="737">
        <f>J138*D138</f>
        <v>0</v>
      </c>
      <c r="L138" s="738">
        <v>0.44</v>
      </c>
      <c r="M138" s="739">
        <f t="shared" si="27"/>
        <v>0</v>
      </c>
      <c r="N138" s="737">
        <f>M138*VLOOKUP($B$9,'Base Costs'!$A$32:$B$37,2,FALSE)</f>
        <v>0</v>
      </c>
      <c r="O138" s="740">
        <f>M138-K138</f>
        <v>0</v>
      </c>
      <c r="P138" t="s">
        <v>1513</v>
      </c>
      <c r="Q138" t="s">
        <v>1514</v>
      </c>
      <c r="R138" s="217"/>
      <c r="S138" s="229" t="s">
        <v>1515</v>
      </c>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269" t="s">
        <v>344</v>
      </c>
      <c r="C152" s="752" t="s">
        <v>347</v>
      </c>
      <c r="D152" s="735"/>
      <c r="E152" s="753" t="str">
        <f>IF(C152="","",VLOOKUP(C152,CCBASE!$A$53:$D$73,4,FALSE))</f>
        <v/>
      </c>
      <c r="F152" s="754"/>
      <c r="G152" s="749"/>
      <c r="H152" s="750"/>
      <c r="I152" s="755"/>
      <c r="J152" s="736">
        <f>IF(C152="",0,VLOOKUP(C152,CCBASE!$A$53:$C$73,2,FALSE))</f>
        <v>0</v>
      </c>
      <c r="K152" s="737">
        <f>J152*D152</f>
        <v>0</v>
      </c>
      <c r="L152" s="738">
        <v>0.35</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1"/>
        <v>0</v>
      </c>
      <c r="N155" s="737">
        <f>M155*VLOOKUP($B$9,'Base Costs'!$A$32:$B$37,2,FALSE)</f>
        <v>0</v>
      </c>
      <c r="O155" s="740">
        <f>M155-K155</f>
        <v>0</v>
      </c>
      <c r="P155" t="s">
        <v>1513</v>
      </c>
      <c r="Q155" t="s">
        <v>1514</v>
      </c>
      <c r="R155" s="217"/>
      <c r="S155" s="229" t="s">
        <v>1515</v>
      </c>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269" t="s">
        <v>344</v>
      </c>
      <c r="C169" s="752" t="s">
        <v>347</v>
      </c>
      <c r="D169" s="735"/>
      <c r="E169" s="753" t="str">
        <f>IF(C169="","",VLOOKUP(C169,CCBASE!$A$53:$D$73,4,FALSE))</f>
        <v/>
      </c>
      <c r="F169" s="754"/>
      <c r="G169" s="749"/>
      <c r="H169" s="750"/>
      <c r="I169" s="755"/>
      <c r="J169" s="736">
        <f>IF(C169="",0,VLOOKUP(C169,CCBASE!$A$53:$C$73,2,FALSE))</f>
        <v>0</v>
      </c>
      <c r="K169" s="737">
        <f>J169*D169</f>
        <v>0</v>
      </c>
      <c r="L169" s="738">
        <v>0.35</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35"/>
        <v>0</v>
      </c>
      <c r="N172" s="737">
        <f>M172*VLOOKUP($B$9,'Base Costs'!$A$32:$B$37,2,FALSE)</f>
        <v>0</v>
      </c>
      <c r="O172" s="740">
        <f>M172-K172</f>
        <v>0</v>
      </c>
      <c r="P172" t="s">
        <v>1513</v>
      </c>
      <c r="Q172" t="s">
        <v>1514</v>
      </c>
      <c r="R172" s="217"/>
      <c r="S172" s="229" t="s">
        <v>1515</v>
      </c>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IF(K182=0,"-",O182/M182)</f>
        <v>-</v>
      </c>
      <c r="M182" s="723">
        <f>SUBTOTAL(9,M183:M197)</f>
        <v>0</v>
      </c>
      <c r="N182" s="705">
        <f>SUBTOTAL(9,N183:N197)</f>
        <v>0</v>
      </c>
      <c r="O182" s="703">
        <f>SUBTOTAL(9,O183:O197)</f>
        <v>0</v>
      </c>
      <c r="S182" s="694"/>
    </row>
    <row r="183" spans="1:25" ht="15" customHeight="1" x14ac:dyDescent="0.15">
      <c r="A183" s="666">
        <v>222</v>
      </c>
      <c r="B183" s="589" t="s">
        <v>1133</v>
      </c>
      <c r="C183" s="774"/>
      <c r="D183" s="775" t="s">
        <v>48</v>
      </c>
      <c r="E183" s="1118" t="s">
        <v>732</v>
      </c>
      <c r="F183" s="1119"/>
      <c r="G183" s="1109"/>
      <c r="H183" s="1109"/>
      <c r="I183" s="110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7"/>
      <c r="F186" s="1108"/>
      <c r="G186" s="1109"/>
      <c r="H186" s="1109"/>
      <c r="I186" s="110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6" t="s">
        <v>1495</v>
      </c>
      <c r="E193" s="1117"/>
      <c r="F193" s="111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7854" priority="687" operator="containsText" text="SELECT">
      <formula>NOT(ISERROR(SEARCH("SELECT",B9)))</formula>
    </cfRule>
    <cfRule type="expression" dxfId="7853" priority="688">
      <formula>B9="CURRENCY"</formula>
    </cfRule>
  </conditionalFormatting>
  <conditionalFormatting sqref="B11">
    <cfRule type="expression" dxfId="7852" priority="650">
      <formula>$B11&lt;&gt;""</formula>
    </cfRule>
  </conditionalFormatting>
  <conditionalFormatting sqref="B14:B23">
    <cfRule type="expression" dxfId="7851" priority="642">
      <formula>$J14&gt;0</formula>
    </cfRule>
  </conditionalFormatting>
  <conditionalFormatting sqref="B24">
    <cfRule type="expression" dxfId="7850" priority="639">
      <formula>ISNUMBER(SEARCH("UV",$D14))</formula>
    </cfRule>
    <cfRule type="expression" dxfId="7849" priority="640">
      <formula>($D14="CANOPY TYPE")</formula>
    </cfRule>
  </conditionalFormatting>
  <conditionalFormatting sqref="B25:B27">
    <cfRule type="expression" dxfId="7848" priority="455">
      <formula>$J25&gt;0</formula>
    </cfRule>
  </conditionalFormatting>
  <conditionalFormatting sqref="B28">
    <cfRule type="expression" dxfId="7847" priority="648">
      <formula>$B28&lt;&gt;""</formula>
    </cfRule>
  </conditionalFormatting>
  <conditionalFormatting sqref="B31:B32 B34:B40">
    <cfRule type="expression" dxfId="7846" priority="400">
      <formula>$J31&gt;0</formula>
    </cfRule>
  </conditionalFormatting>
  <conditionalFormatting sqref="B41">
    <cfRule type="expression" dxfId="7845" priority="607">
      <formula>ISNUMBER(SEARCH("UV",$D31))</formula>
    </cfRule>
    <cfRule type="expression" dxfId="7844" priority="608">
      <formula>($D31="CANOPY TYPE")</formula>
    </cfRule>
  </conditionalFormatting>
  <conditionalFormatting sqref="B42:B44">
    <cfRule type="expression" dxfId="7843" priority="609">
      <formula>$J42&gt;0</formula>
    </cfRule>
  </conditionalFormatting>
  <conditionalFormatting sqref="B45">
    <cfRule type="expression" dxfId="7842" priority="647">
      <formula>$B45&lt;&gt;""</formula>
    </cfRule>
  </conditionalFormatting>
  <conditionalFormatting sqref="B48:B49 B51:B57">
    <cfRule type="expression" dxfId="7841" priority="374">
      <formula>$J48&gt;0</formula>
    </cfRule>
  </conditionalFormatting>
  <conditionalFormatting sqref="B58">
    <cfRule type="expression" dxfId="7840" priority="577">
      <formula>ISNUMBER(SEARCH("UV",$D48))</formula>
    </cfRule>
    <cfRule type="expression" dxfId="7839" priority="578">
      <formula>($D48="CANOPY TYPE")</formula>
    </cfRule>
  </conditionalFormatting>
  <conditionalFormatting sqref="B59:B61">
    <cfRule type="expression" dxfId="7838" priority="454">
      <formula>$J59&gt;0</formula>
    </cfRule>
  </conditionalFormatting>
  <conditionalFormatting sqref="B62">
    <cfRule type="expression" dxfId="7837" priority="646">
      <formula>$B62&lt;&gt;""</formula>
    </cfRule>
  </conditionalFormatting>
  <conditionalFormatting sqref="B65:B66 B68:B74">
    <cfRule type="expression" dxfId="7836" priority="348">
      <formula>$J65&gt;0</formula>
    </cfRule>
  </conditionalFormatting>
  <conditionalFormatting sqref="B75">
    <cfRule type="expression" dxfId="7835" priority="546">
      <formula>ISNUMBER(SEARCH("UV",$D65))</formula>
    </cfRule>
    <cfRule type="expression" dxfId="7834" priority="547">
      <formula>($D65="CANOPY TYPE")</formula>
    </cfRule>
  </conditionalFormatting>
  <conditionalFormatting sqref="B76:B78">
    <cfRule type="expression" dxfId="7833" priority="453">
      <formula>$J76&gt;0</formula>
    </cfRule>
  </conditionalFormatting>
  <conditionalFormatting sqref="B79">
    <cfRule type="expression" dxfId="7832" priority="645">
      <formula>$B79&lt;&gt;""</formula>
    </cfRule>
  </conditionalFormatting>
  <conditionalFormatting sqref="B82:B83 B85:B91">
    <cfRule type="expression" dxfId="7831" priority="322">
      <formula>$J82&gt;0</formula>
    </cfRule>
  </conditionalFormatting>
  <conditionalFormatting sqref="B92">
    <cfRule type="expression" dxfId="7830" priority="514">
      <formula>ISNUMBER(SEARCH("UV",$D82))</formula>
    </cfRule>
    <cfRule type="expression" dxfId="7829" priority="515">
      <formula>($D82="CANOPY TYPE")</formula>
    </cfRule>
  </conditionalFormatting>
  <conditionalFormatting sqref="B93:B95">
    <cfRule type="expression" dxfId="7828" priority="452">
      <formula>$J93&gt;0</formula>
    </cfRule>
  </conditionalFormatting>
  <conditionalFormatting sqref="B96">
    <cfRule type="expression" dxfId="7827" priority="644">
      <formula>$B96&lt;&gt;""</formula>
    </cfRule>
  </conditionalFormatting>
  <conditionalFormatting sqref="B99:B100 B102:B108">
    <cfRule type="expression" dxfId="7826" priority="296">
      <formula>$J99&gt;0</formula>
    </cfRule>
  </conditionalFormatting>
  <conditionalFormatting sqref="B109">
    <cfRule type="expression" dxfId="7825" priority="483">
      <formula>ISNUMBER(SEARCH("UV",$D99))</formula>
    </cfRule>
    <cfRule type="expression" dxfId="7824" priority="484">
      <formula>($D99="CANOPY TYPE")</formula>
    </cfRule>
  </conditionalFormatting>
  <conditionalFormatting sqref="B110:B112 B127:B129 B144:B146 B161:B163 B178:B180">
    <cfRule type="expression" dxfId="7823" priority="451">
      <formula>$J110&gt;0</formula>
    </cfRule>
  </conditionalFormatting>
  <conditionalFormatting sqref="B113">
    <cfRule type="expression" dxfId="7822" priority="288">
      <formula>$B113&lt;&gt;""</formula>
    </cfRule>
  </conditionalFormatting>
  <conditionalFormatting sqref="B116:B117 B119:B125">
    <cfRule type="expression" dxfId="7821" priority="231">
      <formula>$J116&gt;0</formula>
    </cfRule>
  </conditionalFormatting>
  <conditionalFormatting sqref="B126">
    <cfRule type="expression" dxfId="7820" priority="260">
      <formula>ISNUMBER(SEARCH("UV",$D116))</formula>
    </cfRule>
    <cfRule type="expression" dxfId="7819" priority="261">
      <formula>($D116="CANOPY TYPE")</formula>
    </cfRule>
  </conditionalFormatting>
  <conditionalFormatting sqref="B130">
    <cfRule type="expression" dxfId="7818" priority="219">
      <formula>$B130&lt;&gt;""</formula>
    </cfRule>
  </conditionalFormatting>
  <conditionalFormatting sqref="B133:B134 B136:B142">
    <cfRule type="expression" dxfId="7817" priority="168">
      <formula>$J133&gt;0</formula>
    </cfRule>
  </conditionalFormatting>
  <conditionalFormatting sqref="B143">
    <cfRule type="expression" dxfId="7816" priority="191">
      <formula>ISNUMBER(SEARCH("UV",$D133))</formula>
    </cfRule>
    <cfRule type="expression" dxfId="7815" priority="192">
      <formula>($D133="CANOPY TYPE")</formula>
    </cfRule>
  </conditionalFormatting>
  <conditionalFormatting sqref="B147">
    <cfRule type="expression" dxfId="7814" priority="164">
      <formula>$B147&lt;&gt;""</formula>
    </cfRule>
  </conditionalFormatting>
  <conditionalFormatting sqref="B150:B151 B153:B159">
    <cfRule type="expression" dxfId="7813" priority="113">
      <formula>$J150&gt;0</formula>
    </cfRule>
  </conditionalFormatting>
  <conditionalFormatting sqref="B160">
    <cfRule type="expression" dxfId="7812" priority="136">
      <formula>ISNUMBER(SEARCH("UV",$D150))</formula>
    </cfRule>
    <cfRule type="expression" dxfId="7811" priority="137">
      <formula>($D150="CANOPY TYPE")</formula>
    </cfRule>
  </conditionalFormatting>
  <conditionalFormatting sqref="B164">
    <cfRule type="expression" dxfId="7810" priority="109">
      <formula>$B164&lt;&gt;""</formula>
    </cfRule>
  </conditionalFormatting>
  <conditionalFormatting sqref="B167:B168 B170:B176">
    <cfRule type="expression" dxfId="7809" priority="58">
      <formula>$J167&gt;0</formula>
    </cfRule>
  </conditionalFormatting>
  <conditionalFormatting sqref="B177">
    <cfRule type="expression" dxfId="7808" priority="81">
      <formula>ISNUMBER(SEARCH("UV",$D167))</formula>
    </cfRule>
    <cfRule type="expression" dxfId="7807" priority="82">
      <formula>($D167="CANOPY TYPE")</formula>
    </cfRule>
  </conditionalFormatting>
  <conditionalFormatting sqref="B183:B197">
    <cfRule type="expression" dxfId="7806" priority="641">
      <formula>$C183&gt;0</formula>
    </cfRule>
  </conditionalFormatting>
  <conditionalFormatting sqref="C14">
    <cfRule type="containsText" dxfId="7805" priority="441" operator="containsText" text="CONFIG">
      <formula>NOT(ISERROR(SEARCH("CONFIG",C14)))</formula>
    </cfRule>
  </conditionalFormatting>
  <conditionalFormatting sqref="C15">
    <cfRule type="containsText" dxfId="7804" priority="446" operator="containsText" text="LIGHT SELECTION">
      <formula>NOT(ISERROR(SEARCH("LIGHT SELECTION",C15)))</formula>
    </cfRule>
  </conditionalFormatting>
  <conditionalFormatting sqref="C20:C21">
    <cfRule type="cellIs" dxfId="7801" priority="693" operator="lessThan">
      <formula>1</formula>
    </cfRule>
  </conditionalFormatting>
  <conditionalFormatting sqref="C22:C23">
    <cfRule type="expression" dxfId="7800" priority="421">
      <formula>D22="WW PODS"</formula>
    </cfRule>
  </conditionalFormatting>
  <conditionalFormatting sqref="C24">
    <cfRule type="expression" dxfId="7799" priority="710">
      <formula>ISNUMBER(SEARCH("UV",D14))</formula>
    </cfRule>
  </conditionalFormatting>
  <conditionalFormatting sqref="C25">
    <cfRule type="expression" dxfId="7798" priority="675">
      <formula>(ISNUMBER(SEARCH("CMW",D14)))=TRUE</formula>
    </cfRule>
  </conditionalFormatting>
  <conditionalFormatting sqref="C26">
    <cfRule type="expression" dxfId="7797" priority="674">
      <formula>(ISNUMBER(SEARCH("CMW",D14)))=TRUE</formula>
    </cfRule>
  </conditionalFormatting>
  <conditionalFormatting sqref="C27">
    <cfRule type="expression" dxfId="7796" priority="643">
      <formula>(ISNUMBER(SEARCH("CMW",$D14)))=TRUE</formula>
    </cfRule>
  </conditionalFormatting>
  <conditionalFormatting sqref="C31">
    <cfRule type="containsText" dxfId="7795" priority="618" operator="containsText" text="CONFIG">
      <formula>NOT(ISERROR(SEARCH("CONFIG",C31)))</formula>
    </cfRule>
  </conditionalFormatting>
  <conditionalFormatting sqref="C32">
    <cfRule type="containsText" dxfId="7794" priority="448" operator="containsText" text="LIGHT SELECTION">
      <formula>NOT(ISERROR(SEARCH("LIGHT SELECTION",C32)))</formula>
    </cfRule>
  </conditionalFormatting>
  <conditionalFormatting sqref="C37:C38">
    <cfRule type="cellIs" dxfId="7791" priority="617" operator="lessThan">
      <formula>1</formula>
    </cfRule>
  </conditionalFormatting>
  <conditionalFormatting sqref="C39:C40">
    <cfRule type="expression" dxfId="7790" priority="399">
      <formula>D39="WW PODS"</formula>
    </cfRule>
  </conditionalFormatting>
  <conditionalFormatting sqref="C41">
    <cfRule type="expression" dxfId="7789" priority="632">
      <formula>ISNUMBER(SEARCH("UV",D31))</formula>
    </cfRule>
  </conditionalFormatting>
  <conditionalFormatting sqref="C42">
    <cfRule type="expression" dxfId="7788" priority="615">
      <formula>(ISNUMBER(SEARCH("CMW",D31)))=TRUE</formula>
    </cfRule>
  </conditionalFormatting>
  <conditionalFormatting sqref="C43">
    <cfRule type="expression" dxfId="7787" priority="480">
      <formula>(ISNUMBER(SEARCH("CMW",D31)))=TRUE</formula>
    </cfRule>
  </conditionalFormatting>
  <conditionalFormatting sqref="C44">
    <cfRule type="expression" dxfId="7786" priority="610">
      <formula>(ISNUMBER(SEARCH("CMW",$D31)))=TRUE</formula>
    </cfRule>
  </conditionalFormatting>
  <conditionalFormatting sqref="C48">
    <cfRule type="containsText" dxfId="7785" priority="587" operator="containsText" text="CONFIG">
      <formula>NOT(ISERROR(SEARCH("CONFIG",C48)))</formula>
    </cfRule>
  </conditionalFormatting>
  <conditionalFormatting sqref="C49">
    <cfRule type="containsText" dxfId="7784" priority="445" operator="containsText" text="LIGHT SELECTION">
      <formula>NOT(ISERROR(SEARCH("LIGHT SELECTION",C49)))</formula>
    </cfRule>
  </conditionalFormatting>
  <conditionalFormatting sqref="C54:C55">
    <cfRule type="cellIs" dxfId="7781" priority="586" operator="lessThan">
      <formula>1</formula>
    </cfRule>
  </conditionalFormatting>
  <conditionalFormatting sqref="C56:C57">
    <cfRule type="expression" dxfId="7780" priority="373">
      <formula>D56="WW PODS"</formula>
    </cfRule>
  </conditionalFormatting>
  <conditionalFormatting sqref="C58">
    <cfRule type="expression" dxfId="7779" priority="600">
      <formula>ISNUMBER(SEARCH("UV",D48))</formula>
    </cfRule>
  </conditionalFormatting>
  <conditionalFormatting sqref="C59">
    <cfRule type="expression" dxfId="7778" priority="584">
      <formula>(ISNUMBER(SEARCH("CMW",D48)))=TRUE</formula>
    </cfRule>
  </conditionalFormatting>
  <conditionalFormatting sqref="C60">
    <cfRule type="expression" dxfId="7777" priority="479">
      <formula>(ISNUMBER(SEARCH("CMW",D48)))=TRUE</formula>
    </cfRule>
  </conditionalFormatting>
  <conditionalFormatting sqref="C61">
    <cfRule type="expression" dxfId="7776" priority="579">
      <formula>(ISNUMBER(SEARCH("CMW",$D48)))=TRUE</formula>
    </cfRule>
  </conditionalFormatting>
  <conditionalFormatting sqref="C65">
    <cfRule type="containsText" dxfId="7775" priority="557" operator="containsText" text="CONFIG">
      <formula>NOT(ISERROR(SEARCH("CONFIG",C65)))</formula>
    </cfRule>
  </conditionalFormatting>
  <conditionalFormatting sqref="C66">
    <cfRule type="containsText" dxfId="7774" priority="444" operator="containsText" text="LIGHT SELECTION">
      <formula>NOT(ISERROR(SEARCH("LIGHT SELECTION",C66)))</formula>
    </cfRule>
  </conditionalFormatting>
  <conditionalFormatting sqref="C71:C72">
    <cfRule type="cellIs" dxfId="7771" priority="556" operator="lessThan">
      <formula>1</formula>
    </cfRule>
  </conditionalFormatting>
  <conditionalFormatting sqref="C73:C74">
    <cfRule type="expression" dxfId="7770" priority="347">
      <formula>D73="WW PODS"</formula>
    </cfRule>
  </conditionalFormatting>
  <conditionalFormatting sqref="C75">
    <cfRule type="expression" dxfId="7769" priority="570">
      <formula>ISNUMBER(SEARCH("UV",D65))</formula>
    </cfRule>
  </conditionalFormatting>
  <conditionalFormatting sqref="C76">
    <cfRule type="expression" dxfId="7768" priority="553">
      <formula>(ISNUMBER(SEARCH("CMW",D65)))=TRUE</formula>
    </cfRule>
  </conditionalFormatting>
  <conditionalFormatting sqref="C77">
    <cfRule type="expression" dxfId="7767" priority="478">
      <formula>(ISNUMBER(SEARCH("CMW",D65)))=TRUE</formula>
    </cfRule>
  </conditionalFormatting>
  <conditionalFormatting sqref="C78">
    <cfRule type="expression" dxfId="7766" priority="548">
      <formula>(ISNUMBER(SEARCH("CMW",$D65)))=TRUE</formula>
    </cfRule>
  </conditionalFormatting>
  <conditionalFormatting sqref="C82">
    <cfRule type="containsText" dxfId="7765" priority="525" operator="containsText" text="CONFIG">
      <formula>NOT(ISERROR(SEARCH("CONFIG",C82)))</formula>
    </cfRule>
  </conditionalFormatting>
  <conditionalFormatting sqref="C83">
    <cfRule type="containsText" dxfId="7764" priority="443" operator="containsText" text="LIGHT SELECTION">
      <formula>NOT(ISERROR(SEARCH("LIGHT SELECTION",C83)))</formula>
    </cfRule>
  </conditionalFormatting>
  <conditionalFormatting sqref="C88:C89">
    <cfRule type="cellIs" dxfId="7761" priority="524" operator="lessThan">
      <formula>1</formula>
    </cfRule>
  </conditionalFormatting>
  <conditionalFormatting sqref="C90:C91">
    <cfRule type="expression" dxfId="7760" priority="321">
      <formula>D90="WW PODS"</formula>
    </cfRule>
  </conditionalFormatting>
  <conditionalFormatting sqref="C92">
    <cfRule type="expression" dxfId="7759" priority="539">
      <formula>ISNUMBER(SEARCH("UV",D82))</formula>
    </cfRule>
  </conditionalFormatting>
  <conditionalFormatting sqref="C93">
    <cfRule type="expression" dxfId="7758" priority="521">
      <formula>(ISNUMBER(SEARCH("CMW",D82)))=TRUE</formula>
    </cfRule>
  </conditionalFormatting>
  <conditionalFormatting sqref="C94">
    <cfRule type="expression" dxfId="7757" priority="477">
      <formula>(ISNUMBER(SEARCH("CMW",D82)))=TRUE</formula>
    </cfRule>
  </conditionalFormatting>
  <conditionalFormatting sqref="C95">
    <cfRule type="expression" dxfId="7756" priority="516">
      <formula>(ISNUMBER(SEARCH("CMW",$D82)))=TRUE</formula>
    </cfRule>
  </conditionalFormatting>
  <conditionalFormatting sqref="C99">
    <cfRule type="containsText" dxfId="7755" priority="493" operator="containsText" text="CONFIG">
      <formula>NOT(ISERROR(SEARCH("CONFIG",C99)))</formula>
    </cfRule>
  </conditionalFormatting>
  <conditionalFormatting sqref="C100">
    <cfRule type="containsText" dxfId="7754" priority="442" operator="containsText" text="LIGHT SELECTION">
      <formula>NOT(ISERROR(SEARCH("LIGHT SELECTION",C100)))</formula>
    </cfRule>
  </conditionalFormatting>
  <conditionalFormatting sqref="C105:C106">
    <cfRule type="cellIs" dxfId="7751" priority="492" operator="lessThan">
      <formula>1</formula>
    </cfRule>
  </conditionalFormatting>
  <conditionalFormatting sqref="C107:C108">
    <cfRule type="expression" dxfId="7750" priority="295">
      <formula>D107="WW PODS"</formula>
    </cfRule>
  </conditionalFormatting>
  <conditionalFormatting sqref="C109">
    <cfRule type="expression" dxfId="7749" priority="507">
      <formula>ISNUMBER(SEARCH("UV",D99))</formula>
    </cfRule>
  </conditionalFormatting>
  <conditionalFormatting sqref="C110">
    <cfRule type="expression" dxfId="7748" priority="490">
      <formula>(ISNUMBER(SEARCH("CMW",D99)))=TRUE</formula>
    </cfRule>
  </conditionalFormatting>
  <conditionalFormatting sqref="C111">
    <cfRule type="expression" dxfId="7747" priority="476">
      <formula>(ISNUMBER(SEARCH("CMW",D99)))=TRUE</formula>
    </cfRule>
  </conditionalFormatting>
  <conditionalFormatting sqref="C112 C129 C146 C163 C180">
    <cfRule type="expression" dxfId="7746" priority="485">
      <formula>(ISNUMBER(SEARCH("CMW",$D99)))=TRUE</formula>
    </cfRule>
  </conditionalFormatting>
  <conditionalFormatting sqref="C116">
    <cfRule type="containsText" dxfId="7745" priority="269" operator="containsText" text="CONFIG">
      <formula>NOT(ISERROR(SEARCH("CONFIG",C116)))</formula>
    </cfRule>
  </conditionalFormatting>
  <conditionalFormatting sqref="C117">
    <cfRule type="containsText" dxfId="7744" priority="253" operator="containsText" text="LIGHT SELECTION">
      <formula>NOT(ISERROR(SEARCH("LIGHT SELECTION",C117)))</formula>
    </cfRule>
  </conditionalFormatting>
  <conditionalFormatting sqref="C122:C123">
    <cfRule type="cellIs" dxfId="7741" priority="268" operator="lessThan">
      <formula>1</formula>
    </cfRule>
  </conditionalFormatting>
  <conditionalFormatting sqref="C124:C125">
    <cfRule type="expression" dxfId="7740" priority="230">
      <formula>D124="WW PODS"</formula>
    </cfRule>
  </conditionalFormatting>
  <conditionalFormatting sqref="C126">
    <cfRule type="expression" dxfId="7739" priority="283">
      <formula>ISNUMBER(SEARCH("UV",D116))</formula>
    </cfRule>
  </conditionalFormatting>
  <conditionalFormatting sqref="C127">
    <cfRule type="expression" dxfId="7738" priority="266">
      <formula>(ISNUMBER(SEARCH("CMW",D116)))=TRUE</formula>
    </cfRule>
  </conditionalFormatting>
  <conditionalFormatting sqref="C128">
    <cfRule type="expression" dxfId="7737" priority="258">
      <formula>(ISNUMBER(SEARCH("CMW",D116)))=TRUE</formula>
    </cfRule>
  </conditionalFormatting>
  <conditionalFormatting sqref="C133">
    <cfRule type="containsText" dxfId="7736" priority="200" operator="containsText" text="CONFIG">
      <formula>NOT(ISERROR(SEARCH("CONFIG",C133)))</formula>
    </cfRule>
  </conditionalFormatting>
  <conditionalFormatting sqref="C134">
    <cfRule type="containsText" dxfId="7735" priority="184" operator="containsText" text="LIGHT SELECTION">
      <formula>NOT(ISERROR(SEARCH("LIGHT SELECTION",C134)))</formula>
    </cfRule>
  </conditionalFormatting>
  <conditionalFormatting sqref="C139:C140">
    <cfRule type="cellIs" dxfId="7732" priority="199" operator="lessThan">
      <formula>1</formula>
    </cfRule>
  </conditionalFormatting>
  <conditionalFormatting sqref="C141:C142">
    <cfRule type="expression" dxfId="7731" priority="167">
      <formula>D141="WW PODS"</formula>
    </cfRule>
  </conditionalFormatting>
  <conditionalFormatting sqref="C143">
    <cfRule type="expression" dxfId="7730" priority="214">
      <formula>ISNUMBER(SEARCH("UV",D133))</formula>
    </cfRule>
  </conditionalFormatting>
  <conditionalFormatting sqref="C144">
    <cfRule type="expression" dxfId="7729" priority="197">
      <formula>(ISNUMBER(SEARCH("CMW",D133)))=TRUE</formula>
    </cfRule>
  </conditionalFormatting>
  <conditionalFormatting sqref="C145">
    <cfRule type="expression" dxfId="7728" priority="189">
      <formula>(ISNUMBER(SEARCH("CMW",D133)))=TRUE</formula>
    </cfRule>
  </conditionalFormatting>
  <conditionalFormatting sqref="C150">
    <cfRule type="containsText" dxfId="7727" priority="145" operator="containsText" text="CONFIG">
      <formula>NOT(ISERROR(SEARCH("CONFIG",C150)))</formula>
    </cfRule>
  </conditionalFormatting>
  <conditionalFormatting sqref="C151">
    <cfRule type="containsText" dxfId="7726" priority="129" operator="containsText" text="LIGHT SELECTION">
      <formula>NOT(ISERROR(SEARCH("LIGHT SELECTION",C151)))</formula>
    </cfRule>
  </conditionalFormatting>
  <conditionalFormatting sqref="C156:C157">
    <cfRule type="cellIs" dxfId="7723" priority="144" operator="lessThan">
      <formula>1</formula>
    </cfRule>
  </conditionalFormatting>
  <conditionalFormatting sqref="C158:C159">
    <cfRule type="expression" dxfId="7722" priority="112">
      <formula>D158="WW PODS"</formula>
    </cfRule>
  </conditionalFormatting>
  <conditionalFormatting sqref="C160">
    <cfRule type="expression" dxfId="7721" priority="159">
      <formula>ISNUMBER(SEARCH("UV",D150))</formula>
    </cfRule>
  </conditionalFormatting>
  <conditionalFormatting sqref="C161">
    <cfRule type="expression" dxfId="7720" priority="142">
      <formula>(ISNUMBER(SEARCH("CMW",D150)))=TRUE</formula>
    </cfRule>
  </conditionalFormatting>
  <conditionalFormatting sqref="C162">
    <cfRule type="expression" dxfId="7719" priority="134">
      <formula>(ISNUMBER(SEARCH("CMW",D150)))=TRUE</formula>
    </cfRule>
  </conditionalFormatting>
  <conditionalFormatting sqref="C167">
    <cfRule type="containsText" dxfId="7718" priority="90" operator="containsText" text="CONFIG">
      <formula>NOT(ISERROR(SEARCH("CONFIG",C167)))</formula>
    </cfRule>
  </conditionalFormatting>
  <conditionalFormatting sqref="C168">
    <cfRule type="containsText" dxfId="7717" priority="74" operator="containsText" text="LIGHT SELECTION">
      <formula>NOT(ISERROR(SEARCH("LIGHT SELECTION",C168)))</formula>
    </cfRule>
  </conditionalFormatting>
  <conditionalFormatting sqref="C173:C174">
    <cfRule type="cellIs" dxfId="7714" priority="89" operator="lessThan">
      <formula>1</formula>
    </cfRule>
  </conditionalFormatting>
  <conditionalFormatting sqref="C175:C176">
    <cfRule type="expression" dxfId="7713" priority="57">
      <formula>D175="WW PODS"</formula>
    </cfRule>
  </conditionalFormatting>
  <conditionalFormatting sqref="C177">
    <cfRule type="expression" dxfId="7712" priority="104">
      <formula>ISNUMBER(SEARCH("UV",D167))</formula>
    </cfRule>
  </conditionalFormatting>
  <conditionalFormatting sqref="C178">
    <cfRule type="expression" dxfId="7711" priority="87">
      <formula>(ISNUMBER(SEARCH("CMW",D167)))=TRUE</formula>
    </cfRule>
  </conditionalFormatting>
  <conditionalFormatting sqref="C179">
    <cfRule type="expression" dxfId="7710" priority="79">
      <formula>(ISNUMBER(SEARCH("CMW",D167)))=TRUE</formula>
    </cfRule>
  </conditionalFormatting>
  <conditionalFormatting sqref="C183:C184">
    <cfRule type="cellIs" dxfId="7709" priority="695" operator="lessThan">
      <formula>1</formula>
    </cfRule>
  </conditionalFormatting>
  <conditionalFormatting sqref="C185">
    <cfRule type="cellIs" dxfId="7708" priority="684" operator="lessThan">
      <formula>1</formula>
    </cfRule>
  </conditionalFormatting>
  <conditionalFormatting sqref="C186:C197">
    <cfRule type="cellIs" dxfId="7707" priority="224" operator="lessThan">
      <formula>1</formula>
    </cfRule>
  </conditionalFormatting>
  <conditionalFormatting sqref="C9:D9">
    <cfRule type="cellIs" dxfId="7706" priority="685" operator="lessThan">
      <formula>0</formula>
    </cfRule>
    <cfRule type="cellIs" dxfId="7705" priority="686" operator="greaterThan">
      <formula>0</formula>
    </cfRule>
  </conditionalFormatting>
  <conditionalFormatting sqref="D14">
    <cfRule type="containsText" dxfId="7704" priority="696" operator="containsText" text="CANOPY TYPE">
      <formula>NOT(ISERROR(SEARCH("CANOPY TYPE",D14)))</formula>
    </cfRule>
  </conditionalFormatting>
  <conditionalFormatting sqref="D15">
    <cfRule type="expression" dxfId="7703" priority="437">
      <formula>(C15="LIGHT SELECTION")</formula>
    </cfRule>
  </conditionalFormatting>
  <conditionalFormatting sqref="D16:D18">
    <cfRule type="expression" dxfId="7702" priority="651">
      <formula>($C16="SELECT WORKS")</formula>
    </cfRule>
  </conditionalFormatting>
  <conditionalFormatting sqref="D19">
    <cfRule type="expression" dxfId="7701" priority="223">
      <formula>$C19="SELECT CLADDING"</formula>
    </cfRule>
  </conditionalFormatting>
  <conditionalFormatting sqref="D22:D23">
    <cfRule type="expression" dxfId="7700" priority="420">
      <formula>($D$14="CANOPY TYPE")</formula>
    </cfRule>
  </conditionalFormatting>
  <conditionalFormatting sqref="D24">
    <cfRule type="expression" dxfId="7699" priority="709">
      <formula>ISNUMBER(SEARCH("UV",D14))</formula>
    </cfRule>
  </conditionalFormatting>
  <conditionalFormatting sqref="D25">
    <cfRule type="expression" dxfId="7698" priority="637">
      <formula>($D$14="CANOPY TYPE")</formula>
    </cfRule>
  </conditionalFormatting>
  <conditionalFormatting sqref="D26">
    <cfRule type="expression" dxfId="7697" priority="659">
      <formula>(ISNUMBER(SEARCH("CMW",D14)))=TRUE</formula>
    </cfRule>
  </conditionalFormatting>
  <conditionalFormatting sqref="D31">
    <cfRule type="containsText" dxfId="7696" priority="619" operator="containsText" text="CANOPY TYPE">
      <formula>NOT(ISERROR(SEARCH("CANOPY TYPE",D31)))</formula>
    </cfRule>
  </conditionalFormatting>
  <conditionalFormatting sqref="D32">
    <cfRule type="expression" dxfId="7695" priority="450">
      <formula>(C32="LIGHT SELECTION")</formula>
    </cfRule>
  </conditionalFormatting>
  <conditionalFormatting sqref="D34:D35">
    <cfRule type="expression" dxfId="7694" priority="612">
      <formula>($C34="SELECT WORKS")</formula>
    </cfRule>
  </conditionalFormatting>
  <conditionalFormatting sqref="D36">
    <cfRule type="expression" dxfId="7693" priority="429">
      <formula>$C36="SELECT CLADDING"</formula>
    </cfRule>
  </conditionalFormatting>
  <conditionalFormatting sqref="D39:D40">
    <cfRule type="expression" dxfId="7692" priority="394">
      <formula>($D$14="CANOPY TYPE")</formula>
    </cfRule>
  </conditionalFormatting>
  <conditionalFormatting sqref="D41">
    <cfRule type="expression" dxfId="7691" priority="631">
      <formula>ISNUMBER(SEARCH("UV",D31))</formula>
    </cfRule>
  </conditionalFormatting>
  <conditionalFormatting sqref="D42">
    <cfRule type="expression" dxfId="7690" priority="605">
      <formula>($D$14="CANOPY TYPE")</formula>
    </cfRule>
  </conditionalFormatting>
  <conditionalFormatting sqref="D43">
    <cfRule type="expression" dxfId="7689" priority="614">
      <formula>(ISNUMBER(SEARCH("CMW",D31)))=TRUE</formula>
    </cfRule>
  </conditionalFormatting>
  <conditionalFormatting sqref="D48">
    <cfRule type="containsText" dxfId="7688" priority="432" operator="containsText" text="CANOPY TYPE">
      <formula>NOT(ISERROR(SEARCH("CANOPY TYPE",D48)))</formula>
    </cfRule>
  </conditionalFormatting>
  <conditionalFormatting sqref="D49">
    <cfRule type="expression" dxfId="7687" priority="447">
      <formula>(C15="LIGHT SELECTION")</formula>
    </cfRule>
  </conditionalFormatting>
  <conditionalFormatting sqref="D51:D52">
    <cfRule type="expression" dxfId="7686" priority="581">
      <formula>($C51="SELECT WORKS")</formula>
    </cfRule>
  </conditionalFormatting>
  <conditionalFormatting sqref="D53">
    <cfRule type="expression" dxfId="7685" priority="430">
      <formula>$C53="SELECT CLADDING"</formula>
    </cfRule>
  </conditionalFormatting>
  <conditionalFormatting sqref="D56:D57">
    <cfRule type="expression" dxfId="7684" priority="368">
      <formula>($D$14="CANOPY TYPE")</formula>
    </cfRule>
  </conditionalFormatting>
  <conditionalFormatting sqref="D58">
    <cfRule type="expression" dxfId="7683" priority="599">
      <formula>ISNUMBER(SEARCH("UV",D48))</formula>
    </cfRule>
  </conditionalFormatting>
  <conditionalFormatting sqref="D59">
    <cfRule type="expression" dxfId="7682" priority="575">
      <formula>($D$14="CANOPY TYPE")</formula>
    </cfRule>
  </conditionalFormatting>
  <conditionalFormatting sqref="D60">
    <cfRule type="expression" dxfId="7681" priority="583">
      <formula>(ISNUMBER(SEARCH("CMW",D48)))=TRUE</formula>
    </cfRule>
  </conditionalFormatting>
  <conditionalFormatting sqref="D65">
    <cfRule type="containsText" dxfId="7680" priority="431" operator="containsText" text="CANOPY TYPE">
      <formula>NOT(ISERROR(SEARCH("CANOPY TYPE",D65)))</formula>
    </cfRule>
  </conditionalFormatting>
  <conditionalFormatting sqref="D66">
    <cfRule type="expression" dxfId="7679" priority="440">
      <formula>(C66="LIGHT SELECTION")</formula>
    </cfRule>
  </conditionalFormatting>
  <conditionalFormatting sqref="D68:D69">
    <cfRule type="expression" dxfId="7678" priority="550">
      <formula>($C68="SELECT WORKS")</formula>
    </cfRule>
  </conditionalFormatting>
  <conditionalFormatting sqref="D70">
    <cfRule type="expression" dxfId="7677" priority="554">
      <formula>$C70="SELECT CLADDING"</formula>
    </cfRule>
  </conditionalFormatting>
  <conditionalFormatting sqref="D73:D74">
    <cfRule type="expression" dxfId="7676" priority="342">
      <formula>($D$14="CANOPY TYPE")</formula>
    </cfRule>
  </conditionalFormatting>
  <conditionalFormatting sqref="D75">
    <cfRule type="expression" dxfId="7675" priority="569">
      <formula>ISNUMBER(SEARCH("UV",D65))</formula>
    </cfRule>
  </conditionalFormatting>
  <conditionalFormatting sqref="D76">
    <cfRule type="expression" dxfId="7674" priority="544">
      <formula>($D$14="CANOPY TYPE")</formula>
    </cfRule>
  </conditionalFormatting>
  <conditionalFormatting sqref="D77">
    <cfRule type="expression" dxfId="7673" priority="552">
      <formula>(ISNUMBER(SEARCH("CMW",D65)))=TRUE</formula>
    </cfRule>
  </conditionalFormatting>
  <conditionalFormatting sqref="D82">
    <cfRule type="containsText" dxfId="7672" priority="526" operator="containsText" text="CANOPY TYPE">
      <formula>NOT(ISERROR(SEARCH("CANOPY TYPE",D82)))</formula>
    </cfRule>
  </conditionalFormatting>
  <conditionalFormatting sqref="D83">
    <cfRule type="expression" dxfId="7671" priority="439">
      <formula>(C83="LIGHT SELECTION")</formula>
    </cfRule>
  </conditionalFormatting>
  <conditionalFormatting sqref="D85:D86">
    <cfRule type="expression" dxfId="7670" priority="518">
      <formula>($C85="SELECT WORKS")</formula>
    </cfRule>
  </conditionalFormatting>
  <conditionalFormatting sqref="D87">
    <cfRule type="expression" dxfId="7669" priority="522">
      <formula>$C87="SELECT CLADDING"</formula>
    </cfRule>
  </conditionalFormatting>
  <conditionalFormatting sqref="D90:D91">
    <cfRule type="expression" dxfId="7668" priority="316">
      <formula>($D$14="CANOPY TYPE")</formula>
    </cfRule>
  </conditionalFormatting>
  <conditionalFormatting sqref="D92">
    <cfRule type="expression" dxfId="7667" priority="538">
      <formula>ISNUMBER(SEARCH("UV",D82))</formula>
    </cfRule>
  </conditionalFormatting>
  <conditionalFormatting sqref="D93">
    <cfRule type="expression" dxfId="7666" priority="512">
      <formula>($D$14="CANOPY TYPE")</formula>
    </cfRule>
  </conditionalFormatting>
  <conditionalFormatting sqref="D94">
    <cfRule type="expression" dxfId="7665" priority="520">
      <formula>(ISNUMBER(SEARCH("CMW",D82)))=TRUE</formula>
    </cfRule>
  </conditionalFormatting>
  <conditionalFormatting sqref="D99">
    <cfRule type="containsText" dxfId="7664" priority="494" operator="containsText" text="CANOPY TYPE">
      <formula>NOT(ISERROR(SEARCH("CANOPY TYPE",D99)))</formula>
    </cfRule>
  </conditionalFormatting>
  <conditionalFormatting sqref="D100">
    <cfRule type="expression" dxfId="7663" priority="438">
      <formula>(C100="LIGHT SELECTION")</formula>
    </cfRule>
  </conditionalFormatting>
  <conditionalFormatting sqref="D102:D103">
    <cfRule type="expression" dxfId="7662" priority="487">
      <formula>($C102="SELECT WORKS")</formula>
    </cfRule>
  </conditionalFormatting>
  <conditionalFormatting sqref="D104">
    <cfRule type="expression" dxfId="7661" priority="428">
      <formula>$C104="SELECT CLADDING"</formula>
    </cfRule>
  </conditionalFormatting>
  <conditionalFormatting sqref="D107:D108">
    <cfRule type="expression" dxfId="7660" priority="290">
      <formula>($D$14="CANOPY TYPE")</formula>
    </cfRule>
  </conditionalFormatting>
  <conditionalFormatting sqref="D109">
    <cfRule type="expression" dxfId="7659" priority="506">
      <formula>ISNUMBER(SEARCH("UV",D99))</formula>
    </cfRule>
  </conditionalFormatting>
  <conditionalFormatting sqref="D110">
    <cfRule type="expression" dxfId="7658" priority="481">
      <formula>($D$14="CANOPY TYPE")</formula>
    </cfRule>
  </conditionalFormatting>
  <conditionalFormatting sqref="D111">
    <cfRule type="expression" dxfId="7657" priority="489">
      <formula>(ISNUMBER(SEARCH("CMW",D99)))=TRUE</formula>
    </cfRule>
  </conditionalFormatting>
  <conditionalFormatting sqref="D116">
    <cfRule type="containsText" dxfId="7656" priority="270" operator="containsText" text="CANOPY TYPE">
      <formula>NOT(ISERROR(SEARCH("CANOPY TYPE",D116)))</formula>
    </cfRule>
  </conditionalFormatting>
  <conditionalFormatting sqref="D117">
    <cfRule type="expression" dxfId="7655" priority="252">
      <formula>(C117="LIGHT SELECTION")</formula>
    </cfRule>
  </conditionalFormatting>
  <conditionalFormatting sqref="D119:D120">
    <cfRule type="expression" dxfId="7654" priority="263">
      <formula>($C119="SELECT WORKS")</formula>
    </cfRule>
  </conditionalFormatting>
  <conditionalFormatting sqref="D121">
    <cfRule type="expression" dxfId="7653" priority="251">
      <formula>$C121="SELECT CLADDING"</formula>
    </cfRule>
  </conditionalFormatting>
  <conditionalFormatting sqref="D124:D125">
    <cfRule type="expression" dxfId="7652" priority="225">
      <formula>($D$14="CANOPY TYPE")</formula>
    </cfRule>
  </conditionalFormatting>
  <conditionalFormatting sqref="D126">
    <cfRule type="expression" dxfId="7651" priority="282">
      <formula>ISNUMBER(SEARCH("UV",D116))</formula>
    </cfRule>
  </conditionalFormatting>
  <conditionalFormatting sqref="D127">
    <cfRule type="expression" dxfId="7650" priority="259">
      <formula>($D$14="CANOPY TYPE")</formula>
    </cfRule>
  </conditionalFormatting>
  <conditionalFormatting sqref="D128">
    <cfRule type="expression" dxfId="7649" priority="265">
      <formula>(ISNUMBER(SEARCH("CMW",D116)))=TRUE</formula>
    </cfRule>
  </conditionalFormatting>
  <conditionalFormatting sqref="D133">
    <cfRule type="containsText" dxfId="7648" priority="201" operator="containsText" text="CANOPY TYPE">
      <formula>NOT(ISERROR(SEARCH("CANOPY TYPE",D133)))</formula>
    </cfRule>
  </conditionalFormatting>
  <conditionalFormatting sqref="D134">
    <cfRule type="expression" dxfId="7647" priority="183">
      <formula>(C134="LIGHT SELECTION")</formula>
    </cfRule>
  </conditionalFormatting>
  <conditionalFormatting sqref="D136:D137">
    <cfRule type="expression" dxfId="7646" priority="194">
      <formula>($C136="SELECT WORKS")</formula>
    </cfRule>
  </conditionalFormatting>
  <conditionalFormatting sqref="D138">
    <cfRule type="expression" dxfId="7645" priority="182">
      <formula>$C138="SELECT CLADDING"</formula>
    </cfRule>
  </conditionalFormatting>
  <conditionalFormatting sqref="D141:D142">
    <cfRule type="expression" dxfId="7644" priority="166">
      <formula>($D$14="CANOPY TYPE")</formula>
    </cfRule>
  </conditionalFormatting>
  <conditionalFormatting sqref="D143">
    <cfRule type="expression" dxfId="7643" priority="213">
      <formula>ISNUMBER(SEARCH("UV",D133))</formula>
    </cfRule>
  </conditionalFormatting>
  <conditionalFormatting sqref="D144">
    <cfRule type="expression" dxfId="7642" priority="190">
      <formula>($D$14="CANOPY TYPE")</formula>
    </cfRule>
  </conditionalFormatting>
  <conditionalFormatting sqref="D145">
    <cfRule type="expression" dxfId="7641" priority="196">
      <formula>(ISNUMBER(SEARCH("CMW",D133)))=TRUE</formula>
    </cfRule>
  </conditionalFormatting>
  <conditionalFormatting sqref="D150">
    <cfRule type="containsText" dxfId="7640" priority="146" operator="containsText" text="CANOPY TYPE">
      <formula>NOT(ISERROR(SEARCH("CANOPY TYPE",D150)))</formula>
    </cfRule>
  </conditionalFormatting>
  <conditionalFormatting sqref="D151">
    <cfRule type="expression" dxfId="7639" priority="128">
      <formula>(C151="LIGHT SELECTION")</formula>
    </cfRule>
  </conditionalFormatting>
  <conditionalFormatting sqref="D153:D154">
    <cfRule type="expression" dxfId="7638" priority="139">
      <formula>($C153="SELECT WORKS")</formula>
    </cfRule>
  </conditionalFormatting>
  <conditionalFormatting sqref="D155">
    <cfRule type="expression" dxfId="7637" priority="127">
      <formula>$C155="SELECT CLADDING"</formula>
    </cfRule>
  </conditionalFormatting>
  <conditionalFormatting sqref="D158:D159">
    <cfRule type="expression" dxfId="7636" priority="111">
      <formula>($D$14="CANOPY TYPE")</formula>
    </cfRule>
  </conditionalFormatting>
  <conditionalFormatting sqref="D160">
    <cfRule type="expression" dxfId="7635" priority="158">
      <formula>ISNUMBER(SEARCH("UV",D150))</formula>
    </cfRule>
  </conditionalFormatting>
  <conditionalFormatting sqref="D161">
    <cfRule type="expression" dxfId="7634" priority="135">
      <formula>($D$14="CANOPY TYPE")</formula>
    </cfRule>
  </conditionalFormatting>
  <conditionalFormatting sqref="D162">
    <cfRule type="expression" dxfId="7633" priority="141">
      <formula>(ISNUMBER(SEARCH("CMW",D150)))=TRUE</formula>
    </cfRule>
  </conditionalFormatting>
  <conditionalFormatting sqref="D167">
    <cfRule type="containsText" dxfId="7632" priority="91" operator="containsText" text="CANOPY TYPE">
      <formula>NOT(ISERROR(SEARCH("CANOPY TYPE",D167)))</formula>
    </cfRule>
  </conditionalFormatting>
  <conditionalFormatting sqref="D168">
    <cfRule type="expression" dxfId="7631" priority="73">
      <formula>(C168="LIGHT SELECTION")</formula>
    </cfRule>
  </conditionalFormatting>
  <conditionalFormatting sqref="D170:D171">
    <cfRule type="expression" dxfId="7630" priority="84">
      <formula>($C170="SELECT WORKS")</formula>
    </cfRule>
  </conditionalFormatting>
  <conditionalFormatting sqref="D172">
    <cfRule type="expression" dxfId="7629" priority="72">
      <formula>$C172="SELECT CLADDING"</formula>
    </cfRule>
  </conditionalFormatting>
  <conditionalFormatting sqref="D175:D176">
    <cfRule type="expression" dxfId="7628" priority="56">
      <formula>($D$14="CANOPY TYPE")</formula>
    </cfRule>
  </conditionalFormatting>
  <conditionalFormatting sqref="D177">
    <cfRule type="expression" dxfId="7627" priority="103">
      <formula>ISNUMBER(SEARCH("UV",D167))</formula>
    </cfRule>
  </conditionalFormatting>
  <conditionalFormatting sqref="D178">
    <cfRule type="expression" dxfId="7626" priority="80">
      <formula>($D$14="CANOPY TYPE")</formula>
    </cfRule>
  </conditionalFormatting>
  <conditionalFormatting sqref="D179">
    <cfRule type="expression" dxfId="7625" priority="86">
      <formula>(ISNUMBER(SEARCH("CMW",D167)))=TRUE</formula>
    </cfRule>
  </conditionalFormatting>
  <conditionalFormatting sqref="E12">
    <cfRule type="expression" dxfId="7624" priority="706">
      <formula>AND((ISNUMBER(SEARCH("I-MUAP",$D$14))),E12&lt;2500)</formula>
    </cfRule>
    <cfRule type="expression" dxfId="7623" priority="707">
      <formula>ISNUMBER(SEARCH("I-MUAP",$D$14))</formula>
    </cfRule>
    <cfRule type="cellIs" dxfId="7622" priority="708" operator="greaterThan">
      <formula>2000</formula>
    </cfRule>
  </conditionalFormatting>
  <conditionalFormatting sqref="E15">
    <cfRule type="expression" dxfId="7621" priority="435">
      <formula>(C15="LIGHT SELECTION")</formula>
    </cfRule>
  </conditionalFormatting>
  <conditionalFormatting sqref="E16:E18">
    <cfRule type="expression" dxfId="7620" priority="55">
      <formula>$C16="SELECT WORKS"</formula>
    </cfRule>
  </conditionalFormatting>
  <conditionalFormatting sqref="E22:E23">
    <cfRule type="expression" dxfId="7619" priority="689">
      <formula>D22="WW PODS"</formula>
    </cfRule>
    <cfRule type="expression" dxfId="7618" priority="690">
      <formula>D22="FILTER TYPE"</formula>
    </cfRule>
    <cfRule type="expression" dxfId="7617" priority="691">
      <formula>D22="KSA"</formula>
    </cfRule>
    <cfRule type="expression" dxfId="7616" priority="711">
      <formula>(D14="CANOPY TYPE")</formula>
    </cfRule>
  </conditionalFormatting>
  <conditionalFormatting sqref="E24">
    <cfRule type="containsText" dxfId="7615" priority="698" operator="containsText" text="LONG ">
      <formula>NOT(ISERROR(SEARCH("LONG ",E24)))</formula>
    </cfRule>
  </conditionalFormatting>
  <conditionalFormatting sqref="E29">
    <cfRule type="expression" dxfId="7614" priority="628">
      <formula>AND((ISNUMBER(SEARCH("I-MUAP",$D$14))),E29&lt;2500)</formula>
    </cfRule>
    <cfRule type="expression" dxfId="7613" priority="629">
      <formula>ISNUMBER(SEARCH("I-MUAP",$D$14))</formula>
    </cfRule>
    <cfRule type="cellIs" dxfId="7612" priority="630" operator="greaterThan">
      <formula>2000</formula>
    </cfRule>
  </conditionalFormatting>
  <conditionalFormatting sqref="E34">
    <cfRule type="expression" dxfId="7611" priority="611">
      <formula>$C34="SELECT WORKS"</formula>
    </cfRule>
  </conditionalFormatting>
  <conditionalFormatting sqref="E39:E40">
    <cfRule type="expression" dxfId="7610" priority="407">
      <formula>D39="WW PODS"</formula>
    </cfRule>
    <cfRule type="expression" dxfId="7609" priority="408">
      <formula>D39="FILTER TYPE"</formula>
    </cfRule>
    <cfRule type="expression" dxfId="7608" priority="409">
      <formula>D39="KSA"</formula>
    </cfRule>
    <cfRule type="expression" dxfId="7607" priority="410">
      <formula>(D31="CANOPY TYPE")</formula>
    </cfRule>
  </conditionalFormatting>
  <conditionalFormatting sqref="E41">
    <cfRule type="containsText" dxfId="7606" priority="621" operator="containsText" text="LONG ">
      <formula>NOT(ISERROR(SEARCH("LONG ",E41)))</formula>
    </cfRule>
  </conditionalFormatting>
  <conditionalFormatting sqref="E46">
    <cfRule type="expression" dxfId="7605" priority="596">
      <formula>AND((ISNUMBER(SEARCH("I-MUAP",$D$14))),E46&lt;2500)</formula>
    </cfRule>
    <cfRule type="expression" dxfId="7604" priority="597">
      <formula>ISNUMBER(SEARCH("I-MUAP",$D$14))</formula>
    </cfRule>
    <cfRule type="cellIs" dxfId="7603" priority="598" operator="greaterThan">
      <formula>2000</formula>
    </cfRule>
  </conditionalFormatting>
  <conditionalFormatting sqref="E49">
    <cfRule type="expression" dxfId="7602" priority="449">
      <formula>(C49="LIGHT SELECTION")</formula>
    </cfRule>
  </conditionalFormatting>
  <conditionalFormatting sqref="E51:E52">
    <cfRule type="expression" dxfId="7601" priority="580">
      <formula>$C51="SELECT WORKS"</formula>
    </cfRule>
  </conditionalFormatting>
  <conditionalFormatting sqref="E56:E57">
    <cfRule type="expression" dxfId="7600" priority="381">
      <formula>D56="WW PODS"</formula>
    </cfRule>
    <cfRule type="expression" dxfId="7599" priority="382">
      <formula>D56="FILTER TYPE"</formula>
    </cfRule>
    <cfRule type="expression" dxfId="7598" priority="383">
      <formula>D56="KSA"</formula>
    </cfRule>
    <cfRule type="expression" dxfId="7597" priority="384">
      <formula>(D48="CANOPY TYPE")</formula>
    </cfRule>
  </conditionalFormatting>
  <conditionalFormatting sqref="E58">
    <cfRule type="containsText" dxfId="7596" priority="589" operator="containsText" text="LONG ">
      <formula>NOT(ISERROR(SEARCH("LONG ",E58)))</formula>
    </cfRule>
  </conditionalFormatting>
  <conditionalFormatting sqref="E63">
    <cfRule type="expression" dxfId="7595" priority="566">
      <formula>AND((ISNUMBER(SEARCH("I-MUAP",$D$14))),E63&lt;2500)</formula>
    </cfRule>
    <cfRule type="expression" dxfId="7594" priority="567">
      <formula>ISNUMBER(SEARCH("I-MUAP",$D$14))</formula>
    </cfRule>
    <cfRule type="cellIs" dxfId="7593" priority="568" operator="greaterThan">
      <formula>2000</formula>
    </cfRule>
  </conditionalFormatting>
  <conditionalFormatting sqref="E68:E69">
    <cfRule type="expression" dxfId="7592" priority="549">
      <formula>$C68="SELECT WORKS"</formula>
    </cfRule>
  </conditionalFormatting>
  <conditionalFormatting sqref="E73:E74">
    <cfRule type="expression" dxfId="7591" priority="355">
      <formula>D73="WW PODS"</formula>
    </cfRule>
    <cfRule type="expression" dxfId="7590" priority="356">
      <formula>D73="FILTER TYPE"</formula>
    </cfRule>
    <cfRule type="expression" dxfId="7589" priority="357">
      <formula>D73="KSA"</formula>
    </cfRule>
    <cfRule type="expression" dxfId="7588" priority="358">
      <formula>(D65="CANOPY TYPE")</formula>
    </cfRule>
  </conditionalFormatting>
  <conditionalFormatting sqref="E75">
    <cfRule type="containsText" dxfId="7587" priority="559" operator="containsText" text="LONG ">
      <formula>NOT(ISERROR(SEARCH("LONG ",E75)))</formula>
    </cfRule>
  </conditionalFormatting>
  <conditionalFormatting sqref="E80">
    <cfRule type="expression" dxfId="7586" priority="535">
      <formula>AND((ISNUMBER(SEARCH("I-MUAP",$D$14))),E80&lt;2500)</formula>
    </cfRule>
    <cfRule type="expression" dxfId="7585" priority="536">
      <formula>ISNUMBER(SEARCH("I-MUAP",$D$14))</formula>
    </cfRule>
    <cfRule type="cellIs" dxfId="7584" priority="537" operator="greaterThan">
      <formula>2000</formula>
    </cfRule>
  </conditionalFormatting>
  <conditionalFormatting sqref="E85:E86">
    <cfRule type="expression" dxfId="7583" priority="517">
      <formula>$C85="SELECT WORKS"</formula>
    </cfRule>
  </conditionalFormatting>
  <conditionalFormatting sqref="E90:E91">
    <cfRule type="expression" dxfId="7582" priority="329">
      <formula>D90="WW PODS"</formula>
    </cfRule>
    <cfRule type="expression" dxfId="7581" priority="330">
      <formula>D90="FILTER TYPE"</formula>
    </cfRule>
    <cfRule type="expression" dxfId="7580" priority="331">
      <formula>D90="KSA"</formula>
    </cfRule>
    <cfRule type="expression" dxfId="7579" priority="332">
      <formula>(D82="CANOPY TYPE")</formula>
    </cfRule>
  </conditionalFormatting>
  <conditionalFormatting sqref="E92">
    <cfRule type="containsText" dxfId="7578" priority="528" operator="containsText" text="LONG ">
      <formula>NOT(ISERROR(SEARCH("LONG ",E92)))</formula>
    </cfRule>
  </conditionalFormatting>
  <conditionalFormatting sqref="E97">
    <cfRule type="expression" dxfId="7577" priority="503">
      <formula>AND((ISNUMBER(SEARCH("I-MUAP",$D$14))),E97&lt;2500)</formula>
    </cfRule>
    <cfRule type="expression" dxfId="7576" priority="504">
      <formula>ISNUMBER(SEARCH("I-MUAP",$D$14))</formula>
    </cfRule>
    <cfRule type="cellIs" dxfId="7575" priority="505" operator="greaterThan">
      <formula>2000</formula>
    </cfRule>
  </conditionalFormatting>
  <conditionalFormatting sqref="E102:E103">
    <cfRule type="expression" dxfId="7574" priority="486">
      <formula>$C102="SELECT WORKS"</formula>
    </cfRule>
  </conditionalFormatting>
  <conditionalFormatting sqref="E107:E108">
    <cfRule type="expression" dxfId="7573" priority="303">
      <formula>D107="WW PODS"</formula>
    </cfRule>
    <cfRule type="expression" dxfId="7572" priority="304">
      <formula>D107="FILTER TYPE"</formula>
    </cfRule>
    <cfRule type="expression" dxfId="7571" priority="305">
      <formula>D107="KSA"</formula>
    </cfRule>
    <cfRule type="expression" dxfId="7570" priority="306">
      <formula>(D99="CANOPY TYPE")</formula>
    </cfRule>
  </conditionalFormatting>
  <conditionalFormatting sqref="E109">
    <cfRule type="containsText" dxfId="7569" priority="496" operator="containsText" text="LONG ">
      <formula>NOT(ISERROR(SEARCH("LONG ",E109)))</formula>
    </cfRule>
  </conditionalFormatting>
  <conditionalFormatting sqref="E114">
    <cfRule type="expression" dxfId="7568" priority="279">
      <formula>AND((ISNUMBER(SEARCH("I-MUAP",$D$14))),E114&lt;2500)</formula>
    </cfRule>
    <cfRule type="expression" dxfId="7567" priority="280">
      <formula>ISNUMBER(SEARCH("I-MUAP",$D$14))</formula>
    </cfRule>
    <cfRule type="cellIs" dxfId="7566" priority="281" operator="greaterThan">
      <formula>2000</formula>
    </cfRule>
  </conditionalFormatting>
  <conditionalFormatting sqref="E119:E120">
    <cfRule type="expression" dxfId="7565" priority="262">
      <formula>$C119="SELECT WORKS"</formula>
    </cfRule>
  </conditionalFormatting>
  <conditionalFormatting sqref="E124:E125">
    <cfRule type="expression" dxfId="7564" priority="238">
      <formula>D124="WW PODS"</formula>
    </cfRule>
    <cfRule type="expression" dxfId="7563" priority="239">
      <formula>D124="FILTER TYPE"</formula>
    </cfRule>
    <cfRule type="expression" dxfId="7562" priority="240">
      <formula>D124="KSA"</formula>
    </cfRule>
    <cfRule type="expression" dxfId="7561" priority="241">
      <formula>(D116="CANOPY TYPE")</formula>
    </cfRule>
  </conditionalFormatting>
  <conditionalFormatting sqref="E126">
    <cfRule type="containsText" dxfId="7560" priority="272" operator="containsText" text="LONG ">
      <formula>NOT(ISERROR(SEARCH("LONG ",E126)))</formula>
    </cfRule>
  </conditionalFormatting>
  <conditionalFormatting sqref="E131">
    <cfRule type="expression" dxfId="7559" priority="210">
      <formula>AND((ISNUMBER(SEARCH("I-MUAP",$D$14))),E131&lt;2500)</formula>
    </cfRule>
    <cfRule type="expression" dxfId="7558" priority="211">
      <formula>ISNUMBER(SEARCH("I-MUAP",$D$14))</formula>
    </cfRule>
    <cfRule type="cellIs" dxfId="7557" priority="212" operator="greaterThan">
      <formula>2000</formula>
    </cfRule>
  </conditionalFormatting>
  <conditionalFormatting sqref="E136:E137">
    <cfRule type="expression" dxfId="7556" priority="193">
      <formula>$C136="SELECT WORKS"</formula>
    </cfRule>
  </conditionalFormatting>
  <conditionalFormatting sqref="E141:E142">
    <cfRule type="expression" dxfId="7555" priority="169">
      <formula>D141="WW PODS"</formula>
    </cfRule>
    <cfRule type="expression" dxfId="7554" priority="170">
      <formula>D141="FILTER TYPE"</formula>
    </cfRule>
    <cfRule type="expression" dxfId="7553" priority="171">
      <formula>D141="KSA"</formula>
    </cfRule>
    <cfRule type="expression" dxfId="7552" priority="172">
      <formula>(D133="CANOPY TYPE")</formula>
    </cfRule>
  </conditionalFormatting>
  <conditionalFormatting sqref="E143">
    <cfRule type="containsText" dxfId="7551" priority="203" operator="containsText" text="LONG ">
      <formula>NOT(ISERROR(SEARCH("LONG ",E143)))</formula>
    </cfRule>
  </conditionalFormatting>
  <conditionalFormatting sqref="E148">
    <cfRule type="expression" dxfId="7550" priority="155">
      <formula>AND((ISNUMBER(SEARCH("I-MUAP",$D$14))),E148&lt;2500)</formula>
    </cfRule>
    <cfRule type="expression" dxfId="7549" priority="156">
      <formula>ISNUMBER(SEARCH("I-MUAP",$D$14))</formula>
    </cfRule>
    <cfRule type="cellIs" dxfId="7548" priority="157" operator="greaterThan">
      <formula>2000</formula>
    </cfRule>
  </conditionalFormatting>
  <conditionalFormatting sqref="E153:E154">
    <cfRule type="expression" dxfId="7547" priority="138">
      <formula>$C153="SELECT WORKS"</formula>
    </cfRule>
  </conditionalFormatting>
  <conditionalFormatting sqref="E158:E159">
    <cfRule type="expression" dxfId="7546" priority="114">
      <formula>D158="WW PODS"</formula>
    </cfRule>
    <cfRule type="expression" dxfId="7545" priority="115">
      <formula>D158="FILTER TYPE"</formula>
    </cfRule>
    <cfRule type="expression" dxfId="7544" priority="116">
      <formula>D158="KSA"</formula>
    </cfRule>
    <cfRule type="expression" dxfId="7543" priority="117">
      <formula>(D150="CANOPY TYPE")</formula>
    </cfRule>
  </conditionalFormatting>
  <conditionalFormatting sqref="E160">
    <cfRule type="containsText" dxfId="7542" priority="148" operator="containsText" text="LONG ">
      <formula>NOT(ISERROR(SEARCH("LONG ",E160)))</formula>
    </cfRule>
  </conditionalFormatting>
  <conditionalFormatting sqref="E165">
    <cfRule type="expression" dxfId="7541" priority="100">
      <formula>AND((ISNUMBER(SEARCH("I-MUAP",$D$14))),E165&lt;2500)</formula>
    </cfRule>
    <cfRule type="expression" dxfId="7540" priority="101">
      <formula>ISNUMBER(SEARCH("I-MUAP",$D$14))</formula>
    </cfRule>
    <cfRule type="cellIs" dxfId="7539" priority="102" operator="greaterThan">
      <formula>2000</formula>
    </cfRule>
  </conditionalFormatting>
  <conditionalFormatting sqref="E170:E171">
    <cfRule type="expression" dxfId="7538" priority="83">
      <formula>$C170="SELECT WORKS"</formula>
    </cfRule>
  </conditionalFormatting>
  <conditionalFormatting sqref="E175:E176">
    <cfRule type="expression" dxfId="7537" priority="59">
      <formula>D175="WW PODS"</formula>
    </cfRule>
    <cfRule type="expression" dxfId="7536" priority="60">
      <formula>D175="FILTER TYPE"</formula>
    </cfRule>
    <cfRule type="expression" dxfId="7535" priority="61">
      <formula>D175="KSA"</formula>
    </cfRule>
    <cfRule type="expression" dxfId="7534" priority="62">
      <formula>(D167="CANOPY TYPE")</formula>
    </cfRule>
  </conditionalFormatting>
  <conditionalFormatting sqref="E177">
    <cfRule type="containsText" dxfId="7533" priority="93" operator="containsText" text="LONG ">
      <formula>NOT(ISERROR(SEARCH("LONG ",E177)))</formula>
    </cfRule>
  </conditionalFormatting>
  <conditionalFormatting sqref="E12:F12">
    <cfRule type="cellIs" dxfId="7532" priority="702" operator="lessThan">
      <formula>1000</formula>
    </cfRule>
  </conditionalFormatting>
  <conditionalFormatting sqref="E14:F14">
    <cfRule type="cellIs" dxfId="7531" priority="699" operator="lessThan">
      <formula>1000</formula>
    </cfRule>
  </conditionalFormatting>
  <conditionalFormatting sqref="E25:F27">
    <cfRule type="expression" dxfId="7530" priority="638">
      <formula>($D$14="CANOPY TYPE")</formula>
    </cfRule>
  </conditionalFormatting>
  <conditionalFormatting sqref="E29:F29">
    <cfRule type="cellIs" dxfId="7529" priority="625" operator="lessThan">
      <formula>1000</formula>
    </cfRule>
  </conditionalFormatting>
  <conditionalFormatting sqref="E31:F31">
    <cfRule type="cellIs" dxfId="7528" priority="622" operator="lessThan">
      <formula>1000</formula>
    </cfRule>
  </conditionalFormatting>
  <conditionalFormatting sqref="E32:F32">
    <cfRule type="expression" dxfId="7527" priority="473">
      <formula>(C32="LIGHT SELECTION")</formula>
    </cfRule>
  </conditionalFormatting>
  <conditionalFormatting sqref="E42:F44">
    <cfRule type="expression" dxfId="7526" priority="606">
      <formula>($D$14="CANOPY TYPE")</formula>
    </cfRule>
  </conditionalFormatting>
  <conditionalFormatting sqref="E46:F46">
    <cfRule type="cellIs" dxfId="7525" priority="593" operator="lessThan">
      <formula>1000</formula>
    </cfRule>
  </conditionalFormatting>
  <conditionalFormatting sqref="E48:F48">
    <cfRule type="cellIs" dxfId="7524" priority="590" operator="lessThan">
      <formula>1000</formula>
    </cfRule>
  </conditionalFormatting>
  <conditionalFormatting sqref="E59:F61">
    <cfRule type="expression" dxfId="7523" priority="576">
      <formula>($D$14="CANOPY TYPE")</formula>
    </cfRule>
  </conditionalFormatting>
  <conditionalFormatting sqref="E63:F63">
    <cfRule type="cellIs" dxfId="7522" priority="563" operator="lessThan">
      <formula>1000</formula>
    </cfRule>
  </conditionalFormatting>
  <conditionalFormatting sqref="E65:F65">
    <cfRule type="cellIs" dxfId="7521" priority="560" operator="lessThan">
      <formula>1000</formula>
    </cfRule>
  </conditionalFormatting>
  <conditionalFormatting sqref="E66:F66">
    <cfRule type="expression" dxfId="7520" priority="466">
      <formula>(C66="LIGHT SELECTION")</formula>
    </cfRule>
  </conditionalFormatting>
  <conditionalFormatting sqref="E76:F78">
    <cfRule type="expression" dxfId="7519" priority="545">
      <formula>($D$14="CANOPY TYPE")</formula>
    </cfRule>
  </conditionalFormatting>
  <conditionalFormatting sqref="E80:F80">
    <cfRule type="cellIs" dxfId="7518" priority="532" operator="lessThan">
      <formula>1000</formula>
    </cfRule>
  </conditionalFormatting>
  <conditionalFormatting sqref="E82:F82">
    <cfRule type="cellIs" dxfId="7517" priority="529" operator="lessThan">
      <formula>1000</formula>
    </cfRule>
  </conditionalFormatting>
  <conditionalFormatting sqref="E83:F83">
    <cfRule type="expression" dxfId="7516" priority="462">
      <formula>(C83="LIGHT SELECTION")</formula>
    </cfRule>
  </conditionalFormatting>
  <conditionalFormatting sqref="E93:F95">
    <cfRule type="expression" dxfId="7515" priority="513">
      <formula>($D$14="CANOPY TYPE")</formula>
    </cfRule>
  </conditionalFormatting>
  <conditionalFormatting sqref="E97:F97">
    <cfRule type="cellIs" dxfId="7514" priority="500" operator="lessThan">
      <formula>1000</formula>
    </cfRule>
  </conditionalFormatting>
  <conditionalFormatting sqref="E99:F99">
    <cfRule type="cellIs" dxfId="7513" priority="497" operator="lessThan">
      <formula>1000</formula>
    </cfRule>
  </conditionalFormatting>
  <conditionalFormatting sqref="E100:F100">
    <cfRule type="expression" dxfId="7512" priority="458">
      <formula>(C100="LIGHT SELECTION")</formula>
    </cfRule>
  </conditionalFormatting>
  <conditionalFormatting sqref="E110:F112 E127:F129 E144:F146 E161:F163 E178:F180">
    <cfRule type="expression" dxfId="7511" priority="482">
      <formula>($D$14="CANOPY TYPE")</formula>
    </cfRule>
  </conditionalFormatting>
  <conditionalFormatting sqref="E114:F114">
    <cfRule type="cellIs" dxfId="7510" priority="276" operator="lessThan">
      <formula>1000</formula>
    </cfRule>
  </conditionalFormatting>
  <conditionalFormatting sqref="E116:F116">
    <cfRule type="cellIs" dxfId="7509" priority="273" operator="lessThan">
      <formula>1000</formula>
    </cfRule>
  </conditionalFormatting>
  <conditionalFormatting sqref="E117:F117">
    <cfRule type="expression" dxfId="7508" priority="256">
      <formula>(C117="LIGHT SELECTION")</formula>
    </cfRule>
  </conditionalFormatting>
  <conditionalFormatting sqref="E131:F131">
    <cfRule type="cellIs" dxfId="7507" priority="207" operator="lessThan">
      <formula>1000</formula>
    </cfRule>
  </conditionalFormatting>
  <conditionalFormatting sqref="E133:F133">
    <cfRule type="cellIs" dxfId="7506" priority="204" operator="lessThan">
      <formula>1000</formula>
    </cfRule>
  </conditionalFormatting>
  <conditionalFormatting sqref="E134:F134">
    <cfRule type="expression" dxfId="7505" priority="187">
      <formula>(C134="LIGHT SELECTION")</formula>
    </cfRule>
  </conditionalFormatting>
  <conditionalFormatting sqref="E148:F148">
    <cfRule type="cellIs" dxfId="7504" priority="152" operator="lessThan">
      <formula>1000</formula>
    </cfRule>
  </conditionalFormatting>
  <conditionalFormatting sqref="E150:F150">
    <cfRule type="cellIs" dxfId="7503" priority="149" operator="lessThan">
      <formula>1000</formula>
    </cfRule>
  </conditionalFormatting>
  <conditionalFormatting sqref="E151:F151">
    <cfRule type="expression" dxfId="7502" priority="132">
      <formula>(C151="LIGHT SELECTION")</formula>
    </cfRule>
  </conditionalFormatting>
  <conditionalFormatting sqref="E165:F165">
    <cfRule type="cellIs" dxfId="7501" priority="97" operator="lessThan">
      <formula>1000</formula>
    </cfRule>
  </conditionalFormatting>
  <conditionalFormatting sqref="E167:F167">
    <cfRule type="cellIs" dxfId="7500" priority="94" operator="lessThan">
      <formula>1000</formula>
    </cfRule>
  </conditionalFormatting>
  <conditionalFormatting sqref="E168:F168">
    <cfRule type="expression" dxfId="7499" priority="77">
      <formula>(C168="LIGHT SELECTION")</formula>
    </cfRule>
  </conditionalFormatting>
  <conditionalFormatting sqref="F12">
    <cfRule type="cellIs" dxfId="7498" priority="703" operator="greaterThan">
      <formula>3001</formula>
    </cfRule>
  </conditionalFormatting>
  <conditionalFormatting sqref="F15">
    <cfRule type="expression" dxfId="7497" priority="475">
      <formula>(C15="LED STRIP")</formula>
    </cfRule>
    <cfRule type="expression" dxfId="7496" priority="692">
      <formula>(C15="LIGHT SELECTION")</formula>
    </cfRule>
    <cfRule type="expression" dxfId="7495" priority="694">
      <formula>(C15="FLO")</formula>
    </cfRule>
    <cfRule type="expression" dxfId="7494" priority="725">
      <formula>(D49="LIGHT SELECTION")</formula>
    </cfRule>
  </conditionalFormatting>
  <conditionalFormatting sqref="F22:F23">
    <cfRule type="expression" dxfId="7493" priority="716">
      <formula>D22="NF"</formula>
    </cfRule>
    <cfRule type="expression" dxfId="7492" priority="717">
      <formula>D22="WW PODS"</formula>
    </cfRule>
    <cfRule type="expression" dxfId="7491" priority="718">
      <formula>D22="GRILLE"</formula>
    </cfRule>
    <cfRule type="expression" dxfId="7490" priority="719">
      <formula>D22="CENTREX"</formula>
    </cfRule>
    <cfRule type="expression" dxfId="7489" priority="720" stopIfTrue="1">
      <formula>D14="canopy type"</formula>
    </cfRule>
    <cfRule type="expression" dxfId="7488" priority="721">
      <formula>(((I14*3600)/(C22*I11))^2+20)&gt;300</formula>
    </cfRule>
    <cfRule type="expression" dxfId="7487" priority="722" stopIfTrue="1">
      <formula>(ISNUMBER(SEARCH("UV",D14)))</formula>
    </cfRule>
    <cfRule type="expression" dxfId="7486" priority="723">
      <formula>(((I14*3600)/(C22*I11))^2+20)&gt;180</formula>
    </cfRule>
    <cfRule type="expression" dxfId="7485" priority="724">
      <formula>D22="KSA"</formula>
    </cfRule>
  </conditionalFormatting>
  <conditionalFormatting sqref="F24">
    <cfRule type="cellIs" dxfId="7484" priority="697" operator="lessThan">
      <formula>2100</formula>
    </cfRule>
  </conditionalFormatting>
  <conditionalFormatting sqref="F29">
    <cfRule type="cellIs" dxfId="7483" priority="626" operator="greaterThan">
      <formula>3001</formula>
    </cfRule>
  </conditionalFormatting>
  <conditionalFormatting sqref="F32">
    <cfRule type="expression" dxfId="7482" priority="471">
      <formula>(C32="LED STRIP")</formula>
    </cfRule>
    <cfRule type="expression" dxfId="7481" priority="472">
      <formula>(C32="LIGHT SELECTION")</formula>
    </cfRule>
    <cfRule type="expression" dxfId="7480" priority="474">
      <formula>(C32="FLO")</formula>
    </cfRule>
  </conditionalFormatting>
  <conditionalFormatting sqref="F39:F40">
    <cfRule type="expression" dxfId="7479" priority="411">
      <formula>D39="NF"</formula>
    </cfRule>
    <cfRule type="expression" dxfId="7478" priority="412">
      <formula>D39="WW PODS"</formula>
    </cfRule>
    <cfRule type="expression" dxfId="7477" priority="413">
      <formula>D39="GRILLE"</formula>
    </cfRule>
    <cfRule type="expression" dxfId="7476" priority="414">
      <formula>D39="CENTREX"</formula>
    </cfRule>
    <cfRule type="expression" dxfId="7475" priority="415" stopIfTrue="1">
      <formula>D31="canopy type"</formula>
    </cfRule>
    <cfRule type="expression" dxfId="7474" priority="416">
      <formula>(((I31*3600)/(C39*I28))^2+20)&gt;300</formula>
    </cfRule>
    <cfRule type="expression" dxfId="7473" priority="417" stopIfTrue="1">
      <formula>(ISNUMBER(SEARCH("UV",D31)))</formula>
    </cfRule>
    <cfRule type="expression" dxfId="7472" priority="418">
      <formula>(((I31*3600)/(C39*I28))^2+20)&gt;180</formula>
    </cfRule>
    <cfRule type="expression" dxfId="7471" priority="419">
      <formula>D39="KSA"</formula>
    </cfRule>
  </conditionalFormatting>
  <conditionalFormatting sqref="F41">
    <cfRule type="cellIs" dxfId="7470" priority="620" operator="lessThan">
      <formula>2100</formula>
    </cfRule>
  </conditionalFormatting>
  <conditionalFormatting sqref="F46">
    <cfRule type="cellIs" dxfId="7469" priority="594" operator="greaterThan">
      <formula>3001</formula>
    </cfRule>
  </conditionalFormatting>
  <conditionalFormatting sqref="F49">
    <cfRule type="expression" dxfId="7468" priority="468">
      <formula>(C49="LED STRIP")</formula>
    </cfRule>
    <cfRule type="expression" dxfId="7467" priority="469">
      <formula>(C49="LIGHT SELECTION")</formula>
    </cfRule>
    <cfRule type="expression" dxfId="7466" priority="470">
      <formula>(C49="FLO")</formula>
    </cfRule>
    <cfRule type="expression" dxfId="7465" priority="726">
      <formula>(#REF!="LIGHT SELECTION")</formula>
    </cfRule>
  </conditionalFormatting>
  <conditionalFormatting sqref="F56:F57">
    <cfRule type="expression" dxfId="7464" priority="385">
      <formula>D56="NF"</formula>
    </cfRule>
    <cfRule type="expression" dxfId="7463" priority="386">
      <formula>D56="WW PODS"</formula>
    </cfRule>
    <cfRule type="expression" dxfId="7462" priority="387">
      <formula>D56="GRILLE"</formula>
    </cfRule>
    <cfRule type="expression" dxfId="7461" priority="388">
      <formula>D56="CENTREX"</formula>
    </cfRule>
    <cfRule type="expression" dxfId="7460" priority="389" stopIfTrue="1">
      <formula>D48="canopy type"</formula>
    </cfRule>
    <cfRule type="expression" dxfId="7459" priority="390">
      <formula>(((I48*3600)/(C56*I45))^2+20)&gt;300</formula>
    </cfRule>
    <cfRule type="expression" dxfId="7458" priority="391" stopIfTrue="1">
      <formula>(ISNUMBER(SEARCH("UV",D48)))</formula>
    </cfRule>
    <cfRule type="expression" dxfId="7457" priority="392">
      <formula>(((I48*3600)/(C56*I45))^2+20)&gt;180</formula>
    </cfRule>
    <cfRule type="expression" dxfId="7456" priority="393">
      <formula>D56="KSA"</formula>
    </cfRule>
  </conditionalFormatting>
  <conditionalFormatting sqref="F58">
    <cfRule type="cellIs" dxfId="7455" priority="588" operator="lessThan">
      <formula>2100</formula>
    </cfRule>
  </conditionalFormatting>
  <conditionalFormatting sqref="F63">
    <cfRule type="cellIs" dxfId="7454" priority="564" operator="greaterThan">
      <formula>3001</formula>
    </cfRule>
  </conditionalFormatting>
  <conditionalFormatting sqref="F66">
    <cfRule type="expression" dxfId="7453" priority="464">
      <formula>(C66="LED STRIP")</formula>
    </cfRule>
    <cfRule type="expression" dxfId="7452" priority="465">
      <formula>(C66="LIGHT SELECTION")</formula>
    </cfRule>
    <cfRule type="expression" dxfId="7451" priority="467">
      <formula>(C66="FLO")</formula>
    </cfRule>
  </conditionalFormatting>
  <conditionalFormatting sqref="F73:F74">
    <cfRule type="expression" dxfId="7450" priority="359">
      <formula>D73="NF"</formula>
    </cfRule>
    <cfRule type="expression" dxfId="7449" priority="360">
      <formula>D73="WW PODS"</formula>
    </cfRule>
    <cfRule type="expression" dxfId="7448" priority="361">
      <formula>D73="GRILLE"</formula>
    </cfRule>
    <cfRule type="expression" dxfId="7447" priority="362">
      <formula>D73="CENTREX"</formula>
    </cfRule>
    <cfRule type="expression" dxfId="7446" priority="363" stopIfTrue="1">
      <formula>D65="canopy type"</formula>
    </cfRule>
    <cfRule type="expression" dxfId="7445" priority="364">
      <formula>(((I65*3600)/(C73*I62))^2+20)&gt;300</formula>
    </cfRule>
    <cfRule type="expression" dxfId="7444" priority="365" stopIfTrue="1">
      <formula>(ISNUMBER(SEARCH("UV",D65)))</formula>
    </cfRule>
    <cfRule type="expression" dxfId="7443" priority="366">
      <formula>(((I65*3600)/(C73*I62))^2+20)&gt;180</formula>
    </cfRule>
    <cfRule type="expression" dxfId="7442" priority="367">
      <formula>D73="KSA"</formula>
    </cfRule>
  </conditionalFormatting>
  <conditionalFormatting sqref="F75">
    <cfRule type="cellIs" dxfId="7441" priority="558" operator="lessThan">
      <formula>2100</formula>
    </cfRule>
  </conditionalFormatting>
  <conditionalFormatting sqref="F80">
    <cfRule type="cellIs" dxfId="7440" priority="533" operator="greaterThan">
      <formula>3001</formula>
    </cfRule>
  </conditionalFormatting>
  <conditionalFormatting sqref="F83">
    <cfRule type="expression" dxfId="7439" priority="460">
      <formula>(C83="LED STRIP")</formula>
    </cfRule>
    <cfRule type="expression" dxfId="7438" priority="461">
      <formula>(C83="LIGHT SELECTION")</formula>
    </cfRule>
    <cfRule type="expression" dxfId="7437" priority="463">
      <formula>(C83="FLO")</formula>
    </cfRule>
  </conditionalFormatting>
  <conditionalFormatting sqref="F90:F91">
    <cfRule type="expression" dxfId="7436" priority="333">
      <formula>D90="NF"</formula>
    </cfRule>
    <cfRule type="expression" dxfId="7435" priority="334">
      <formula>D90="WW PODS"</formula>
    </cfRule>
    <cfRule type="expression" dxfId="7434" priority="335">
      <formula>D90="GRILLE"</formula>
    </cfRule>
    <cfRule type="expression" dxfId="7433" priority="336">
      <formula>D90="CENTREX"</formula>
    </cfRule>
    <cfRule type="expression" dxfId="7432" priority="337" stopIfTrue="1">
      <formula>D82="canopy type"</formula>
    </cfRule>
    <cfRule type="expression" dxfId="7431" priority="338">
      <formula>(((I82*3600)/(C90*I79))^2+20)&gt;300</formula>
    </cfRule>
    <cfRule type="expression" dxfId="7430" priority="339" stopIfTrue="1">
      <formula>(ISNUMBER(SEARCH("UV",D82)))</formula>
    </cfRule>
    <cfRule type="expression" dxfId="7429" priority="340">
      <formula>(((I82*3600)/(C90*I79))^2+20)&gt;180</formula>
    </cfRule>
    <cfRule type="expression" dxfId="7428" priority="341">
      <formula>D90="KSA"</formula>
    </cfRule>
  </conditionalFormatting>
  <conditionalFormatting sqref="F92">
    <cfRule type="cellIs" dxfId="7427" priority="527" operator="lessThan">
      <formula>2100</formula>
    </cfRule>
  </conditionalFormatting>
  <conditionalFormatting sqref="F97">
    <cfRule type="cellIs" dxfId="7426" priority="501" operator="greaterThan">
      <formula>3001</formula>
    </cfRule>
  </conditionalFormatting>
  <conditionalFormatting sqref="F100">
    <cfRule type="expression" dxfId="7425" priority="456">
      <formula>(C100="LED STRIP")</formula>
    </cfRule>
    <cfRule type="expression" dxfId="7424" priority="457">
      <formula>(C100="LIGHT SELECTION")</formula>
    </cfRule>
    <cfRule type="expression" dxfId="7423" priority="459">
      <formula>(C100="FLO")</formula>
    </cfRule>
  </conditionalFormatting>
  <conditionalFormatting sqref="F107:F108">
    <cfRule type="expression" dxfId="7422" priority="307">
      <formula>D107="NF"</formula>
    </cfRule>
    <cfRule type="expression" dxfId="7421" priority="308">
      <formula>D107="WW PODS"</formula>
    </cfRule>
    <cfRule type="expression" dxfId="7420" priority="309">
      <formula>D107="GRILLE"</formula>
    </cfRule>
    <cfRule type="expression" dxfId="7419" priority="310">
      <formula>D107="CENTREX"</formula>
    </cfRule>
    <cfRule type="expression" dxfId="7418" priority="311" stopIfTrue="1">
      <formula>D99="canopy type"</formula>
    </cfRule>
    <cfRule type="expression" dxfId="7417" priority="312">
      <formula>(((I99*3600)/(C107*I96))^2+20)&gt;300</formula>
    </cfRule>
    <cfRule type="expression" dxfId="7416" priority="313" stopIfTrue="1">
      <formula>(ISNUMBER(SEARCH("UV",D99)))</formula>
    </cfRule>
    <cfRule type="expression" dxfId="7415" priority="314">
      <formula>(((I99*3600)/(C107*I96))^2+20)&gt;180</formula>
    </cfRule>
    <cfRule type="expression" dxfId="7414" priority="315">
      <formula>D107="KSA"</formula>
    </cfRule>
  </conditionalFormatting>
  <conditionalFormatting sqref="F109">
    <cfRule type="cellIs" dxfId="7413" priority="495" operator="lessThan">
      <formula>2100</formula>
    </cfRule>
  </conditionalFormatting>
  <conditionalFormatting sqref="F114">
    <cfRule type="cellIs" dxfId="7412" priority="277" operator="greaterThan">
      <formula>3001</formula>
    </cfRule>
  </conditionalFormatting>
  <conditionalFormatting sqref="F117">
    <cfRule type="expression" dxfId="7411" priority="254">
      <formula>(C117="LED STRIP")</formula>
    </cfRule>
    <cfRule type="expression" dxfId="7410" priority="255">
      <formula>(C117="LIGHT SELECTION")</formula>
    </cfRule>
    <cfRule type="expression" dxfId="7409" priority="257">
      <formula>(C117="FLO")</formula>
    </cfRule>
  </conditionalFormatting>
  <conditionalFormatting sqref="F124:F125">
    <cfRule type="expression" dxfId="7408" priority="242">
      <formula>D124="NF"</formula>
    </cfRule>
    <cfRule type="expression" dxfId="7407" priority="243">
      <formula>D124="WW PODS"</formula>
    </cfRule>
    <cfRule type="expression" dxfId="7406" priority="244">
      <formula>D124="GRILLE"</formula>
    </cfRule>
    <cfRule type="expression" dxfId="7405" priority="245">
      <formula>D124="CENTREX"</formula>
    </cfRule>
    <cfRule type="expression" dxfId="7404" priority="246" stopIfTrue="1">
      <formula>D116="canopy type"</formula>
    </cfRule>
    <cfRule type="expression" dxfId="7403" priority="247">
      <formula>(((I116*3600)/(C124*I113))^2+20)&gt;300</formula>
    </cfRule>
    <cfRule type="expression" dxfId="7402" priority="248" stopIfTrue="1">
      <formula>(ISNUMBER(SEARCH("UV",D116)))</formula>
    </cfRule>
    <cfRule type="expression" dxfId="7401" priority="249">
      <formula>(((I116*3600)/(C124*I113))^2+20)&gt;180</formula>
    </cfRule>
    <cfRule type="expression" dxfId="7400" priority="250">
      <formula>D124="KSA"</formula>
    </cfRule>
  </conditionalFormatting>
  <conditionalFormatting sqref="F126">
    <cfRule type="cellIs" dxfId="7399" priority="271" operator="lessThan">
      <formula>2100</formula>
    </cfRule>
  </conditionalFormatting>
  <conditionalFormatting sqref="F131">
    <cfRule type="cellIs" dxfId="7398" priority="208" operator="greaterThan">
      <formula>3001</formula>
    </cfRule>
  </conditionalFormatting>
  <conditionalFormatting sqref="F134">
    <cfRule type="expression" dxfId="7397" priority="185">
      <formula>(C134="LED STRIP")</formula>
    </cfRule>
    <cfRule type="expression" dxfId="7396" priority="186">
      <formula>(C134="LIGHT SELECTION")</formula>
    </cfRule>
    <cfRule type="expression" dxfId="7395" priority="188">
      <formula>(C134="FLO")</formula>
    </cfRule>
  </conditionalFormatting>
  <conditionalFormatting sqref="F141:F142">
    <cfRule type="expression" dxfId="7394" priority="173">
      <formula>D141="NF"</formula>
    </cfRule>
    <cfRule type="expression" dxfId="7393" priority="174">
      <formula>D141="WW PODS"</formula>
    </cfRule>
    <cfRule type="expression" dxfId="7392" priority="175">
      <formula>D141="GRILLE"</formula>
    </cfRule>
    <cfRule type="expression" dxfId="7391" priority="176">
      <formula>D141="CENTREX"</formula>
    </cfRule>
    <cfRule type="expression" dxfId="7390" priority="177" stopIfTrue="1">
      <formula>D133="canopy type"</formula>
    </cfRule>
    <cfRule type="expression" dxfId="7389" priority="178">
      <formula>(((I133*3600)/(C141*I130))^2+20)&gt;300</formula>
    </cfRule>
    <cfRule type="expression" dxfId="7388" priority="179" stopIfTrue="1">
      <formula>(ISNUMBER(SEARCH("UV",D133)))</formula>
    </cfRule>
    <cfRule type="expression" dxfId="7387" priority="180">
      <formula>(((I133*3600)/(C141*I130))^2+20)&gt;180</formula>
    </cfRule>
    <cfRule type="expression" dxfId="7386" priority="181">
      <formula>D141="KSA"</formula>
    </cfRule>
  </conditionalFormatting>
  <conditionalFormatting sqref="F143">
    <cfRule type="cellIs" dxfId="7385" priority="202" operator="lessThan">
      <formula>2100</formula>
    </cfRule>
  </conditionalFormatting>
  <conditionalFormatting sqref="F148">
    <cfRule type="cellIs" dxfId="7384" priority="153" operator="greaterThan">
      <formula>3001</formula>
    </cfRule>
  </conditionalFormatting>
  <conditionalFormatting sqref="F151">
    <cfRule type="expression" dxfId="7383" priority="130">
      <formula>(C151="LED STRIP")</formula>
    </cfRule>
    <cfRule type="expression" dxfId="7382" priority="131">
      <formula>(C151="LIGHT SELECTION")</formula>
    </cfRule>
    <cfRule type="expression" dxfId="7381" priority="133">
      <formula>(C151="FLO")</formula>
    </cfRule>
  </conditionalFormatting>
  <conditionalFormatting sqref="F158:F159">
    <cfRule type="expression" dxfId="7380" priority="118">
      <formula>D158="NF"</formula>
    </cfRule>
    <cfRule type="expression" dxfId="7379" priority="119">
      <formula>D158="WW PODS"</formula>
    </cfRule>
    <cfRule type="expression" dxfId="7378" priority="120">
      <formula>D158="GRILLE"</formula>
    </cfRule>
    <cfRule type="expression" dxfId="7377" priority="121">
      <formula>D158="CENTREX"</formula>
    </cfRule>
    <cfRule type="expression" dxfId="7376" priority="122" stopIfTrue="1">
      <formula>D150="canopy type"</formula>
    </cfRule>
    <cfRule type="expression" dxfId="7375" priority="123">
      <formula>(((I150*3600)/(C158*I147))^2+20)&gt;300</formula>
    </cfRule>
    <cfRule type="expression" dxfId="7374" priority="124" stopIfTrue="1">
      <formula>(ISNUMBER(SEARCH("UV",D150)))</formula>
    </cfRule>
    <cfRule type="expression" dxfId="7373" priority="125">
      <formula>(((I150*3600)/(C158*I147))^2+20)&gt;180</formula>
    </cfRule>
    <cfRule type="expression" dxfId="7372" priority="126">
      <formula>D158="KSA"</formula>
    </cfRule>
  </conditionalFormatting>
  <conditionalFormatting sqref="F160">
    <cfRule type="cellIs" dxfId="7371" priority="147" operator="lessThan">
      <formula>2100</formula>
    </cfRule>
  </conditionalFormatting>
  <conditionalFormatting sqref="F165">
    <cfRule type="cellIs" dxfId="7370" priority="98" operator="greaterThan">
      <formula>3001</formula>
    </cfRule>
  </conditionalFormatting>
  <conditionalFormatting sqref="F168">
    <cfRule type="expression" dxfId="7369" priority="75">
      <formula>(C168="LED STRIP")</formula>
    </cfRule>
    <cfRule type="expression" dxfId="7368" priority="76">
      <formula>(C168="LIGHT SELECTION")</formula>
    </cfRule>
    <cfRule type="expression" dxfId="7367" priority="78">
      <formula>(C168="FLO")</formula>
    </cfRule>
  </conditionalFormatting>
  <conditionalFormatting sqref="F175:F176">
    <cfRule type="expression" dxfId="7366" priority="63">
      <formula>D175="NF"</formula>
    </cfRule>
    <cfRule type="expression" dxfId="7365" priority="64">
      <formula>D175="WW PODS"</formula>
    </cfRule>
    <cfRule type="expression" dxfId="7364" priority="65">
      <formula>D175="GRILLE"</formula>
    </cfRule>
    <cfRule type="expression" dxfId="7363" priority="66">
      <formula>D175="CENTREX"</formula>
    </cfRule>
    <cfRule type="expression" dxfId="7362" priority="67" stopIfTrue="1">
      <formula>D167="canopy type"</formula>
    </cfRule>
    <cfRule type="expression" dxfId="7361" priority="68">
      <formula>(((I167*3600)/(C175*I164))^2+20)&gt;300</formula>
    </cfRule>
    <cfRule type="expression" dxfId="7360" priority="69" stopIfTrue="1">
      <formula>(ISNUMBER(SEARCH("UV",D167)))</formula>
    </cfRule>
    <cfRule type="expression" dxfId="7359" priority="70">
      <formula>(((I167*3600)/(C175*I164))^2+20)&gt;180</formula>
    </cfRule>
    <cfRule type="expression" dxfId="7358" priority="71">
      <formula>D175="KSA"</formula>
    </cfRule>
  </conditionalFormatting>
  <conditionalFormatting sqref="F177">
    <cfRule type="cellIs" dxfId="7357" priority="92" operator="lessThan">
      <formula>2100</formula>
    </cfRule>
  </conditionalFormatting>
  <conditionalFormatting sqref="G11">
    <cfRule type="expression" dxfId="7356" priority="705">
      <formula>((F14-50)/H14)&lt;950</formula>
    </cfRule>
  </conditionalFormatting>
  <conditionalFormatting sqref="G12">
    <cfRule type="expression" dxfId="7355" priority="704">
      <formula>((F14-50)/H14)&lt;950</formula>
    </cfRule>
  </conditionalFormatting>
  <conditionalFormatting sqref="G14">
    <cfRule type="cellIs" dxfId="7354" priority="700" operator="lessThan">
      <formula>400</formula>
    </cfRule>
  </conditionalFormatting>
  <conditionalFormatting sqref="G28">
    <cfRule type="expression" dxfId="7353" priority="649">
      <formula>((F31-50)/H31)&lt;950</formula>
    </cfRule>
  </conditionalFormatting>
  <conditionalFormatting sqref="G29">
    <cfRule type="expression" dxfId="7352" priority="627">
      <formula>((F31-50)/H31)&lt;950</formula>
    </cfRule>
  </conditionalFormatting>
  <conditionalFormatting sqref="G31">
    <cfRule type="cellIs" dxfId="7351" priority="623" operator="lessThan">
      <formula>400</formula>
    </cfRule>
  </conditionalFormatting>
  <conditionalFormatting sqref="G45">
    <cfRule type="expression" dxfId="7350" priority="665">
      <formula>((F48-50)/H48)&lt;950</formula>
    </cfRule>
  </conditionalFormatting>
  <conditionalFormatting sqref="G46">
    <cfRule type="expression" dxfId="7349" priority="595">
      <formula>((F48-50)/H48)&lt;950</formula>
    </cfRule>
  </conditionalFormatting>
  <conditionalFormatting sqref="G48">
    <cfRule type="cellIs" dxfId="7348" priority="591" operator="lessThan">
      <formula>400</formula>
    </cfRule>
  </conditionalFormatting>
  <conditionalFormatting sqref="G62">
    <cfRule type="expression" dxfId="7347" priority="666">
      <formula>((F65-50)/H65)&lt;950</formula>
    </cfRule>
  </conditionalFormatting>
  <conditionalFormatting sqref="G63">
    <cfRule type="expression" dxfId="7346" priority="565">
      <formula>((F65-50)/H65)&lt;950</formula>
    </cfRule>
  </conditionalFormatting>
  <conditionalFormatting sqref="G65">
    <cfRule type="cellIs" dxfId="7345" priority="561" operator="lessThan">
      <formula>400</formula>
    </cfRule>
  </conditionalFormatting>
  <conditionalFormatting sqref="G79">
    <cfRule type="expression" dxfId="7344" priority="667">
      <formula>((F82-50)/H82)&lt;950</formula>
    </cfRule>
  </conditionalFormatting>
  <conditionalFormatting sqref="G80">
    <cfRule type="expression" dxfId="7343" priority="534">
      <formula>((F82-50)/H82)&lt;950</formula>
    </cfRule>
  </conditionalFormatting>
  <conditionalFormatting sqref="G82">
    <cfRule type="cellIs" dxfId="7342" priority="530" operator="lessThan">
      <formula>400</formula>
    </cfRule>
  </conditionalFormatting>
  <conditionalFormatting sqref="G96">
    <cfRule type="expression" dxfId="7341" priority="677">
      <formula>((F99-50)/H99)&lt;950</formula>
    </cfRule>
  </conditionalFormatting>
  <conditionalFormatting sqref="G97">
    <cfRule type="expression" dxfId="7340" priority="502">
      <formula>((F99-50)/H99)&lt;950</formula>
    </cfRule>
  </conditionalFormatting>
  <conditionalFormatting sqref="G99">
    <cfRule type="cellIs" dxfId="7339" priority="498" operator="lessThan">
      <formula>400</formula>
    </cfRule>
  </conditionalFormatting>
  <conditionalFormatting sqref="G113">
    <cfRule type="expression" dxfId="7338" priority="289">
      <formula>((F116-50)/H116)&lt;950</formula>
    </cfRule>
  </conditionalFormatting>
  <conditionalFormatting sqref="G114">
    <cfRule type="expression" dxfId="7337" priority="278">
      <formula>((F116-50)/H116)&lt;950</formula>
    </cfRule>
  </conditionalFormatting>
  <conditionalFormatting sqref="G116">
    <cfRule type="cellIs" dxfId="7336" priority="274" operator="lessThan">
      <formula>400</formula>
    </cfRule>
  </conditionalFormatting>
  <conditionalFormatting sqref="G130">
    <cfRule type="expression" dxfId="7335" priority="220">
      <formula>((F133-50)/H133)&lt;950</formula>
    </cfRule>
  </conditionalFormatting>
  <conditionalFormatting sqref="G131">
    <cfRule type="expression" dxfId="7334" priority="209">
      <formula>((F133-50)/H133)&lt;950</formula>
    </cfRule>
  </conditionalFormatting>
  <conditionalFormatting sqref="G133">
    <cfRule type="cellIs" dxfId="7333" priority="205" operator="lessThan">
      <formula>400</formula>
    </cfRule>
  </conditionalFormatting>
  <conditionalFormatting sqref="G147">
    <cfRule type="expression" dxfId="7332" priority="165">
      <formula>((F150-50)/H150)&lt;950</formula>
    </cfRule>
  </conditionalFormatting>
  <conditionalFormatting sqref="G148">
    <cfRule type="expression" dxfId="7331" priority="154">
      <formula>((F150-50)/H150)&lt;950</formula>
    </cfRule>
  </conditionalFormatting>
  <conditionalFormatting sqref="G150">
    <cfRule type="cellIs" dxfId="7330" priority="150" operator="lessThan">
      <formula>400</formula>
    </cfRule>
  </conditionalFormatting>
  <conditionalFormatting sqref="G164">
    <cfRule type="expression" dxfId="7329" priority="110">
      <formula>((F167-50)/H167)&lt;950</formula>
    </cfRule>
  </conditionalFormatting>
  <conditionalFormatting sqref="G165">
    <cfRule type="expression" dxfId="7328" priority="99">
      <formula>((F167-50)/H167)&lt;950</formula>
    </cfRule>
  </conditionalFormatting>
  <conditionalFormatting sqref="G167">
    <cfRule type="cellIs" dxfId="7327" priority="95" operator="lessThan">
      <formula>400</formula>
    </cfRule>
  </conditionalFormatting>
  <conditionalFormatting sqref="I14">
    <cfRule type="cellIs" dxfId="7326" priority="701" operator="lessThan">
      <formula>0.1</formula>
    </cfRule>
  </conditionalFormatting>
  <conditionalFormatting sqref="I31">
    <cfRule type="cellIs" dxfId="7325" priority="624" operator="lessThan">
      <formula>0.1</formula>
    </cfRule>
  </conditionalFormatting>
  <conditionalFormatting sqref="I48">
    <cfRule type="cellIs" dxfId="7324" priority="592" operator="lessThan">
      <formula>0.1</formula>
    </cfRule>
  </conditionalFormatting>
  <conditionalFormatting sqref="I65">
    <cfRule type="cellIs" dxfId="7323" priority="562" operator="lessThan">
      <formula>0.1</formula>
    </cfRule>
  </conditionalFormatting>
  <conditionalFormatting sqref="I82">
    <cfRule type="cellIs" dxfId="7322" priority="531" operator="lessThan">
      <formula>0.1</formula>
    </cfRule>
  </conditionalFormatting>
  <conditionalFormatting sqref="I99">
    <cfRule type="cellIs" dxfId="7321" priority="499" operator="lessThan">
      <formula>0.1</formula>
    </cfRule>
  </conditionalFormatting>
  <conditionalFormatting sqref="I116">
    <cfRule type="cellIs" dxfId="7320" priority="275" operator="lessThan">
      <formula>0.1</formula>
    </cfRule>
  </conditionalFormatting>
  <conditionalFormatting sqref="I133">
    <cfRule type="cellIs" dxfId="7319" priority="206" operator="lessThan">
      <formula>0.1</formula>
    </cfRule>
  </conditionalFormatting>
  <conditionalFormatting sqref="I150">
    <cfRule type="cellIs" dxfId="7318" priority="151" operator="lessThan">
      <formula>0.1</formula>
    </cfRule>
  </conditionalFormatting>
  <conditionalFormatting sqref="I167">
    <cfRule type="cellIs" dxfId="7317" priority="96" operator="lessThan">
      <formula>0.1</formula>
    </cfRule>
  </conditionalFormatting>
  <conditionalFormatting sqref="J14:J27">
    <cfRule type="cellIs" dxfId="7316" priority="422" operator="greaterThan">
      <formula>0</formula>
    </cfRule>
  </conditionalFormatting>
  <conditionalFormatting sqref="J31:J32 J34:J44">
    <cfRule type="cellIs" dxfId="7315" priority="395" operator="greaterThan">
      <formula>0</formula>
    </cfRule>
  </conditionalFormatting>
  <conditionalFormatting sqref="J48:J49 J51:J61">
    <cfRule type="cellIs" dxfId="7314" priority="369" operator="greaterThan">
      <formula>0</formula>
    </cfRule>
  </conditionalFormatting>
  <conditionalFormatting sqref="J65:J66 J68:J78">
    <cfRule type="cellIs" dxfId="7313" priority="343" operator="greaterThan">
      <formula>0</formula>
    </cfRule>
  </conditionalFormatting>
  <conditionalFormatting sqref="J82:J83 J85:J95">
    <cfRule type="cellIs" dxfId="7312" priority="317" operator="greaterThan">
      <formula>0</formula>
    </cfRule>
  </conditionalFormatting>
  <conditionalFormatting sqref="J99:J100 J102:J112">
    <cfRule type="cellIs" dxfId="7311" priority="291" operator="greaterThan">
      <formula>0</formula>
    </cfRule>
  </conditionalFormatting>
  <conditionalFormatting sqref="J116:J117 J133:J134 J150:J151 J167:J168 J119:J129 J136:J146 J153:J163 J170:J180">
    <cfRule type="cellIs" dxfId="7310" priority="226" operator="greaterThan">
      <formula>0</formula>
    </cfRule>
  </conditionalFormatting>
  <conditionalFormatting sqref="J183:J197">
    <cfRule type="expression" dxfId="7309" priority="221">
      <formula>C183&gt;0</formula>
    </cfRule>
  </conditionalFormatting>
  <conditionalFormatting sqref="J199">
    <cfRule type="expression" dxfId="7308" priority="682">
      <formula>#REF!="EURO"</formula>
    </cfRule>
  </conditionalFormatting>
  <conditionalFormatting sqref="K14:K27">
    <cfRule type="cellIs" dxfId="7307" priority="436" operator="greaterThan">
      <formula>0</formula>
    </cfRule>
  </conditionalFormatting>
  <conditionalFormatting sqref="K31:K32 K34:K44">
    <cfRule type="cellIs" dxfId="7306" priority="398" operator="greaterThan">
      <formula>0</formula>
    </cfRule>
  </conditionalFormatting>
  <conditionalFormatting sqref="K48:K49 K51:K61">
    <cfRule type="cellIs" dxfId="7305" priority="372" operator="greaterThan">
      <formula>0</formula>
    </cfRule>
  </conditionalFormatting>
  <conditionalFormatting sqref="K65:K66 K68:K78">
    <cfRule type="cellIs" dxfId="7304" priority="346" operator="greaterThan">
      <formula>0</formula>
    </cfRule>
  </conditionalFormatting>
  <conditionalFormatting sqref="K82:K83 K85:K95">
    <cfRule type="cellIs" dxfId="7303" priority="320" operator="greaterThan">
      <formula>0</formula>
    </cfRule>
  </conditionalFormatting>
  <conditionalFormatting sqref="K99:K100 K102:K112">
    <cfRule type="cellIs" dxfId="7302" priority="294" operator="greaterThan">
      <formula>0</formula>
    </cfRule>
  </conditionalFormatting>
  <conditionalFormatting sqref="K116:K117 K133:K134 K150:K151 K167:K168 K119:K129 K136:K146 K153:K163 K170:K180">
    <cfRule type="cellIs" dxfId="7301" priority="229" operator="greaterThan">
      <formula>0</formula>
    </cfRule>
  </conditionalFormatting>
  <conditionalFormatting sqref="K183:K197">
    <cfRule type="cellIs" dxfId="7300" priority="222" operator="greaterThan">
      <formula>0</formula>
    </cfRule>
  </conditionalFormatting>
  <conditionalFormatting sqref="K199">
    <cfRule type="expression" dxfId="7299" priority="678">
      <formula>$B$9="PLN"</formula>
    </cfRule>
    <cfRule type="expression" dxfId="7298" priority="679">
      <formula>$B$9="CZK"</formula>
    </cfRule>
    <cfRule type="expression" dxfId="7297" priority="680">
      <formula>$B$9="USD"</formula>
    </cfRule>
    <cfRule type="expression" dxfId="7296" priority="681">
      <formula>$B$9="EURO"</formula>
    </cfRule>
  </conditionalFormatting>
  <conditionalFormatting sqref="L14:L27">
    <cfRule type="expression" dxfId="7295" priority="433">
      <formula>$C$9&lt;0</formula>
    </cfRule>
    <cfRule type="expression" dxfId="7294" priority="434">
      <formula>$C$9&gt;0</formula>
    </cfRule>
  </conditionalFormatting>
  <conditionalFormatting sqref="L31:L44">
    <cfRule type="expression" dxfId="7293" priority="396">
      <formula>$C$9&lt;0</formula>
    </cfRule>
    <cfRule type="expression" dxfId="7292" priority="397">
      <formula>$C$9&gt;0</formula>
    </cfRule>
  </conditionalFormatting>
  <conditionalFormatting sqref="L48:L61">
    <cfRule type="expression" dxfId="7291" priority="370">
      <formula>$C$9&lt;0</formula>
    </cfRule>
    <cfRule type="expression" dxfId="7290" priority="371">
      <formula>$C$9&gt;0</formula>
    </cfRule>
  </conditionalFormatting>
  <conditionalFormatting sqref="L65:L78">
    <cfRule type="expression" dxfId="7289" priority="344">
      <formula>$C$9&lt;0</formula>
    </cfRule>
    <cfRule type="expression" dxfId="7288" priority="345">
      <formula>$C$9&gt;0</formula>
    </cfRule>
  </conditionalFormatting>
  <conditionalFormatting sqref="L82:L95">
    <cfRule type="expression" dxfId="7287" priority="318">
      <formula>$C$9&lt;0</formula>
    </cfRule>
    <cfRule type="expression" dxfId="7286" priority="319">
      <formula>$C$9&gt;0</formula>
    </cfRule>
  </conditionalFormatting>
  <conditionalFormatting sqref="L99:L112">
    <cfRule type="expression" dxfId="7285" priority="292">
      <formula>$C$9&lt;0</formula>
    </cfRule>
    <cfRule type="expression" dxfId="7284" priority="293">
      <formula>$C$9&gt;0</formula>
    </cfRule>
  </conditionalFormatting>
  <conditionalFormatting sqref="L116:L129 L133:L146 L150:L163 L167:L180">
    <cfRule type="expression" dxfId="7283" priority="227">
      <formula>$C$9&lt;0</formula>
    </cfRule>
    <cfRule type="expression" dxfId="7282" priority="228">
      <formula>$C$9&gt;0</formula>
    </cfRule>
  </conditionalFormatting>
  <conditionalFormatting sqref="L183:L197">
    <cfRule type="expression" dxfId="7281" priority="668">
      <formula>$C$9&lt;0</formula>
    </cfRule>
    <cfRule type="expression" dxfId="7280" priority="669">
      <formula>$C$9&gt;0</formula>
    </cfRule>
  </conditionalFormatting>
  <conditionalFormatting sqref="N9 N12">
    <cfRule type="expression" dxfId="7279" priority="712">
      <formula>$B$9="PLN"</formula>
    </cfRule>
    <cfRule type="expression" dxfId="7278" priority="713">
      <formula>$B$9="CZK"</formula>
    </cfRule>
    <cfRule type="expression" dxfId="7277" priority="714">
      <formula>$B$9="USD"</formula>
    </cfRule>
    <cfRule type="expression" dxfId="7276" priority="715">
      <formula>$B$9="EURO"</formula>
    </cfRule>
  </conditionalFormatting>
  <conditionalFormatting sqref="N14:N27">
    <cfRule type="cellIs" dxfId="7275" priority="652" operator="greaterThan">
      <formula>0</formula>
    </cfRule>
    <cfRule type="expression" dxfId="7274" priority="653">
      <formula>$B$9="EURO"</formula>
    </cfRule>
    <cfRule type="expression" dxfId="7273" priority="654">
      <formula>$B$9="USD"</formula>
    </cfRule>
    <cfRule type="expression" dxfId="7272" priority="655">
      <formula>$B$9="PLN"</formula>
    </cfRule>
    <cfRule type="expression" dxfId="7271" priority="656">
      <formula>$B$9="CZK"</formula>
    </cfRule>
  </conditionalFormatting>
  <conditionalFormatting sqref="N29">
    <cfRule type="expression" dxfId="7270" priority="633">
      <formula>$B$9="PLN"</formula>
    </cfRule>
    <cfRule type="expression" dxfId="7269" priority="634">
      <formula>$B$9="CZK"</formula>
    </cfRule>
    <cfRule type="expression" dxfId="7268" priority="635">
      <formula>$B$9="USD"</formula>
    </cfRule>
    <cfRule type="expression" dxfId="7267" priority="636">
      <formula>$B$9="EURO"</formula>
    </cfRule>
  </conditionalFormatting>
  <conditionalFormatting sqref="N31:N44">
    <cfRule type="cellIs" dxfId="7266" priority="401" operator="greaterThan">
      <formula>0</formula>
    </cfRule>
    <cfRule type="expression" dxfId="7265" priority="402">
      <formula>$B$9="EURO"</formula>
    </cfRule>
    <cfRule type="expression" dxfId="7264" priority="403">
      <formula>$B$9="USD"</formula>
    </cfRule>
    <cfRule type="expression" dxfId="7263" priority="404">
      <formula>$B$9="PLN"</formula>
    </cfRule>
    <cfRule type="expression" dxfId="7262" priority="405">
      <formula>$B$9="CZK"</formula>
    </cfRule>
  </conditionalFormatting>
  <conditionalFormatting sqref="N46">
    <cfRule type="expression" dxfId="7261" priority="601">
      <formula>$B$9="PLN"</formula>
    </cfRule>
    <cfRule type="expression" dxfId="7260" priority="602">
      <formula>$B$9="CZK"</formula>
    </cfRule>
    <cfRule type="expression" dxfId="7259" priority="603">
      <formula>$B$9="USD"</formula>
    </cfRule>
    <cfRule type="expression" dxfId="7258" priority="604">
      <formula>$B$9="EURO"</formula>
    </cfRule>
  </conditionalFormatting>
  <conditionalFormatting sqref="N48:N61">
    <cfRule type="cellIs" dxfId="7257" priority="375" operator="greaterThan">
      <formula>0</formula>
    </cfRule>
    <cfRule type="expression" dxfId="7256" priority="376">
      <formula>$B$9="EURO"</formula>
    </cfRule>
    <cfRule type="expression" dxfId="7255" priority="377">
      <formula>$B$9="USD"</formula>
    </cfRule>
    <cfRule type="expression" dxfId="7254" priority="378">
      <formula>$B$9="PLN"</formula>
    </cfRule>
    <cfRule type="expression" dxfId="7253" priority="379">
      <formula>$B$9="CZK"</formula>
    </cfRule>
  </conditionalFormatting>
  <conditionalFormatting sqref="N63">
    <cfRule type="expression" dxfId="7252" priority="571">
      <formula>$B$9="PLN"</formula>
    </cfRule>
    <cfRule type="expression" dxfId="7251" priority="572">
      <formula>$B$9="CZK"</formula>
    </cfRule>
    <cfRule type="expression" dxfId="7250" priority="573">
      <formula>$B$9="USD"</formula>
    </cfRule>
    <cfRule type="expression" dxfId="7249" priority="574">
      <formula>$B$9="EURO"</formula>
    </cfRule>
  </conditionalFormatting>
  <conditionalFormatting sqref="N65:N78">
    <cfRule type="cellIs" dxfId="7248" priority="349" operator="greaterThan">
      <formula>0</formula>
    </cfRule>
    <cfRule type="expression" dxfId="7247" priority="350">
      <formula>$B$9="EURO"</formula>
    </cfRule>
    <cfRule type="expression" dxfId="7246" priority="351">
      <formula>$B$9="USD"</formula>
    </cfRule>
    <cfRule type="expression" dxfId="7245" priority="352">
      <formula>$B$9="PLN"</formula>
    </cfRule>
    <cfRule type="expression" dxfId="7244" priority="353">
      <formula>$B$9="CZK"</formula>
    </cfRule>
  </conditionalFormatting>
  <conditionalFormatting sqref="N80">
    <cfRule type="expression" dxfId="7243" priority="540">
      <formula>$B$9="PLN"</formula>
    </cfRule>
    <cfRule type="expression" dxfId="7242" priority="541">
      <formula>$B$9="CZK"</formula>
    </cfRule>
    <cfRule type="expression" dxfId="7241" priority="542">
      <formula>$B$9="USD"</formula>
    </cfRule>
    <cfRule type="expression" dxfId="7240" priority="543">
      <formula>$B$9="EURO"</formula>
    </cfRule>
  </conditionalFormatting>
  <conditionalFormatting sqref="N82:N95">
    <cfRule type="cellIs" dxfId="7239" priority="323" operator="greaterThan">
      <formula>0</formula>
    </cfRule>
    <cfRule type="expression" dxfId="7238" priority="324">
      <formula>$B$9="EURO"</formula>
    </cfRule>
    <cfRule type="expression" dxfId="7237" priority="325">
      <formula>$B$9="USD"</formula>
    </cfRule>
    <cfRule type="expression" dxfId="7236" priority="326">
      <formula>$B$9="PLN"</formula>
    </cfRule>
    <cfRule type="expression" dxfId="7235" priority="327">
      <formula>$B$9="CZK"</formula>
    </cfRule>
  </conditionalFormatting>
  <conditionalFormatting sqref="N97">
    <cfRule type="expression" dxfId="7234" priority="508">
      <formula>$B$9="PLN"</formula>
    </cfRule>
    <cfRule type="expression" dxfId="7233" priority="509">
      <formula>$B$9="CZK"</formula>
    </cfRule>
    <cfRule type="expression" dxfId="7232" priority="510">
      <formula>$B$9="USD"</formula>
    </cfRule>
    <cfRule type="expression" dxfId="7231" priority="511">
      <formula>$B$9="EURO"</formula>
    </cfRule>
  </conditionalFormatting>
  <conditionalFormatting sqref="N99:N112">
    <cfRule type="cellIs" dxfId="7230" priority="297" operator="greaterThan">
      <formula>0</formula>
    </cfRule>
    <cfRule type="expression" dxfId="7229" priority="298">
      <formula>$B$9="EURO"</formula>
    </cfRule>
    <cfRule type="expression" dxfId="7228" priority="299">
      <formula>$B$9="USD"</formula>
    </cfRule>
    <cfRule type="expression" dxfId="7227" priority="300">
      <formula>$B$9="PLN"</formula>
    </cfRule>
    <cfRule type="expression" dxfId="7226" priority="301">
      <formula>$B$9="CZK"</formula>
    </cfRule>
  </conditionalFormatting>
  <conditionalFormatting sqref="N114">
    <cfRule type="expression" dxfId="7225" priority="284">
      <formula>$B$9="PLN"</formula>
    </cfRule>
    <cfRule type="expression" dxfId="7224" priority="285">
      <formula>$B$9="CZK"</formula>
    </cfRule>
    <cfRule type="expression" dxfId="7223" priority="286">
      <formula>$B$9="USD"</formula>
    </cfRule>
    <cfRule type="expression" dxfId="7222" priority="287">
      <formula>$B$9="EURO"</formula>
    </cfRule>
  </conditionalFormatting>
  <conditionalFormatting sqref="N116:N129 N133:N146 N150:N163 N167:N180">
    <cfRule type="cellIs" dxfId="7221" priority="232" operator="greaterThan">
      <formula>0</formula>
    </cfRule>
    <cfRule type="expression" dxfId="7220" priority="233">
      <formula>$B$9="EURO"</formula>
    </cfRule>
    <cfRule type="expression" dxfId="7219" priority="234">
      <formula>$B$9="USD"</formula>
    </cfRule>
    <cfRule type="expression" dxfId="7218" priority="235">
      <formula>$B$9="PLN"</formula>
    </cfRule>
    <cfRule type="expression" dxfId="7217" priority="236">
      <formula>$B$9="CZK"</formula>
    </cfRule>
  </conditionalFormatting>
  <conditionalFormatting sqref="N131">
    <cfRule type="expression" dxfId="7216" priority="215">
      <formula>$B$9="PLN"</formula>
    </cfRule>
    <cfRule type="expression" dxfId="7215" priority="216">
      <formula>$B$9="CZK"</formula>
    </cfRule>
    <cfRule type="expression" dxfId="7214" priority="217">
      <formula>$B$9="USD"</formula>
    </cfRule>
    <cfRule type="expression" dxfId="7213" priority="218">
      <formula>$B$9="EURO"</formula>
    </cfRule>
  </conditionalFormatting>
  <conditionalFormatting sqref="N148">
    <cfRule type="expression" dxfId="7212" priority="160">
      <formula>$B$9="PLN"</formula>
    </cfRule>
    <cfRule type="expression" dxfId="7211" priority="161">
      <formula>$B$9="CZK"</formula>
    </cfRule>
    <cfRule type="expression" dxfId="7210" priority="162">
      <formula>$B$9="USD"</formula>
    </cfRule>
    <cfRule type="expression" dxfId="7209" priority="163">
      <formula>$B$9="EURO"</formula>
    </cfRule>
  </conditionalFormatting>
  <conditionalFormatting sqref="N165">
    <cfRule type="expression" dxfId="7208" priority="105">
      <formula>$B$9="PLN"</formula>
    </cfRule>
    <cfRule type="expression" dxfId="7207" priority="106">
      <formula>$B$9="CZK"</formula>
    </cfRule>
    <cfRule type="expression" dxfId="7206" priority="107">
      <formula>$B$9="USD"</formula>
    </cfRule>
    <cfRule type="expression" dxfId="7205" priority="108">
      <formula>$B$9="EURO"</formula>
    </cfRule>
  </conditionalFormatting>
  <conditionalFormatting sqref="N183:N197">
    <cfRule type="cellIs" dxfId="7204" priority="660" operator="greaterThan">
      <formula>0</formula>
    </cfRule>
    <cfRule type="expression" dxfId="7203" priority="661">
      <formula>$B$9="EURO"</formula>
    </cfRule>
    <cfRule type="expression" dxfId="7202" priority="662">
      <formula>$B$9="USD"</formula>
    </cfRule>
    <cfRule type="expression" dxfId="7201" priority="663">
      <formula>$B$9="PLN"</formula>
    </cfRule>
    <cfRule type="expression" dxfId="7200" priority="664">
      <formula>$B$9="CZK"</formula>
    </cfRule>
  </conditionalFormatting>
  <conditionalFormatting sqref="N182:O182">
    <cfRule type="expression" dxfId="7199" priority="670">
      <formula>$B$9="PLN"</formula>
    </cfRule>
    <cfRule type="expression" dxfId="7198" priority="671">
      <formula>$B$9="CZK"</formula>
    </cfRule>
    <cfRule type="expression" dxfId="7197" priority="672">
      <formula>$B$9="USD"</formula>
    </cfRule>
    <cfRule type="expression" dxfId="7196" priority="673">
      <formula>$B$9="EURO"</formula>
    </cfRule>
  </conditionalFormatting>
  <conditionalFormatting sqref="O14:O27">
    <cfRule type="cellIs" dxfId="7195" priority="657" operator="greaterThan">
      <formula>0</formula>
    </cfRule>
  </conditionalFormatting>
  <conditionalFormatting sqref="O31:O44">
    <cfRule type="cellIs" dxfId="7194" priority="406" operator="greaterThan">
      <formula>0</formula>
    </cfRule>
  </conditionalFormatting>
  <conditionalFormatting sqref="O48:O61">
    <cfRule type="cellIs" dxfId="7193" priority="380" operator="greaterThan">
      <formula>0</formula>
    </cfRule>
  </conditionalFormatting>
  <conditionalFormatting sqref="O65:O78">
    <cfRule type="cellIs" dxfId="7192" priority="354" operator="greaterThan">
      <formula>0</formula>
    </cfRule>
  </conditionalFormatting>
  <conditionalFormatting sqref="O82:O95">
    <cfRule type="cellIs" dxfId="7191" priority="328" operator="greaterThan">
      <formula>0</formula>
    </cfRule>
  </conditionalFormatting>
  <conditionalFormatting sqref="O99:O112">
    <cfRule type="cellIs" dxfId="7190" priority="302" operator="greaterThan">
      <formula>0</formula>
    </cfRule>
  </conditionalFormatting>
  <conditionalFormatting sqref="O116:O129 O133:O146 O150:O163 O167:O180">
    <cfRule type="cellIs" dxfId="7189" priority="237" operator="greaterThan">
      <formula>0</formula>
    </cfRule>
  </conditionalFormatting>
  <conditionalFormatting sqref="O183:O197">
    <cfRule type="cellIs" dxfId="7188" priority="683" operator="greaterThan">
      <formula>0</formula>
    </cfRule>
  </conditionalFormatting>
  <conditionalFormatting sqref="Q16">
    <cfRule type="cellIs" dxfId="7187" priority="423" operator="greaterThan">
      <formula>0</formula>
    </cfRule>
    <cfRule type="expression" dxfId="7186" priority="424">
      <formula>$B$9="EURO"</formula>
    </cfRule>
    <cfRule type="expression" dxfId="7185" priority="425">
      <formula>$B$9="USD"</formula>
    </cfRule>
    <cfRule type="expression" dxfId="7184" priority="426">
      <formula>$B$9="PLN"</formula>
    </cfRule>
    <cfRule type="expression" dxfId="7183" priority="427">
      <formula>$B$9="CZK"</formula>
    </cfRule>
  </conditionalFormatting>
  <conditionalFormatting sqref="B33">
    <cfRule type="expression" dxfId="7182" priority="52">
      <formula>$J33&gt;0</formula>
    </cfRule>
  </conditionalFormatting>
  <conditionalFormatting sqref="D33">
    <cfRule type="expression" dxfId="7180" priority="53">
      <formula>($C33="SELECT WORKS")</formula>
    </cfRule>
  </conditionalFormatting>
  <conditionalFormatting sqref="E33">
    <cfRule type="expression" dxfId="7179" priority="49">
      <formula>$C33="SELECT WORKS"</formula>
    </cfRule>
  </conditionalFormatting>
  <conditionalFormatting sqref="J33">
    <cfRule type="cellIs" dxfId="7178" priority="50" operator="greaterThan">
      <formula>0</formula>
    </cfRule>
  </conditionalFormatting>
  <conditionalFormatting sqref="K33">
    <cfRule type="cellIs" dxfId="7177" priority="51" operator="greaterThan">
      <formula>0</formula>
    </cfRule>
  </conditionalFormatting>
  <conditionalFormatting sqref="B50">
    <cfRule type="expression" dxfId="7176" priority="46">
      <formula>$J50&gt;0</formula>
    </cfRule>
  </conditionalFormatting>
  <conditionalFormatting sqref="D50">
    <cfRule type="expression" dxfId="7174" priority="47">
      <formula>($C50="SELECT WORKS")</formula>
    </cfRule>
  </conditionalFormatting>
  <conditionalFormatting sqref="E50">
    <cfRule type="expression" dxfId="7173" priority="43">
      <formula>$C50="SELECT WORKS"</formula>
    </cfRule>
  </conditionalFormatting>
  <conditionalFormatting sqref="J50">
    <cfRule type="cellIs" dxfId="7172" priority="44" operator="greaterThan">
      <formula>0</formula>
    </cfRule>
  </conditionalFormatting>
  <conditionalFormatting sqref="K50">
    <cfRule type="cellIs" dxfId="7171" priority="45" operator="greaterThan">
      <formula>0</formula>
    </cfRule>
  </conditionalFormatting>
  <conditionalFormatting sqref="B67">
    <cfRule type="expression" dxfId="7170" priority="40">
      <formula>$J67&gt;0</formula>
    </cfRule>
  </conditionalFormatting>
  <conditionalFormatting sqref="D67">
    <cfRule type="expression" dxfId="7168" priority="41">
      <formula>($C67="SELECT WORKS")</formula>
    </cfRule>
  </conditionalFormatting>
  <conditionalFormatting sqref="E67">
    <cfRule type="expression" dxfId="7167" priority="37">
      <formula>$C67="SELECT WORKS"</formula>
    </cfRule>
  </conditionalFormatting>
  <conditionalFormatting sqref="J67">
    <cfRule type="cellIs" dxfId="7166" priority="38" operator="greaterThan">
      <formula>0</formula>
    </cfRule>
  </conditionalFormatting>
  <conditionalFormatting sqref="K67">
    <cfRule type="cellIs" dxfId="7165" priority="39" operator="greaterThan">
      <formula>0</formula>
    </cfRule>
  </conditionalFormatting>
  <conditionalFormatting sqref="B84">
    <cfRule type="expression" dxfId="7164" priority="34">
      <formula>$J84&gt;0</formula>
    </cfRule>
  </conditionalFormatting>
  <conditionalFormatting sqref="D84">
    <cfRule type="expression" dxfId="7162" priority="35">
      <formula>($C84="SELECT WORKS")</formula>
    </cfRule>
  </conditionalFormatting>
  <conditionalFormatting sqref="E84">
    <cfRule type="expression" dxfId="7161" priority="31">
      <formula>$C84="SELECT WORKS"</formula>
    </cfRule>
  </conditionalFormatting>
  <conditionalFormatting sqref="J84">
    <cfRule type="cellIs" dxfId="7160" priority="32" operator="greaterThan">
      <formula>0</formula>
    </cfRule>
  </conditionalFormatting>
  <conditionalFormatting sqref="K84">
    <cfRule type="cellIs" dxfId="7159" priority="33" operator="greaterThan">
      <formula>0</formula>
    </cfRule>
  </conditionalFormatting>
  <conditionalFormatting sqref="B101">
    <cfRule type="expression" dxfId="7158" priority="28">
      <formula>$J101&gt;0</formula>
    </cfRule>
  </conditionalFormatting>
  <conditionalFormatting sqref="D101">
    <cfRule type="expression" dxfId="7156" priority="29">
      <formula>($C101="SELECT WORKS")</formula>
    </cfRule>
  </conditionalFormatting>
  <conditionalFormatting sqref="E101">
    <cfRule type="expression" dxfId="7155" priority="25">
      <formula>$C101="SELECT WORKS"</formula>
    </cfRule>
  </conditionalFormatting>
  <conditionalFormatting sqref="J101">
    <cfRule type="cellIs" dxfId="7154" priority="26" operator="greaterThan">
      <formula>0</formula>
    </cfRule>
  </conditionalFormatting>
  <conditionalFormatting sqref="K101">
    <cfRule type="cellIs" dxfId="7153" priority="27" operator="greaterThan">
      <formula>0</formula>
    </cfRule>
  </conditionalFormatting>
  <conditionalFormatting sqref="B118">
    <cfRule type="expression" dxfId="7152" priority="22">
      <formula>$J118&gt;0</formula>
    </cfRule>
  </conditionalFormatting>
  <conditionalFormatting sqref="D118">
    <cfRule type="expression" dxfId="7150" priority="23">
      <formula>($C118="SELECT WORKS")</formula>
    </cfRule>
  </conditionalFormatting>
  <conditionalFormatting sqref="E118">
    <cfRule type="expression" dxfId="7149" priority="19">
      <formula>$C118="SELECT WORKS"</formula>
    </cfRule>
  </conditionalFormatting>
  <conditionalFormatting sqref="J118">
    <cfRule type="cellIs" dxfId="7148" priority="20" operator="greaterThan">
      <formula>0</formula>
    </cfRule>
  </conditionalFormatting>
  <conditionalFormatting sqref="K118">
    <cfRule type="cellIs" dxfId="7147" priority="21" operator="greaterThan">
      <formula>0</formula>
    </cfRule>
  </conditionalFormatting>
  <conditionalFormatting sqref="B135">
    <cfRule type="expression" dxfId="7146" priority="16">
      <formula>$J135&gt;0</formula>
    </cfRule>
  </conditionalFormatting>
  <conditionalFormatting sqref="D135">
    <cfRule type="expression" dxfId="7144" priority="17">
      <formula>($C135="SELECT WORKS")</formula>
    </cfRule>
  </conditionalFormatting>
  <conditionalFormatting sqref="E135">
    <cfRule type="expression" dxfId="7143" priority="13">
      <formula>$C135="SELECT WORKS"</formula>
    </cfRule>
  </conditionalFormatting>
  <conditionalFormatting sqref="J135">
    <cfRule type="cellIs" dxfId="7142" priority="14" operator="greaterThan">
      <formula>0</formula>
    </cfRule>
  </conditionalFormatting>
  <conditionalFormatting sqref="K135">
    <cfRule type="cellIs" dxfId="7141" priority="15" operator="greaterThan">
      <formula>0</formula>
    </cfRule>
  </conditionalFormatting>
  <conditionalFormatting sqref="B152">
    <cfRule type="expression" dxfId="7140" priority="10">
      <formula>$J152&gt;0</formula>
    </cfRule>
  </conditionalFormatting>
  <conditionalFormatting sqref="D152">
    <cfRule type="expression" dxfId="7138" priority="11">
      <formula>($C152="SELECT WORKS")</formula>
    </cfRule>
  </conditionalFormatting>
  <conditionalFormatting sqref="E152">
    <cfRule type="expression" dxfId="7137" priority="7">
      <formula>$C152="SELECT WORKS"</formula>
    </cfRule>
  </conditionalFormatting>
  <conditionalFormatting sqref="J152">
    <cfRule type="cellIs" dxfId="7136" priority="8" operator="greaterThan">
      <formula>0</formula>
    </cfRule>
  </conditionalFormatting>
  <conditionalFormatting sqref="K152">
    <cfRule type="cellIs" dxfId="7135" priority="9" operator="greaterThan">
      <formula>0</formula>
    </cfRule>
  </conditionalFormatting>
  <conditionalFormatting sqref="B169">
    <cfRule type="expression" dxfId="7134" priority="4">
      <formula>$J169&gt;0</formula>
    </cfRule>
  </conditionalFormatting>
  <conditionalFormatting sqref="D169">
    <cfRule type="expression" dxfId="7132" priority="5">
      <formula>($C169="SELECT WORKS")</formula>
    </cfRule>
  </conditionalFormatting>
  <conditionalFormatting sqref="E169">
    <cfRule type="expression" dxfId="7131" priority="1">
      <formula>$C169="SELECT WORKS"</formula>
    </cfRule>
  </conditionalFormatting>
  <conditionalFormatting sqref="J169">
    <cfRule type="cellIs" dxfId="7130" priority="2" operator="greaterThan">
      <formula>0</formula>
    </cfRule>
  </conditionalFormatting>
  <conditionalFormatting sqref="K169">
    <cfRule type="cellIs" dxfId="7129" priority="3" operator="greaterThan">
      <formula>0</formula>
    </cfRule>
  </conditionalFormatting>
  <dataValidations count="7">
    <dataValidation type="list" allowBlank="1" showInputMessage="1" showErrorMessage="1" sqref="D26 D94 D77 D60 D43 D111 D128 D145 D162 D179" xr:uid="{FFD4770B-49E5-6D42-AC7E-B0A428B137C4}">
      <formula1>"0,1,2,3,4,5,6,7,8,9,10"</formula1>
    </dataValidation>
    <dataValidation type="list" allowBlank="1" showInputMessage="1" showErrorMessage="1" sqref="G181" xr:uid="{D6FFA93D-4045-B445-82DB-4E650C89432E}">
      <formula1>#REF!</formula1>
    </dataValidation>
    <dataValidation type="list" allowBlank="1" showInputMessage="1" showErrorMessage="1" sqref="C99 C31 C82 C65 C48 C14 C116 C133 C150 C167" xr:uid="{73814EE6-82C2-F24F-8299-4E57BFDFFD64}">
      <formula1>"WALL, ISLAND"</formula1>
    </dataValidation>
    <dataValidation operator="greaterThan" allowBlank="1" showInputMessage="1" showErrorMessage="1" sqref="E14 E65 E48 E31 E82 E99 E116 E133 E150 E167" xr:uid="{62895084-34C4-984A-842E-0CC36328CE1F}"/>
    <dataValidation type="list" allowBlank="1" showInputMessage="1" showErrorMessage="1" sqref="C71:C72 C37:C38 C88:C89 C20:C21 C122:C123 C105:C106 C54:C55 C156:C157 C173:C174 C139:C140" xr:uid="{B5EACC4A-A7E8-A049-A0CE-8AC6C450835F}">
      <formula1>"0,1,2,3,4,5,6,7,8,9,10,11,12,13,14,15,16,17,18,19,20"</formula1>
    </dataValidation>
    <dataValidation type="list" allowBlank="1" showInputMessage="1" showErrorMessage="1" errorTitle="Minimum number of sections " error="Must be greater than zero" sqref="H14 H65 H48 H31 H82 H99 H116 H133 H150 H167" xr:uid="{7936EAB3-F164-9A49-84B0-366321CBBC4F}">
      <formula1>"1,2,3,4,5,6,7,8,9,10"</formula1>
    </dataValidation>
    <dataValidation type="list" allowBlank="1" showInputMessage="1" showErrorMessage="1" sqref="C27 C78 C95 C44 C61 C112 C129 C146 C163 C180" xr:uid="{94DC1F44-79E3-4C4A-80B8-7B9F2F68D671}">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58" operator="containsText" id="{9D031F68-D2FE-E842-837F-2101CDE83ECD}">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76" operator="containsText" id="{46F57411-7F03-BF4E-B553-5DA3B1F8B050}">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13" operator="containsText" id="{9E26FA47-236B-4149-8735-40CF3B5ACD04}">
            <xm:f>NOT(ISERROR(SEARCH("SELECT WORKS",C34)))</xm:f>
            <xm:f>"SELECT WORKS"</xm:f>
            <x14:dxf>
              <font>
                <b/>
                <i val="0"/>
                <color rgb="FFC00000"/>
              </font>
              <fill>
                <patternFill>
                  <bgColor theme="0"/>
                </patternFill>
              </fill>
            </x14:dxf>
          </x14:cfRule>
          <xm:sqref>C34:C35</xm:sqref>
        </x14:conditionalFormatting>
        <x14:conditionalFormatting xmlns:xm="http://schemas.microsoft.com/office/excel/2006/main">
          <x14:cfRule type="containsText" priority="616" operator="containsText" id="{1A528A2B-0593-8044-856C-76474B0ADF77}">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82" operator="containsText" id="{F44F9406-9FF2-8343-8D7A-02DCCB1AB07E}">
            <xm:f>NOT(ISERROR(SEARCH("SELECT WORKS",C51)))</xm:f>
            <xm:f>"SELECT WORKS"</xm:f>
            <x14:dxf>
              <font>
                <b/>
                <i val="0"/>
                <color rgb="FFC00000"/>
              </font>
              <fill>
                <patternFill>
                  <bgColor theme="0"/>
                </patternFill>
              </fill>
            </x14:dxf>
          </x14:cfRule>
          <xm:sqref>C51:C52</xm:sqref>
        </x14:conditionalFormatting>
        <x14:conditionalFormatting xmlns:xm="http://schemas.microsoft.com/office/excel/2006/main">
          <x14:cfRule type="containsText" priority="585" operator="containsText" id="{53E60A89-1DFA-174C-8A7F-1606560DB222}">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51" operator="containsText" id="{83078325-5357-A649-85E8-C263784B8224}">
            <xm:f>NOT(ISERROR(SEARCH("SELECT WORKS",C68)))</xm:f>
            <xm:f>"SELECT WORKS"</xm:f>
            <x14:dxf>
              <font>
                <b/>
                <i val="0"/>
                <color rgb="FFC00000"/>
              </font>
              <fill>
                <patternFill>
                  <bgColor theme="0"/>
                </patternFill>
              </fill>
            </x14:dxf>
          </x14:cfRule>
          <xm:sqref>C68:C69</xm:sqref>
        </x14:conditionalFormatting>
        <x14:conditionalFormatting xmlns:xm="http://schemas.microsoft.com/office/excel/2006/main">
          <x14:cfRule type="containsText" priority="555" operator="containsText" id="{3E1B1FA4-9C8F-5744-ACBC-187D410EAF12}">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19" operator="containsText" id="{B7EB1652-D5F9-8E47-9156-3D2B9E331B9A}">
            <xm:f>NOT(ISERROR(SEARCH("SELECT WORKS",C85)))</xm:f>
            <xm:f>"SELECT WORKS"</xm:f>
            <x14:dxf>
              <font>
                <b/>
                <i val="0"/>
                <color rgb="FFC00000"/>
              </font>
              <fill>
                <patternFill>
                  <bgColor theme="0"/>
                </patternFill>
              </fill>
            </x14:dxf>
          </x14:cfRule>
          <xm:sqref>C85:C86</xm:sqref>
        </x14:conditionalFormatting>
        <x14:conditionalFormatting xmlns:xm="http://schemas.microsoft.com/office/excel/2006/main">
          <x14:cfRule type="containsText" priority="523" operator="containsText" id="{C0D4DFAF-8897-E746-B179-50161D10C96B}">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88" operator="containsText" id="{714AFF14-1301-0349-BD23-1F0AEF1C3E47}">
            <xm:f>NOT(ISERROR(SEARCH("SELECT WORKS",C102)))</xm:f>
            <xm:f>"SELECT WORKS"</xm:f>
            <x14:dxf>
              <font>
                <b/>
                <i val="0"/>
                <color rgb="FFC00000"/>
              </font>
              <fill>
                <patternFill>
                  <bgColor theme="0"/>
                </patternFill>
              </fill>
            </x14:dxf>
          </x14:cfRule>
          <xm:sqref>C102:C103</xm:sqref>
        </x14:conditionalFormatting>
        <x14:conditionalFormatting xmlns:xm="http://schemas.microsoft.com/office/excel/2006/main">
          <x14:cfRule type="containsText" priority="491" operator="containsText" id="{516DE081-E5D0-4941-ADE8-838B74E1BB81}">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264" operator="containsText" id="{2BCB5872-9551-884C-AE71-23F65AC6639A}">
            <xm:f>NOT(ISERROR(SEARCH("SELECT WORKS",C119)))</xm:f>
            <xm:f>"SELECT WORKS"</xm:f>
            <x14:dxf>
              <font>
                <b/>
                <i val="0"/>
                <color rgb="FFC00000"/>
              </font>
              <fill>
                <patternFill>
                  <bgColor theme="0"/>
                </patternFill>
              </fill>
            </x14:dxf>
          </x14:cfRule>
          <xm:sqref>C119:C120</xm:sqref>
        </x14:conditionalFormatting>
        <x14:conditionalFormatting xmlns:xm="http://schemas.microsoft.com/office/excel/2006/main">
          <x14:cfRule type="containsText" priority="267" operator="containsText" id="{703B4AE6-1D42-0342-9C0A-28D73B6F50C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95" operator="containsText" id="{AC2B2E89-BC43-EB4F-B1F7-84C2F4F2EFCD}">
            <xm:f>NOT(ISERROR(SEARCH("SELECT WORKS",C136)))</xm:f>
            <xm:f>"SELECT WORKS"</xm:f>
            <x14:dxf>
              <font>
                <b/>
                <i val="0"/>
                <color rgb="FFC00000"/>
              </font>
              <fill>
                <patternFill>
                  <bgColor theme="0"/>
                </patternFill>
              </fill>
            </x14:dxf>
          </x14:cfRule>
          <xm:sqref>C136:C137</xm:sqref>
        </x14:conditionalFormatting>
        <x14:conditionalFormatting xmlns:xm="http://schemas.microsoft.com/office/excel/2006/main">
          <x14:cfRule type="containsText" priority="198" operator="containsText" id="{565F3515-8346-E440-A473-9EFE1EF86F3D}">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40" operator="containsText" id="{B4355861-0A3F-6742-81A9-416D76F377A7}">
            <xm:f>NOT(ISERROR(SEARCH("SELECT WORKS",C153)))</xm:f>
            <xm:f>"SELECT WORKS"</xm:f>
            <x14:dxf>
              <font>
                <b/>
                <i val="0"/>
                <color rgb="FFC00000"/>
              </font>
              <fill>
                <patternFill>
                  <bgColor theme="0"/>
                </patternFill>
              </fill>
            </x14:dxf>
          </x14:cfRule>
          <xm:sqref>C153:C154</xm:sqref>
        </x14:conditionalFormatting>
        <x14:conditionalFormatting xmlns:xm="http://schemas.microsoft.com/office/excel/2006/main">
          <x14:cfRule type="containsText" priority="143" operator="containsText" id="{43C2D03B-EBC5-BE41-9638-49B27CA5C98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85" operator="containsText" id="{DE91D169-1543-8449-BC98-6533DBDAE772}">
            <xm:f>NOT(ISERROR(SEARCH("SELECT WORKS",C170)))</xm:f>
            <xm:f>"SELECT WORKS"</xm:f>
            <x14:dxf>
              <font>
                <b/>
                <i val="0"/>
                <color rgb="FFC00000"/>
              </font>
              <fill>
                <patternFill>
                  <bgColor theme="0"/>
                </patternFill>
              </fill>
            </x14:dxf>
          </x14:cfRule>
          <xm:sqref>C170:C171</xm:sqref>
        </x14:conditionalFormatting>
        <x14:conditionalFormatting xmlns:xm="http://schemas.microsoft.com/office/excel/2006/main">
          <x14:cfRule type="containsText" priority="88" operator="containsText" id="{98C671F7-BB48-874F-A8E5-DCD079B91853}">
            <xm:f>NOT(ISERROR(SEARCH("SELECT CLADDING",C172)))</xm:f>
            <xm:f>"SELECT CLADDING"</xm:f>
            <x14:dxf>
              <font>
                <b/>
                <i val="0"/>
                <color rgb="FFC00000"/>
              </font>
              <fill>
                <patternFill>
                  <bgColor theme="0"/>
                </patternFill>
              </fill>
            </x14:dxf>
          </x14:cfRule>
          <xm:sqref>C172</xm:sqref>
        </x14:conditionalFormatting>
        <x14:conditionalFormatting xmlns:xm="http://schemas.microsoft.com/office/excel/2006/main">
          <x14:cfRule type="containsText" priority="54" operator="containsText" id="{5031F52F-BC9E-6E47-AB09-E40A13589C86}">
            <xm:f>NOT(ISERROR(SEARCH("SELECT WORKS",C33)))</xm:f>
            <xm:f>"SELECT WORKS"</xm:f>
            <x14:dxf>
              <font>
                <b/>
                <i val="0"/>
                <color rgb="FFC00000"/>
              </font>
              <fill>
                <patternFill>
                  <bgColor theme="0"/>
                </patternFill>
              </fill>
            </x14:dxf>
          </x14:cfRule>
          <xm:sqref>C33</xm:sqref>
        </x14:conditionalFormatting>
        <x14:conditionalFormatting xmlns:xm="http://schemas.microsoft.com/office/excel/2006/main">
          <x14:cfRule type="containsText" priority="48" operator="containsText" id="{962EEBCA-11E2-D745-967B-9623DB621BC0}">
            <xm:f>NOT(ISERROR(SEARCH("SELECT WORKS",C50)))</xm:f>
            <xm:f>"SELECT WORKS"</xm:f>
            <x14:dxf>
              <font>
                <b/>
                <i val="0"/>
                <color rgb="FFC00000"/>
              </font>
              <fill>
                <patternFill>
                  <bgColor theme="0"/>
                </patternFill>
              </fill>
            </x14:dxf>
          </x14:cfRule>
          <xm:sqref>C50</xm:sqref>
        </x14:conditionalFormatting>
        <x14:conditionalFormatting xmlns:xm="http://schemas.microsoft.com/office/excel/2006/main">
          <x14:cfRule type="containsText" priority="42" operator="containsText" id="{A3273CD3-72D9-C94C-B798-34D4A573E213}">
            <xm:f>NOT(ISERROR(SEARCH("SELECT WORKS",C67)))</xm:f>
            <xm:f>"SELECT WORKS"</xm:f>
            <x14:dxf>
              <font>
                <b/>
                <i val="0"/>
                <color rgb="FFC00000"/>
              </font>
              <fill>
                <patternFill>
                  <bgColor theme="0"/>
                </patternFill>
              </fill>
            </x14:dxf>
          </x14:cfRule>
          <xm:sqref>C67</xm:sqref>
        </x14:conditionalFormatting>
        <x14:conditionalFormatting xmlns:xm="http://schemas.microsoft.com/office/excel/2006/main">
          <x14:cfRule type="containsText" priority="36" operator="containsText" id="{A298B8A0-517C-D849-8AD5-13597296BF97}">
            <xm:f>NOT(ISERROR(SEARCH("SELECT WORKS",C84)))</xm:f>
            <xm:f>"SELECT WORKS"</xm:f>
            <x14:dxf>
              <font>
                <b/>
                <i val="0"/>
                <color rgb="FFC00000"/>
              </font>
              <fill>
                <patternFill>
                  <bgColor theme="0"/>
                </patternFill>
              </fill>
            </x14:dxf>
          </x14:cfRule>
          <xm:sqref>C84</xm:sqref>
        </x14:conditionalFormatting>
        <x14:conditionalFormatting xmlns:xm="http://schemas.microsoft.com/office/excel/2006/main">
          <x14:cfRule type="containsText" priority="30" operator="containsText" id="{74FA5F8F-A6B1-0041-AD98-F2684496E74D}">
            <xm:f>NOT(ISERROR(SEARCH("SELECT WORKS",C101)))</xm:f>
            <xm:f>"SELECT WORKS"</xm:f>
            <x14:dxf>
              <font>
                <b/>
                <i val="0"/>
                <color rgb="FFC00000"/>
              </font>
              <fill>
                <patternFill>
                  <bgColor theme="0"/>
                </patternFill>
              </fill>
            </x14:dxf>
          </x14:cfRule>
          <xm:sqref>C101</xm:sqref>
        </x14:conditionalFormatting>
        <x14:conditionalFormatting xmlns:xm="http://schemas.microsoft.com/office/excel/2006/main">
          <x14:cfRule type="containsText" priority="24" operator="containsText" id="{A81F87D4-3741-744A-8585-FA0859601F4A}">
            <xm:f>NOT(ISERROR(SEARCH("SELECT WORKS",C118)))</xm:f>
            <xm:f>"SELECT WORKS"</xm:f>
            <x14:dxf>
              <font>
                <b/>
                <i val="0"/>
                <color rgb="FFC00000"/>
              </font>
              <fill>
                <patternFill>
                  <bgColor theme="0"/>
                </patternFill>
              </fill>
            </x14:dxf>
          </x14:cfRule>
          <xm:sqref>C118</xm:sqref>
        </x14:conditionalFormatting>
        <x14:conditionalFormatting xmlns:xm="http://schemas.microsoft.com/office/excel/2006/main">
          <x14:cfRule type="containsText" priority="18" operator="containsText" id="{A4B88112-A1FC-0E4A-AE60-5BC2B4361529}">
            <xm:f>NOT(ISERROR(SEARCH("SELECT WORKS",C135)))</xm:f>
            <xm:f>"SELECT WORKS"</xm:f>
            <x14:dxf>
              <font>
                <b/>
                <i val="0"/>
                <color rgb="FFC00000"/>
              </font>
              <fill>
                <patternFill>
                  <bgColor theme="0"/>
                </patternFill>
              </fill>
            </x14:dxf>
          </x14:cfRule>
          <xm:sqref>C135</xm:sqref>
        </x14:conditionalFormatting>
        <x14:conditionalFormatting xmlns:xm="http://schemas.microsoft.com/office/excel/2006/main">
          <x14:cfRule type="containsText" priority="12" operator="containsText" id="{E620E669-430B-B24B-A054-A8A3837176D8}">
            <xm:f>NOT(ISERROR(SEARCH("SELECT WORKS",C152)))</xm:f>
            <xm:f>"SELECT WORKS"</xm:f>
            <x14:dxf>
              <font>
                <b/>
                <i val="0"/>
                <color rgb="FFC00000"/>
              </font>
              <fill>
                <patternFill>
                  <bgColor theme="0"/>
                </patternFill>
              </fill>
            </x14:dxf>
          </x14:cfRule>
          <xm:sqref>C152</xm:sqref>
        </x14:conditionalFormatting>
        <x14:conditionalFormatting xmlns:xm="http://schemas.microsoft.com/office/excel/2006/main">
          <x14:cfRule type="containsText" priority="6" operator="containsText" id="{58D26230-8DC5-E34D-AC90-12EC078FA08A}">
            <xm:f>NOT(ISERROR(SEARCH("SELECT WORKS",C169)))</xm:f>
            <xm:f>"SELECT WORKS"</xm:f>
            <x14:dxf>
              <font>
                <b/>
                <i val="0"/>
                <color rgb="FFC00000"/>
              </font>
              <fill>
                <patternFill>
                  <bgColor theme="0"/>
                </patternFill>
              </fill>
            </x14:dxf>
          </x14:cfRule>
          <xm:sqref>C169</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8000C98-7546-F643-B44C-DC0284B84FE5}">
          <x14:formula1>
            <xm:f>'Base Costs'!$Q$35:$Q$45</xm:f>
          </x14:formula1>
          <xm:sqref>C43 C179 C162 C145 C60 C77 C94 C111 C26 C128</xm:sqref>
        </x14:dataValidation>
        <x14:dataValidation type="list" allowBlank="1" showInputMessage="1" showErrorMessage="1" xr:uid="{6F14A694-8930-2442-8D84-1454B0F128A1}">
          <x14:formula1>
            <xm:f>'Base Costs'!$A$19:$A$22</xm:f>
          </x14:formula1>
          <xm:sqref>C19 C172 C155 C138 C36 C87 C70 C53 C104 C121</xm:sqref>
        </x14:dataValidation>
        <x14:dataValidation type="list" allowBlank="1" showInputMessage="1" showErrorMessage="1" xr:uid="{2A8BD33F-12A2-0240-8ABB-9C45ECC5C1B9}">
          <x14:formula1>
            <xm:f>'Base Costs'!$A$4:$A$16</xm:f>
          </x14:formula1>
          <xm:sqref>D184:D185</xm:sqref>
        </x14:dataValidation>
        <x14:dataValidation type="list" allowBlank="1" showInputMessage="1" showErrorMessage="1" xr:uid="{023B94A2-2CDD-9943-B64F-F4291E9A852D}">
          <x14:formula1>
            <xm:f>'Base Costs'!$E$4:$E$213</xm:f>
          </x14:formula1>
          <xm:sqref>D183 D186</xm:sqref>
        </x14:dataValidation>
        <x14:dataValidation type="list" allowBlank="1" showInputMessage="1" showErrorMessage="1" xr:uid="{ED1B256F-FC54-8649-9319-64F5477AEC05}">
          <x14:formula1>
            <xm:f>'Base Costs'!$A$32:$A$37</xm:f>
          </x14:formula1>
          <xm:sqref>B9</xm:sqref>
        </x14:dataValidation>
        <x14:dataValidation type="list" allowBlank="1" showInputMessage="1" showErrorMessage="1" xr:uid="{8D2B8184-1336-EE41-B11F-1C7B7595CDEB}">
          <x14:formula1>
            <xm:f>CCBASE!$A$81:$A$85</xm:f>
          </x14:formula1>
          <xm:sqref>C25 C42 C93 C76 C59 C110 C127 C144 C161 C178</xm:sqref>
        </x14:dataValidation>
        <x14:dataValidation type="list" allowBlank="1" showInputMessage="1" showErrorMessage="1" xr:uid="{E78E2E0E-8289-6946-A24C-3DAEBA697F72}">
          <x14:formula1>
            <xm:f>CCBASE!$A$53:$A$73</xm:f>
          </x14:formula1>
          <xm:sqref>C67:C69 C84:C86 C33:C35 C50:C52 C16:C18 C101:C103 C118:C120 C135:C137 C152:C154 C169:C171</xm:sqref>
        </x14:dataValidation>
        <x14:dataValidation type="list" allowBlank="1" showInputMessage="1" showErrorMessage="1" xr:uid="{D03F3123-03B6-E74A-A7EF-0B828E3AF09A}">
          <x14:formula1>
            <xm:f>'Base Costs'!$A$39:$A$53</xm:f>
          </x14:formula1>
          <xm:sqref>D14 D167 D150 D133 D31 D99 D48 D82 D65 D116</xm:sqref>
        </x14:dataValidation>
        <x14:dataValidation type="list" allowBlank="1" showInputMessage="1" showErrorMessage="1" xr:uid="{B56C8DE2-E79D-5449-8730-76E650E952AA}">
          <x14:formula1>
            <xm:f>'Base Costs'!$M$4:$M$21</xm:f>
          </x14:formula1>
          <xm:sqref>C32 C168 C151 C134 C100 C49 C66 C83 C117</xm:sqref>
        </x14:dataValidation>
        <x14:dataValidation type="list" allowBlank="1" showInputMessage="1" showErrorMessage="1" xr:uid="{36C1B954-4F58-864F-B877-71E5063283E3}">
          <x14:formula1>
            <xm:f>'Base Costs'!$M$4:$M$23</xm:f>
          </x14:formula1>
          <xm:sqref>C15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C83D3-B893-1E4A-A3EE-353DDB125BFD}">
  <sheetPr>
    <tabColor theme="8" tint="0.79998168889431442"/>
    <pageSetUpPr fitToPage="1"/>
  </sheetPr>
  <dimension ref="A1:AB310"/>
  <sheetViews>
    <sheetView showGridLines="0" zoomScale="80" zoomScaleNormal="80" zoomScaleSheetLayoutView="50" workbookViewId="0">
      <selection activeCell="R29" sqref="R29"/>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e">
        <f>IF(#REF!="","",#REF!)</f>
        <v>#REF!</v>
      </c>
      <c r="D3" s="1113"/>
      <c r="F3" s="690" t="s">
        <v>78</v>
      </c>
      <c r="G3" s="1084" t="e">
        <f>IF(#REF!="","",#REF!)</f>
        <v>#REF!</v>
      </c>
      <c r="H3" s="1114"/>
      <c r="I3" s="1114" t="e">
        <f>IF(#REF!="","",#REF!)</f>
        <v>#REF!</v>
      </c>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e">
        <f>IF(#REF!="","",#REF!)</f>
        <v>#REF!</v>
      </c>
      <c r="D5" s="1083"/>
      <c r="F5" s="690" t="s">
        <v>77</v>
      </c>
      <c r="G5" s="1084" t="e">
        <f>IF(#REF!="","",#REF!)</f>
        <v>#REF!</v>
      </c>
      <c r="H5" s="1114"/>
      <c r="I5" s="1114" t="e">
        <f>IF(#REF!="","",#REF!)</f>
        <v>#REF!</v>
      </c>
      <c r="J5" s="1114"/>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e">
        <f>IF(#REF!="","",#REF!)</f>
        <v>#REF!</v>
      </c>
      <c r="D7" s="1113"/>
      <c r="F7" s="690" t="s">
        <v>76</v>
      </c>
      <c r="G7" s="1086" t="e">
        <f>IF(#REF!="","",#REF!)</f>
        <v>#REF!</v>
      </c>
      <c r="H7" s="1115"/>
      <c r="I7" s="1115" t="e">
        <f>IF(#REF!="","",#REF!)</f>
        <v>#REF!</v>
      </c>
      <c r="J7" s="1115"/>
      <c r="N7" s="699" t="s">
        <v>79</v>
      </c>
      <c r="O7" s="917" t="e">
        <f>IF(#REF!="","",#REF!)</f>
        <v>#REF!</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2"/>
      <c r="F9" s="1112"/>
      <c r="G9" s="1125"/>
      <c r="H9" s="1126"/>
      <c r="I9" s="1126"/>
      <c r="J9" s="1126"/>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7"/>
      <c r="F35" s="1108"/>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0" t="s">
        <v>1092</v>
      </c>
      <c r="F36" s="1108"/>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0" t="s">
        <v>1092</v>
      </c>
      <c r="F53" s="1108"/>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0" t="s">
        <v>1092</v>
      </c>
      <c r="F138" s="1108"/>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1027.2</v>
      </c>
      <c r="L182" s="704">
        <f>IF(K182=0,"-",O182/M182)</f>
        <v>0.39213566507684156</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7" t="s">
        <v>732</v>
      </c>
      <c r="F183" s="1108"/>
      <c r="G183" s="1109"/>
      <c r="H183" s="1109"/>
      <c r="I183" s="110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2" t="s">
        <v>892</v>
      </c>
      <c r="F185" s="1143"/>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4" t="s">
        <v>1412</v>
      </c>
      <c r="F186" s="1145"/>
      <c r="G186" s="1109"/>
      <c r="H186" s="1109"/>
      <c r="I186" s="110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0" t="s">
        <v>1414</v>
      </c>
      <c r="E189" s="1141"/>
      <c r="F189" s="1141"/>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0" t="s">
        <v>1416</v>
      </c>
      <c r="E190" s="1141"/>
      <c r="F190" s="1141"/>
      <c r="G190" s="1136" t="s">
        <v>1464</v>
      </c>
      <c r="H190" s="1136"/>
      <c r="I190" s="113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17"/>
      <c r="F193" s="111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E186:F186"/>
    <mergeCell ref="G186:I186"/>
    <mergeCell ref="D189:F189"/>
    <mergeCell ref="D190:F190"/>
    <mergeCell ref="G190:I190"/>
    <mergeCell ref="D193:F193"/>
    <mergeCell ref="H176:I176"/>
    <mergeCell ref="B182:G182"/>
    <mergeCell ref="E183:F183"/>
    <mergeCell ref="G183:I183"/>
    <mergeCell ref="E184:F184"/>
    <mergeCell ref="E185:F185"/>
    <mergeCell ref="H157:I157"/>
    <mergeCell ref="H158:I158"/>
    <mergeCell ref="H159:I159"/>
    <mergeCell ref="E172:F172"/>
    <mergeCell ref="H174:I174"/>
    <mergeCell ref="H175:I175"/>
    <mergeCell ref="H125:I125"/>
    <mergeCell ref="E138:F138"/>
    <mergeCell ref="H140:I140"/>
    <mergeCell ref="H141:I141"/>
    <mergeCell ref="H142:I142"/>
    <mergeCell ref="E155:F155"/>
    <mergeCell ref="H106:I106"/>
    <mergeCell ref="H107:I107"/>
    <mergeCell ref="H108:I108"/>
    <mergeCell ref="E121:F121"/>
    <mergeCell ref="H123:I123"/>
    <mergeCell ref="H124:I124"/>
    <mergeCell ref="H74:I74"/>
    <mergeCell ref="E87:F87"/>
    <mergeCell ref="H89:I89"/>
    <mergeCell ref="H90:I90"/>
    <mergeCell ref="H91:I91"/>
    <mergeCell ref="E104:F104"/>
    <mergeCell ref="H55:I55"/>
    <mergeCell ref="H56:I56"/>
    <mergeCell ref="H57:I57"/>
    <mergeCell ref="E70:F70"/>
    <mergeCell ref="H72:I72"/>
    <mergeCell ref="H73:I73"/>
    <mergeCell ref="E35:F35"/>
    <mergeCell ref="E36:F36"/>
    <mergeCell ref="H38:I38"/>
    <mergeCell ref="H39:I39"/>
    <mergeCell ref="H40:I40"/>
    <mergeCell ref="E53:F53"/>
    <mergeCell ref="E9:F9"/>
    <mergeCell ref="G9:J9"/>
    <mergeCell ref="E19:F19"/>
    <mergeCell ref="H21:I21"/>
    <mergeCell ref="H22:I22"/>
    <mergeCell ref="H23:I23"/>
    <mergeCell ref="B1:C1"/>
    <mergeCell ref="C3:D3"/>
    <mergeCell ref="G3:J3"/>
    <mergeCell ref="C5:D5"/>
    <mergeCell ref="G5:J5"/>
    <mergeCell ref="C7:D7"/>
    <mergeCell ref="G7:J7"/>
  </mergeCells>
  <conditionalFormatting sqref="B9">
    <cfRule type="containsText" dxfId="7128" priority="665" operator="containsText" text="SELECT">
      <formula>NOT(ISERROR(SEARCH("SELECT",B9)))</formula>
    </cfRule>
    <cfRule type="expression" dxfId="7127" priority="666">
      <formula>B9="CURRENCY"</formula>
    </cfRule>
  </conditionalFormatting>
  <conditionalFormatting sqref="B11">
    <cfRule type="expression" dxfId="7126" priority="627">
      <formula>$B11&lt;&gt;""</formula>
    </cfRule>
  </conditionalFormatting>
  <conditionalFormatting sqref="B14:B23">
    <cfRule type="expression" dxfId="7125" priority="619">
      <formula>$J14&gt;0</formula>
    </cfRule>
  </conditionalFormatting>
  <conditionalFormatting sqref="B24">
    <cfRule type="expression" dxfId="7124" priority="616">
      <formula>ISNUMBER(SEARCH("UV",$D14))</formula>
    </cfRule>
    <cfRule type="expression" dxfId="7123" priority="617">
      <formula>($D14="CANOPY TYPE")</formula>
    </cfRule>
  </conditionalFormatting>
  <conditionalFormatting sqref="B25:B27">
    <cfRule type="expression" dxfId="7122" priority="437">
      <formula>$J25&gt;0</formula>
    </cfRule>
  </conditionalFormatting>
  <conditionalFormatting sqref="B28">
    <cfRule type="expression" dxfId="7121" priority="625">
      <formula>$B28&lt;&gt;""</formula>
    </cfRule>
  </conditionalFormatting>
  <conditionalFormatting sqref="B31:B40">
    <cfRule type="expression" dxfId="7120" priority="263">
      <formula>$J31&gt;0</formula>
    </cfRule>
  </conditionalFormatting>
  <conditionalFormatting sqref="B41">
    <cfRule type="expression" dxfId="7119" priority="585">
      <formula>ISNUMBER(SEARCH("UV",$D31))</formula>
    </cfRule>
    <cfRule type="expression" dxfId="7118" priority="586">
      <formula>($D31="CANOPY TYPE")</formula>
    </cfRule>
  </conditionalFormatting>
  <conditionalFormatting sqref="B42:B44">
    <cfRule type="expression" dxfId="7117" priority="587">
      <formula>$J42&gt;0</formula>
    </cfRule>
  </conditionalFormatting>
  <conditionalFormatting sqref="B45">
    <cfRule type="expression" dxfId="7116" priority="624">
      <formula>$B45&lt;&gt;""</formula>
    </cfRule>
  </conditionalFormatting>
  <conditionalFormatting sqref="B48:B57">
    <cfRule type="expression" dxfId="7115" priority="252">
      <formula>$J48&gt;0</formula>
    </cfRule>
  </conditionalFormatting>
  <conditionalFormatting sqref="B58">
    <cfRule type="expression" dxfId="7114" priority="556">
      <formula>ISNUMBER(SEARCH("UV",$D48))</formula>
    </cfRule>
    <cfRule type="expression" dxfId="7113" priority="557">
      <formula>($D48="CANOPY TYPE")</formula>
    </cfRule>
  </conditionalFormatting>
  <conditionalFormatting sqref="B59:B61">
    <cfRule type="expression" dxfId="7112" priority="436">
      <formula>$J59&gt;0</formula>
    </cfRule>
  </conditionalFormatting>
  <conditionalFormatting sqref="B62">
    <cfRule type="expression" dxfId="7111" priority="623">
      <formula>$B62&lt;&gt;""</formula>
    </cfRule>
  </conditionalFormatting>
  <conditionalFormatting sqref="B65:B74">
    <cfRule type="expression" dxfId="7110" priority="241">
      <formula>$J65&gt;0</formula>
    </cfRule>
  </conditionalFormatting>
  <conditionalFormatting sqref="B75">
    <cfRule type="expression" dxfId="7109" priority="526">
      <formula>ISNUMBER(SEARCH("UV",$D65))</formula>
    </cfRule>
    <cfRule type="expression" dxfId="7108" priority="527">
      <formula>($D65="CANOPY TYPE")</formula>
    </cfRule>
  </conditionalFormatting>
  <conditionalFormatting sqref="B76:B78">
    <cfRule type="expression" dxfId="7107" priority="435">
      <formula>$J76&gt;0</formula>
    </cfRule>
  </conditionalFormatting>
  <conditionalFormatting sqref="B79">
    <cfRule type="expression" dxfId="7106" priority="622">
      <formula>$B79&lt;&gt;""</formula>
    </cfRule>
  </conditionalFormatting>
  <conditionalFormatting sqref="B82:B91">
    <cfRule type="expression" dxfId="7105" priority="230">
      <formula>$J82&gt;0</formula>
    </cfRule>
  </conditionalFormatting>
  <conditionalFormatting sqref="B92">
    <cfRule type="expression" dxfId="7104" priority="495">
      <formula>ISNUMBER(SEARCH("UV",$D82))</formula>
    </cfRule>
    <cfRule type="expression" dxfId="7103" priority="496">
      <formula>($D82="CANOPY TYPE")</formula>
    </cfRule>
  </conditionalFormatting>
  <conditionalFormatting sqref="B93:B95">
    <cfRule type="expression" dxfId="7102" priority="434">
      <formula>$J93&gt;0</formula>
    </cfRule>
  </conditionalFormatting>
  <conditionalFormatting sqref="B96">
    <cfRule type="expression" dxfId="7101" priority="621">
      <formula>$B96&lt;&gt;""</formula>
    </cfRule>
  </conditionalFormatting>
  <conditionalFormatting sqref="B99:B108">
    <cfRule type="expression" dxfId="7100" priority="219">
      <formula>$J99&gt;0</formula>
    </cfRule>
  </conditionalFormatting>
  <conditionalFormatting sqref="B109">
    <cfRule type="expression" dxfId="7099" priority="465">
      <formula>ISNUMBER(SEARCH("UV",$D99))</formula>
    </cfRule>
    <cfRule type="expression" dxfId="7098" priority="466">
      <formula>($D99="CANOPY TYPE")</formula>
    </cfRule>
  </conditionalFormatting>
  <conditionalFormatting sqref="B110:B112 B127:B129 B161:B163 B178:B180">
    <cfRule type="expression" dxfId="7097" priority="433">
      <formula>$J110&gt;0</formula>
    </cfRule>
  </conditionalFormatting>
  <conditionalFormatting sqref="B113">
    <cfRule type="expression" dxfId="7096" priority="325">
      <formula>$B113&lt;&gt;""</formula>
    </cfRule>
  </conditionalFormatting>
  <conditionalFormatting sqref="B116:B125">
    <cfRule type="expression" dxfId="7095" priority="208">
      <formula>$J116&gt;0</formula>
    </cfRule>
  </conditionalFormatting>
  <conditionalFormatting sqref="B126">
    <cfRule type="expression" dxfId="7094" priority="298">
      <formula>ISNUMBER(SEARCH("UV",$D116))</formula>
    </cfRule>
    <cfRule type="expression" dxfId="7093" priority="299">
      <formula>($D116="CANOPY TYPE")</formula>
    </cfRule>
  </conditionalFormatting>
  <conditionalFormatting sqref="B130">
    <cfRule type="expression" dxfId="7092" priority="189">
      <formula>$B130&lt;&gt;""</formula>
    </cfRule>
  </conditionalFormatting>
  <conditionalFormatting sqref="B133:B142">
    <cfRule type="expression" dxfId="7091" priority="21">
      <formula>$J133&gt;0</formula>
    </cfRule>
  </conditionalFormatting>
  <conditionalFormatting sqref="B143">
    <cfRule type="expression" dxfId="7090" priority="159">
      <formula>ISNUMBER(SEARCH("UV",$D133))</formula>
    </cfRule>
    <cfRule type="expression" dxfId="7089" priority="160">
      <formula>($D133="CANOPY TYPE")</formula>
    </cfRule>
  </conditionalFormatting>
  <conditionalFormatting sqref="B144:B146">
    <cfRule type="expression" dxfId="7088" priority="118">
      <formula>$J144&gt;0</formula>
    </cfRule>
  </conditionalFormatting>
  <conditionalFormatting sqref="B147">
    <cfRule type="expression" dxfId="7087" priority="188">
      <formula>$B147&lt;&gt;""</formula>
    </cfRule>
  </conditionalFormatting>
  <conditionalFormatting sqref="B150:B159">
    <cfRule type="expression" dxfId="7086" priority="10">
      <formula>$J150&gt;0</formula>
    </cfRule>
  </conditionalFormatting>
  <conditionalFormatting sqref="B160">
    <cfRule type="expression" dxfId="7085" priority="130">
      <formula>ISNUMBER(SEARCH("UV",$D150))</formula>
    </cfRule>
    <cfRule type="expression" dxfId="7084" priority="131">
      <formula>($D150="CANOPY TYPE")</formula>
    </cfRule>
  </conditionalFormatting>
  <conditionalFormatting sqref="B164">
    <cfRule type="expression" dxfId="7083" priority="81">
      <formula>$B164&lt;&gt;""</formula>
    </cfRule>
  </conditionalFormatting>
  <conditionalFormatting sqref="B167:B176">
    <cfRule type="expression" dxfId="7082" priority="5">
      <formula>$J167&gt;0</formula>
    </cfRule>
  </conditionalFormatting>
  <conditionalFormatting sqref="B177">
    <cfRule type="expression" dxfId="7081" priority="54">
      <formula>ISNUMBER(SEARCH("UV",$D167))</formula>
    </cfRule>
    <cfRule type="expression" dxfId="7080" priority="55">
      <formula>($D167="CANOPY TYPE")</formula>
    </cfRule>
  </conditionalFormatting>
  <conditionalFormatting sqref="B183:B197">
    <cfRule type="expression" dxfId="7079" priority="618">
      <formula>$C183&gt;0</formula>
    </cfRule>
  </conditionalFormatting>
  <conditionalFormatting sqref="C14">
    <cfRule type="containsText" dxfId="7078" priority="423" operator="containsText" text="CONFIG">
      <formula>NOT(ISERROR(SEARCH("CONFIG",C14)))</formula>
    </cfRule>
  </conditionalFormatting>
  <conditionalFormatting sqref="C15">
    <cfRule type="containsText" dxfId="7077" priority="428" operator="containsText" text="LIGHT SELECTION">
      <formula>NOT(ISERROR(SEARCH("LIGHT SELECTION",C15)))</formula>
    </cfRule>
  </conditionalFormatting>
  <conditionalFormatting sqref="C16:C17">
    <cfRule type="containsText" dxfId="7076" priority="674" operator="containsText" text="ANSUL SELECTION">
      <formula>NOT(ISERROR(SEARCH("ANSUL SELECTION",C16)))</formula>
    </cfRule>
  </conditionalFormatting>
  <conditionalFormatting sqref="C20:C21">
    <cfRule type="cellIs" dxfId="7073" priority="671" operator="lessThan">
      <formula>1</formula>
    </cfRule>
  </conditionalFormatting>
  <conditionalFormatting sqref="C22:C23">
    <cfRule type="expression" dxfId="7072" priority="403">
      <formula>D22="WW PODS"</formula>
    </cfRule>
  </conditionalFormatting>
  <conditionalFormatting sqref="C24">
    <cfRule type="expression" dxfId="7071" priority="689">
      <formula>ISNUMBER(SEARCH("UV",D14))</formula>
    </cfRule>
  </conditionalFormatting>
  <conditionalFormatting sqref="C25">
    <cfRule type="expression" dxfId="7070" priority="651">
      <formula>(ISNUMBER(SEARCH("CMW",D14)))=TRUE</formula>
    </cfRule>
  </conditionalFormatting>
  <conditionalFormatting sqref="C26">
    <cfRule type="expression" dxfId="7069" priority="650">
      <formula>(ISNUMBER(SEARCH("CMW",D14)))=TRUE</formula>
    </cfRule>
  </conditionalFormatting>
  <conditionalFormatting sqref="C27">
    <cfRule type="expression" dxfId="7068" priority="620">
      <formula>(ISNUMBER(SEARCH("CMW",$D14)))=TRUE</formula>
    </cfRule>
  </conditionalFormatting>
  <conditionalFormatting sqref="C31">
    <cfRule type="containsText" dxfId="7067" priority="595" operator="containsText" text="CONFIG">
      <formula>NOT(ISERROR(SEARCH("CONFIG",C31)))</formula>
    </cfRule>
  </conditionalFormatting>
  <conditionalFormatting sqref="C32">
    <cfRule type="containsText" dxfId="7066" priority="430" operator="containsText" text="LIGHT SELECTION">
      <formula>NOT(ISERROR(SEARCH("LIGHT SELECTION",C32)))</formula>
    </cfRule>
  </conditionalFormatting>
  <conditionalFormatting sqref="C33:C34">
    <cfRule type="containsText" dxfId="7065" priority="271" operator="containsText" text="ANSUL SELECTION">
      <formula>NOT(ISERROR(SEARCH("ANSUL SELECTION",C33)))</formula>
    </cfRule>
  </conditionalFormatting>
  <conditionalFormatting sqref="C37:C38">
    <cfRule type="cellIs" dxfId="7062" priority="594" operator="lessThan">
      <formula>1</formula>
    </cfRule>
  </conditionalFormatting>
  <conditionalFormatting sqref="C39:C40">
    <cfRule type="expression" dxfId="7061" priority="388">
      <formula>D39="WW PODS"</formula>
    </cfRule>
  </conditionalFormatting>
  <conditionalFormatting sqref="C41">
    <cfRule type="expression" dxfId="7060" priority="609">
      <formula>ISNUMBER(SEARCH("UV",D31))</formula>
    </cfRule>
  </conditionalFormatting>
  <conditionalFormatting sqref="C42">
    <cfRule type="expression" dxfId="7059" priority="592">
      <formula>(ISNUMBER(SEARCH("CMW",D31)))=TRUE</formula>
    </cfRule>
  </conditionalFormatting>
  <conditionalFormatting sqref="C43">
    <cfRule type="expression" dxfId="7058" priority="462">
      <formula>(ISNUMBER(SEARCH("CMW",D31)))=TRUE</formula>
    </cfRule>
  </conditionalFormatting>
  <conditionalFormatting sqref="C44">
    <cfRule type="expression" dxfId="7057" priority="588">
      <formula>(ISNUMBER(SEARCH("CMW",$D31)))=TRUE</formula>
    </cfRule>
  </conditionalFormatting>
  <conditionalFormatting sqref="C48">
    <cfRule type="containsText" dxfId="7056" priority="565" operator="containsText" text="CONFIG">
      <formula>NOT(ISERROR(SEARCH("CONFIG",C48)))</formula>
    </cfRule>
  </conditionalFormatting>
  <conditionalFormatting sqref="C49">
    <cfRule type="containsText" dxfId="7055" priority="427" operator="containsText" text="LIGHT SELECTION">
      <formula>NOT(ISERROR(SEARCH("LIGHT SELECTION",C49)))</formula>
    </cfRule>
  </conditionalFormatting>
  <conditionalFormatting sqref="C50:C51">
    <cfRule type="containsText" dxfId="7054" priority="260" operator="containsText" text="ANSUL SELECTION">
      <formula>NOT(ISERROR(SEARCH("ANSUL SELECTION",C50)))</formula>
    </cfRule>
  </conditionalFormatting>
  <conditionalFormatting sqref="C54:C55">
    <cfRule type="cellIs" dxfId="7051" priority="564" operator="lessThan">
      <formula>1</formula>
    </cfRule>
  </conditionalFormatting>
  <conditionalFormatting sqref="C56:C57">
    <cfRule type="expression" dxfId="7050" priority="373">
      <formula>D56="WW PODS"</formula>
    </cfRule>
  </conditionalFormatting>
  <conditionalFormatting sqref="C58">
    <cfRule type="expression" dxfId="7049" priority="578">
      <formula>ISNUMBER(SEARCH("UV",D48))</formula>
    </cfRule>
  </conditionalFormatting>
  <conditionalFormatting sqref="C59">
    <cfRule type="expression" dxfId="7048" priority="562">
      <formula>(ISNUMBER(SEARCH("CMW",D48)))=TRUE</formula>
    </cfRule>
  </conditionalFormatting>
  <conditionalFormatting sqref="C60">
    <cfRule type="expression" dxfId="7047" priority="461">
      <formula>(ISNUMBER(SEARCH("CMW",D48)))=TRUE</formula>
    </cfRule>
  </conditionalFormatting>
  <conditionalFormatting sqref="C61">
    <cfRule type="expression" dxfId="7046" priority="558">
      <formula>(ISNUMBER(SEARCH("CMW",$D48)))=TRUE</formula>
    </cfRule>
  </conditionalFormatting>
  <conditionalFormatting sqref="C65">
    <cfRule type="containsText" dxfId="7045" priority="536" operator="containsText" text="CONFIG">
      <formula>NOT(ISERROR(SEARCH("CONFIG",C65)))</formula>
    </cfRule>
  </conditionalFormatting>
  <conditionalFormatting sqref="C66">
    <cfRule type="containsText" dxfId="7044" priority="426" operator="containsText" text="LIGHT SELECTION">
      <formula>NOT(ISERROR(SEARCH("LIGHT SELECTION",C66)))</formula>
    </cfRule>
  </conditionalFormatting>
  <conditionalFormatting sqref="C67:C68">
    <cfRule type="containsText" dxfId="7043" priority="249" operator="containsText" text="ANSUL SELECTION">
      <formula>NOT(ISERROR(SEARCH("ANSUL SELECTION",C67)))</formula>
    </cfRule>
  </conditionalFormatting>
  <conditionalFormatting sqref="C71:C72">
    <cfRule type="cellIs" dxfId="7040" priority="535" operator="lessThan">
      <formula>1</formula>
    </cfRule>
  </conditionalFormatting>
  <conditionalFormatting sqref="C73:C74">
    <cfRule type="expression" dxfId="7039" priority="358">
      <formula>D73="WW PODS"</formula>
    </cfRule>
  </conditionalFormatting>
  <conditionalFormatting sqref="C75">
    <cfRule type="expression" dxfId="7038" priority="549">
      <formula>ISNUMBER(SEARCH("UV",D65))</formula>
    </cfRule>
  </conditionalFormatting>
  <conditionalFormatting sqref="C76">
    <cfRule type="expression" dxfId="7037" priority="532">
      <formula>(ISNUMBER(SEARCH("CMW",D65)))=TRUE</formula>
    </cfRule>
  </conditionalFormatting>
  <conditionalFormatting sqref="C77">
    <cfRule type="expression" dxfId="7036" priority="460">
      <formula>(ISNUMBER(SEARCH("CMW",D65)))=TRUE</formula>
    </cfRule>
  </conditionalFormatting>
  <conditionalFormatting sqref="C78">
    <cfRule type="expression" dxfId="7035" priority="528">
      <formula>(ISNUMBER(SEARCH("CMW",$D65)))=TRUE</formula>
    </cfRule>
  </conditionalFormatting>
  <conditionalFormatting sqref="C82">
    <cfRule type="containsText" dxfId="7034" priority="505" operator="containsText" text="CONFIG">
      <formula>NOT(ISERROR(SEARCH("CONFIG",C82)))</formula>
    </cfRule>
  </conditionalFormatting>
  <conditionalFormatting sqref="C83">
    <cfRule type="containsText" dxfId="7033" priority="425" operator="containsText" text="LIGHT SELECTION">
      <formula>NOT(ISERROR(SEARCH("LIGHT SELECTION",C83)))</formula>
    </cfRule>
  </conditionalFormatting>
  <conditionalFormatting sqref="C84:C85">
    <cfRule type="containsText" dxfId="7032" priority="238" operator="containsText" text="ANSUL SELECTION">
      <formula>NOT(ISERROR(SEARCH("ANSUL SELECTION",C84)))</formula>
    </cfRule>
  </conditionalFormatting>
  <conditionalFormatting sqref="C88:C89">
    <cfRule type="cellIs" dxfId="7029" priority="504" operator="lessThan">
      <formula>1</formula>
    </cfRule>
  </conditionalFormatting>
  <conditionalFormatting sqref="C90:C91">
    <cfRule type="expression" dxfId="7028" priority="343">
      <formula>D90="WW PODS"</formula>
    </cfRule>
  </conditionalFormatting>
  <conditionalFormatting sqref="C92">
    <cfRule type="expression" dxfId="7027" priority="519">
      <formula>ISNUMBER(SEARCH("UV",D82))</formula>
    </cfRule>
  </conditionalFormatting>
  <conditionalFormatting sqref="C93">
    <cfRule type="expression" dxfId="7026" priority="501">
      <formula>(ISNUMBER(SEARCH("CMW",D82)))=TRUE</formula>
    </cfRule>
  </conditionalFormatting>
  <conditionalFormatting sqref="C94">
    <cfRule type="expression" dxfId="7025" priority="459">
      <formula>(ISNUMBER(SEARCH("CMW",D82)))=TRUE</formula>
    </cfRule>
  </conditionalFormatting>
  <conditionalFormatting sqref="C95">
    <cfRule type="expression" dxfId="7024" priority="497">
      <formula>(ISNUMBER(SEARCH("CMW",$D82)))=TRUE</formula>
    </cfRule>
  </conditionalFormatting>
  <conditionalFormatting sqref="C99">
    <cfRule type="containsText" dxfId="7023" priority="474" operator="containsText" text="CONFIG">
      <formula>NOT(ISERROR(SEARCH("CONFIG",C99)))</formula>
    </cfRule>
  </conditionalFormatting>
  <conditionalFormatting sqref="C100">
    <cfRule type="containsText" dxfId="7022" priority="424" operator="containsText" text="LIGHT SELECTION">
      <formula>NOT(ISERROR(SEARCH("LIGHT SELECTION",C100)))</formula>
    </cfRule>
  </conditionalFormatting>
  <conditionalFormatting sqref="C101:C102">
    <cfRule type="containsText" dxfId="7021" priority="227" operator="containsText" text="ANSUL SELECTION">
      <formula>NOT(ISERROR(SEARCH("ANSUL SELECTION",C101)))</formula>
    </cfRule>
  </conditionalFormatting>
  <conditionalFormatting sqref="C105:C106">
    <cfRule type="cellIs" dxfId="7018" priority="473" operator="lessThan">
      <formula>1</formula>
    </cfRule>
  </conditionalFormatting>
  <conditionalFormatting sqref="C107:C108">
    <cfRule type="expression" dxfId="7017" priority="328">
      <formula>D107="WW PODS"</formula>
    </cfRule>
  </conditionalFormatting>
  <conditionalFormatting sqref="C109">
    <cfRule type="expression" dxfId="7016" priority="488">
      <formula>ISNUMBER(SEARCH("UV",D99))</formula>
    </cfRule>
  </conditionalFormatting>
  <conditionalFormatting sqref="C110">
    <cfRule type="expression" dxfId="7015" priority="471">
      <formula>(ISNUMBER(SEARCH("CMW",D99)))=TRUE</formula>
    </cfRule>
  </conditionalFormatting>
  <conditionalFormatting sqref="C111">
    <cfRule type="expression" dxfId="7014" priority="458">
      <formula>(ISNUMBER(SEARCH("CMW",D99)))=TRUE</formula>
    </cfRule>
  </conditionalFormatting>
  <conditionalFormatting sqref="C112 C129 C163 C180">
    <cfRule type="expression" dxfId="7013" priority="467">
      <formula>(ISNUMBER(SEARCH("CMW",$D99)))=TRUE</formula>
    </cfRule>
  </conditionalFormatting>
  <conditionalFormatting sqref="C116">
    <cfRule type="containsText" dxfId="7012" priority="306" operator="containsText" text="CONFIG">
      <formula>NOT(ISERROR(SEARCH("CONFIG",C116)))</formula>
    </cfRule>
  </conditionalFormatting>
  <conditionalFormatting sqref="C117">
    <cfRule type="containsText" dxfId="7011" priority="291" operator="containsText" text="LIGHT SELECTION">
      <formula>NOT(ISERROR(SEARCH("LIGHT SELECTION",C117)))</formula>
    </cfRule>
  </conditionalFormatting>
  <conditionalFormatting sqref="C118:C119">
    <cfRule type="containsText" dxfId="7010" priority="216" operator="containsText" text="ANSUL SELECTION">
      <formula>NOT(ISERROR(SEARCH("ANSUL SELECTION",C118)))</formula>
    </cfRule>
  </conditionalFormatting>
  <conditionalFormatting sqref="C122:C123">
    <cfRule type="cellIs" dxfId="7007" priority="305" operator="lessThan">
      <formula>1</formula>
    </cfRule>
  </conditionalFormatting>
  <conditionalFormatting sqref="C124:C125">
    <cfRule type="expression" dxfId="7006" priority="275">
      <formula>D124="WW PODS"</formula>
    </cfRule>
  </conditionalFormatting>
  <conditionalFormatting sqref="C126">
    <cfRule type="expression" dxfId="7005" priority="320">
      <formula>ISNUMBER(SEARCH("UV",D116))</formula>
    </cfRule>
  </conditionalFormatting>
  <conditionalFormatting sqref="C127">
    <cfRule type="expression" dxfId="7004" priority="303">
      <formula>(ISNUMBER(SEARCH("CMW",D116)))=TRUE</formula>
    </cfRule>
  </conditionalFormatting>
  <conditionalFormatting sqref="C128">
    <cfRule type="expression" dxfId="7003" priority="296">
      <formula>(ISNUMBER(SEARCH("CMW",D116)))=TRUE</formula>
    </cfRule>
  </conditionalFormatting>
  <conditionalFormatting sqref="C133">
    <cfRule type="containsText" dxfId="7002" priority="169" operator="containsText" text="CONFIG">
      <formula>NOT(ISERROR(SEARCH("CONFIG",C133)))</formula>
    </cfRule>
  </conditionalFormatting>
  <conditionalFormatting sqref="C134">
    <cfRule type="containsText" dxfId="7001" priority="117" operator="containsText" text="LIGHT SELECTION">
      <formula>NOT(ISERROR(SEARCH("LIGHT SELECTION",C134)))</formula>
    </cfRule>
  </conditionalFormatting>
  <conditionalFormatting sqref="C135:C136">
    <cfRule type="containsText" dxfId="7000" priority="29" operator="containsText" text="ANSUL SELECTION">
      <formula>NOT(ISERROR(SEARCH("ANSUL SELECTION",C135)))</formula>
    </cfRule>
  </conditionalFormatting>
  <conditionalFormatting sqref="C139:C140">
    <cfRule type="cellIs" dxfId="6997" priority="168" operator="lessThan">
      <formula>1</formula>
    </cfRule>
  </conditionalFormatting>
  <conditionalFormatting sqref="C141:C142">
    <cfRule type="expression" dxfId="6996" priority="99">
      <formula>D141="WW PODS"</formula>
    </cfRule>
  </conditionalFormatting>
  <conditionalFormatting sqref="C143">
    <cfRule type="expression" dxfId="6995" priority="183">
      <formula>ISNUMBER(SEARCH("UV",D133))</formula>
    </cfRule>
  </conditionalFormatting>
  <conditionalFormatting sqref="C144">
    <cfRule type="expression" dxfId="6994" priority="165">
      <formula>(ISNUMBER(SEARCH("CMW",D133)))=TRUE</formula>
    </cfRule>
  </conditionalFormatting>
  <conditionalFormatting sqref="C145">
    <cfRule type="expression" dxfId="6993" priority="128">
      <formula>(ISNUMBER(SEARCH("CMW",D133)))=TRUE</formula>
    </cfRule>
  </conditionalFormatting>
  <conditionalFormatting sqref="C146">
    <cfRule type="expression" dxfId="6992" priority="161">
      <formula>(ISNUMBER(SEARCH("CMW",$D133)))=TRUE</formula>
    </cfRule>
  </conditionalFormatting>
  <conditionalFormatting sqref="C150">
    <cfRule type="containsText" dxfId="6991" priority="138" operator="containsText" text="CONFIG">
      <formula>NOT(ISERROR(SEARCH("CONFIG",C150)))</formula>
    </cfRule>
  </conditionalFormatting>
  <conditionalFormatting sqref="C151">
    <cfRule type="containsText" dxfId="6990" priority="116" operator="containsText" text="LIGHT SELECTION">
      <formula>NOT(ISERROR(SEARCH("LIGHT SELECTION",C151)))</formula>
    </cfRule>
  </conditionalFormatting>
  <conditionalFormatting sqref="C152:C153">
    <cfRule type="containsText" dxfId="6989" priority="18" operator="containsText" text="ANSUL SELECTION">
      <formula>NOT(ISERROR(SEARCH("ANSUL SELECTION",C152)))</formula>
    </cfRule>
  </conditionalFormatting>
  <conditionalFormatting sqref="C156:C157">
    <cfRule type="cellIs" dxfId="6986" priority="137" operator="lessThan">
      <formula>1</formula>
    </cfRule>
  </conditionalFormatting>
  <conditionalFormatting sqref="C158:C159">
    <cfRule type="expression" dxfId="6985" priority="84">
      <formula>D158="WW PODS"</formula>
    </cfRule>
  </conditionalFormatting>
  <conditionalFormatting sqref="C160">
    <cfRule type="expression" dxfId="6984" priority="152">
      <formula>ISNUMBER(SEARCH("UV",D150))</formula>
    </cfRule>
  </conditionalFormatting>
  <conditionalFormatting sqref="C161">
    <cfRule type="expression" dxfId="6983" priority="135">
      <formula>(ISNUMBER(SEARCH("CMW",D150)))=TRUE</formula>
    </cfRule>
  </conditionalFormatting>
  <conditionalFormatting sqref="C162">
    <cfRule type="expression" dxfId="6982" priority="127">
      <formula>(ISNUMBER(SEARCH("CMW",D150)))=TRUE</formula>
    </cfRule>
  </conditionalFormatting>
  <conditionalFormatting sqref="C167">
    <cfRule type="containsText" dxfId="6981" priority="62" operator="containsText" text="CONFIG">
      <formula>NOT(ISERROR(SEARCH("CONFIG",C167)))</formula>
    </cfRule>
  </conditionalFormatting>
  <conditionalFormatting sqref="C168">
    <cfRule type="containsText" dxfId="6980" priority="47" operator="containsText" text="LIGHT SELECTION">
      <formula>NOT(ISERROR(SEARCH("LIGHT SELECTION",C168)))</formula>
    </cfRule>
  </conditionalFormatting>
  <conditionalFormatting sqref="C169:C170">
    <cfRule type="containsText" dxfId="6979" priority="7" operator="containsText" text="ANSUL SELECTION">
      <formula>NOT(ISERROR(SEARCH("ANSUL SELECTION",C169)))</formula>
    </cfRule>
  </conditionalFormatting>
  <conditionalFormatting sqref="C173:C174">
    <cfRule type="cellIs" dxfId="6976" priority="61" operator="lessThan">
      <formula>1</formula>
    </cfRule>
  </conditionalFormatting>
  <conditionalFormatting sqref="C175:C176">
    <cfRule type="expression" dxfId="6975" priority="31">
      <formula>D175="WW PODS"</formula>
    </cfRule>
  </conditionalFormatting>
  <conditionalFormatting sqref="C177">
    <cfRule type="expression" dxfId="6974" priority="76">
      <formula>ISNUMBER(SEARCH("UV",D167))</formula>
    </cfRule>
  </conditionalFormatting>
  <conditionalFormatting sqref="C178">
    <cfRule type="expression" dxfId="6973" priority="59">
      <formula>(ISNUMBER(SEARCH("CMW",D167)))=TRUE</formula>
    </cfRule>
  </conditionalFormatting>
  <conditionalFormatting sqref="C179">
    <cfRule type="expression" dxfId="6972" priority="52">
      <formula>(ISNUMBER(SEARCH("CMW",D167)))=TRUE</formula>
    </cfRule>
  </conditionalFormatting>
  <conditionalFormatting sqref="C183:C184">
    <cfRule type="cellIs" dxfId="6971" priority="673" operator="lessThan">
      <formula>1</formula>
    </cfRule>
  </conditionalFormatting>
  <conditionalFormatting sqref="C185:C186">
    <cfRule type="cellIs" dxfId="6970" priority="662" operator="lessThan">
      <formula>1</formula>
    </cfRule>
  </conditionalFormatting>
  <conditionalFormatting sqref="C187:C197">
    <cfRule type="cellIs" dxfId="6969" priority="273" operator="lessThan">
      <formula>1</formula>
    </cfRule>
  </conditionalFormatting>
  <conditionalFormatting sqref="C9:D9">
    <cfRule type="cellIs" dxfId="6968" priority="663" operator="lessThan">
      <formula>0</formula>
    </cfRule>
    <cfRule type="cellIs" dxfId="6967" priority="664" operator="greaterThan">
      <formula>0</formula>
    </cfRule>
  </conditionalFormatting>
  <conditionalFormatting sqref="D14">
    <cfRule type="containsText" dxfId="6966" priority="675" operator="containsText" text="CANOPY TYPE">
      <formula>NOT(ISERROR(SEARCH("CANOPY TYPE",D14)))</formula>
    </cfRule>
  </conditionalFormatting>
  <conditionalFormatting sqref="D15">
    <cfRule type="expression" dxfId="6965" priority="419">
      <formula>(C15="LIGHT SELECTION")</formula>
    </cfRule>
  </conditionalFormatting>
  <conditionalFormatting sqref="D18">
    <cfRule type="expression" dxfId="6964" priority="629">
      <formula>($C18="SELECT WORKS")</formula>
    </cfRule>
  </conditionalFormatting>
  <conditionalFormatting sqref="D19">
    <cfRule type="expression" dxfId="6963" priority="272">
      <formula>$C19="SELECT CLADDING"</formula>
    </cfRule>
  </conditionalFormatting>
  <conditionalFormatting sqref="D22:D23">
    <cfRule type="expression" dxfId="6962" priority="402">
      <formula>($D$14="CANOPY TYPE")</formula>
    </cfRule>
  </conditionalFormatting>
  <conditionalFormatting sqref="D24">
    <cfRule type="expression" dxfId="6961" priority="688">
      <formula>ISNUMBER(SEARCH("UV",D14))</formula>
    </cfRule>
  </conditionalFormatting>
  <conditionalFormatting sqref="D25">
    <cfRule type="expression" dxfId="6960" priority="614">
      <formula>($D$14="CANOPY TYPE")</formula>
    </cfRule>
  </conditionalFormatting>
  <conditionalFormatting sqref="D26">
    <cfRule type="expression" dxfId="6959" priority="637">
      <formula>(ISNUMBER(SEARCH("CMW",D14)))=TRUE</formula>
    </cfRule>
  </conditionalFormatting>
  <conditionalFormatting sqref="D31">
    <cfRule type="containsText" dxfId="6958" priority="596" operator="containsText" text="CANOPY TYPE">
      <formula>NOT(ISERROR(SEARCH("CANOPY TYPE",D31)))</formula>
    </cfRule>
  </conditionalFormatting>
  <conditionalFormatting sqref="D32">
    <cfRule type="expression" dxfId="6957" priority="432">
      <formula>(C32="LIGHT SELECTION")</formula>
    </cfRule>
  </conditionalFormatting>
  <conditionalFormatting sqref="D35">
    <cfRule type="expression" dxfId="6956" priority="589">
      <formula>($C35="SELECT WORKS")</formula>
    </cfRule>
  </conditionalFormatting>
  <conditionalFormatting sqref="D36">
    <cfRule type="expression" dxfId="6955" priority="411">
      <formula>$C36="SELECT CLADDING"</formula>
    </cfRule>
  </conditionalFormatting>
  <conditionalFormatting sqref="D39:D40">
    <cfRule type="expression" dxfId="6954" priority="387">
      <formula>($D$14="CANOPY TYPE")</formula>
    </cfRule>
  </conditionalFormatting>
  <conditionalFormatting sqref="D41">
    <cfRule type="expression" dxfId="6953" priority="608">
      <formula>ISNUMBER(SEARCH("UV",D31))</formula>
    </cfRule>
  </conditionalFormatting>
  <conditionalFormatting sqref="D42">
    <cfRule type="expression" dxfId="6952" priority="583">
      <formula>($D$14="CANOPY TYPE")</formula>
    </cfRule>
  </conditionalFormatting>
  <conditionalFormatting sqref="D43">
    <cfRule type="expression" dxfId="6951" priority="591">
      <formula>(ISNUMBER(SEARCH("CMW",D31)))=TRUE</formula>
    </cfRule>
  </conditionalFormatting>
  <conditionalFormatting sqref="D48">
    <cfRule type="containsText" dxfId="6950" priority="414" operator="containsText" text="CANOPY TYPE">
      <formula>NOT(ISERROR(SEARCH("CANOPY TYPE",D48)))</formula>
    </cfRule>
  </conditionalFormatting>
  <conditionalFormatting sqref="D49">
    <cfRule type="expression" dxfId="6949" priority="429">
      <formula>(C15="LIGHT SELECTION")</formula>
    </cfRule>
  </conditionalFormatting>
  <conditionalFormatting sqref="D52">
    <cfRule type="expression" dxfId="6948" priority="559">
      <formula>($C52="SELECT WORKS")</formula>
    </cfRule>
  </conditionalFormatting>
  <conditionalFormatting sqref="D53">
    <cfRule type="expression" dxfId="6947" priority="412">
      <formula>$C53="SELECT CLADDING"</formula>
    </cfRule>
  </conditionalFormatting>
  <conditionalFormatting sqref="D56:D57">
    <cfRule type="expression" dxfId="6946" priority="372">
      <formula>($D$14="CANOPY TYPE")</formula>
    </cfRule>
  </conditionalFormatting>
  <conditionalFormatting sqref="D58">
    <cfRule type="expression" dxfId="6945" priority="577">
      <formula>ISNUMBER(SEARCH("UV",D48))</formula>
    </cfRule>
  </conditionalFormatting>
  <conditionalFormatting sqref="D59">
    <cfRule type="expression" dxfId="6944" priority="554">
      <formula>($D$14="CANOPY TYPE")</formula>
    </cfRule>
  </conditionalFormatting>
  <conditionalFormatting sqref="D60">
    <cfRule type="expression" dxfId="6943" priority="561">
      <formula>(ISNUMBER(SEARCH("CMW",D48)))=TRUE</formula>
    </cfRule>
  </conditionalFormatting>
  <conditionalFormatting sqref="D65">
    <cfRule type="containsText" dxfId="6942" priority="413" operator="containsText" text="CANOPY TYPE">
      <formula>NOT(ISERROR(SEARCH("CANOPY TYPE",D65)))</formula>
    </cfRule>
  </conditionalFormatting>
  <conditionalFormatting sqref="D66">
    <cfRule type="expression" dxfId="6941" priority="422">
      <formula>(C66="LIGHT SELECTION")</formula>
    </cfRule>
  </conditionalFormatting>
  <conditionalFormatting sqref="D69">
    <cfRule type="expression" dxfId="6940" priority="529">
      <formula>($C69="SELECT WORKS")</formula>
    </cfRule>
  </conditionalFormatting>
  <conditionalFormatting sqref="D70">
    <cfRule type="expression" dxfId="6939" priority="533">
      <formula>$C70="SELECT CLADDING"</formula>
    </cfRule>
  </conditionalFormatting>
  <conditionalFormatting sqref="D73:D74">
    <cfRule type="expression" dxfId="6938" priority="357">
      <formula>($D$14="CANOPY TYPE")</formula>
    </cfRule>
  </conditionalFormatting>
  <conditionalFormatting sqref="D75">
    <cfRule type="expression" dxfId="6937" priority="548">
      <formula>ISNUMBER(SEARCH("UV",D65))</formula>
    </cfRule>
  </conditionalFormatting>
  <conditionalFormatting sqref="D76">
    <cfRule type="expression" dxfId="6936" priority="524">
      <formula>($D$14="CANOPY TYPE")</formula>
    </cfRule>
  </conditionalFormatting>
  <conditionalFormatting sqref="D77">
    <cfRule type="expression" dxfId="6935" priority="531">
      <formula>(ISNUMBER(SEARCH("CMW",D65)))=TRUE</formula>
    </cfRule>
  </conditionalFormatting>
  <conditionalFormatting sqref="D82">
    <cfRule type="containsText" dxfId="6934" priority="506" operator="containsText" text="CANOPY TYPE">
      <formula>NOT(ISERROR(SEARCH("CANOPY TYPE",D82)))</formula>
    </cfRule>
  </conditionalFormatting>
  <conditionalFormatting sqref="D83">
    <cfRule type="expression" dxfId="6933" priority="421">
      <formula>(C83="LIGHT SELECTION")</formula>
    </cfRule>
  </conditionalFormatting>
  <conditionalFormatting sqref="D86">
    <cfRule type="expression" dxfId="6932" priority="498">
      <formula>($C86="SELECT WORKS")</formula>
    </cfRule>
  </conditionalFormatting>
  <conditionalFormatting sqref="D87">
    <cfRule type="expression" dxfId="6931" priority="502">
      <formula>$C87="SELECT CLADDING"</formula>
    </cfRule>
  </conditionalFormatting>
  <conditionalFormatting sqref="D90:D91">
    <cfRule type="expression" dxfId="6930" priority="342">
      <formula>($D$14="CANOPY TYPE")</formula>
    </cfRule>
  </conditionalFormatting>
  <conditionalFormatting sqref="D92">
    <cfRule type="expression" dxfId="6929" priority="518">
      <formula>ISNUMBER(SEARCH("UV",D82))</formula>
    </cfRule>
  </conditionalFormatting>
  <conditionalFormatting sqref="D93">
    <cfRule type="expression" dxfId="6928" priority="493">
      <formula>($D$14="CANOPY TYPE")</formula>
    </cfRule>
  </conditionalFormatting>
  <conditionalFormatting sqref="D94">
    <cfRule type="expression" dxfId="6927" priority="500">
      <formula>(ISNUMBER(SEARCH("CMW",D82)))=TRUE</formula>
    </cfRule>
  </conditionalFormatting>
  <conditionalFormatting sqref="D99">
    <cfRule type="containsText" dxfId="6926" priority="475" operator="containsText" text="CANOPY TYPE">
      <formula>NOT(ISERROR(SEARCH("CANOPY TYPE",D99)))</formula>
    </cfRule>
  </conditionalFormatting>
  <conditionalFormatting sqref="D100">
    <cfRule type="expression" dxfId="6925" priority="420">
      <formula>(C100="LIGHT SELECTION")</formula>
    </cfRule>
  </conditionalFormatting>
  <conditionalFormatting sqref="D103">
    <cfRule type="expression" dxfId="6924" priority="468">
      <formula>($C103="SELECT WORKS")</formula>
    </cfRule>
  </conditionalFormatting>
  <conditionalFormatting sqref="D104">
    <cfRule type="expression" dxfId="6923" priority="410">
      <formula>$C104="SELECT CLADDING"</formula>
    </cfRule>
  </conditionalFormatting>
  <conditionalFormatting sqref="D107:D108">
    <cfRule type="expression" dxfId="6922" priority="327">
      <formula>($D$14="CANOPY TYPE")</formula>
    </cfRule>
  </conditionalFormatting>
  <conditionalFormatting sqref="D109">
    <cfRule type="expression" dxfId="6921" priority="487">
      <formula>ISNUMBER(SEARCH("UV",D99))</formula>
    </cfRule>
  </conditionalFormatting>
  <conditionalFormatting sqref="D110">
    <cfRule type="expression" dxfId="6920" priority="463">
      <formula>($D$14="CANOPY TYPE")</formula>
    </cfRule>
  </conditionalFormatting>
  <conditionalFormatting sqref="D111">
    <cfRule type="expression" dxfId="6919" priority="470">
      <formula>(ISNUMBER(SEARCH("CMW",D99)))=TRUE</formula>
    </cfRule>
  </conditionalFormatting>
  <conditionalFormatting sqref="D116">
    <cfRule type="containsText" dxfId="6918" priority="307" operator="containsText" text="CANOPY TYPE">
      <formula>NOT(ISERROR(SEARCH("CANOPY TYPE",D116)))</formula>
    </cfRule>
  </conditionalFormatting>
  <conditionalFormatting sqref="D117">
    <cfRule type="expression" dxfId="6917" priority="290">
      <formula>(C117="LIGHT SELECTION")</formula>
    </cfRule>
  </conditionalFormatting>
  <conditionalFormatting sqref="D120">
    <cfRule type="expression" dxfId="6916" priority="300">
      <formula>($C120="SELECT WORKS")</formula>
    </cfRule>
  </conditionalFormatting>
  <conditionalFormatting sqref="D121">
    <cfRule type="expression" dxfId="6915" priority="289">
      <formula>$C121="SELECT CLADDING"</formula>
    </cfRule>
  </conditionalFormatting>
  <conditionalFormatting sqref="D124:D125">
    <cfRule type="expression" dxfId="6914" priority="274">
      <formula>($D$14="CANOPY TYPE")</formula>
    </cfRule>
  </conditionalFormatting>
  <conditionalFormatting sqref="D126">
    <cfRule type="expression" dxfId="6913" priority="319">
      <formula>ISNUMBER(SEARCH("UV",D116))</formula>
    </cfRule>
  </conditionalFormatting>
  <conditionalFormatting sqref="D127">
    <cfRule type="expression" dxfId="6912" priority="297">
      <formula>($D$14="CANOPY TYPE")</formula>
    </cfRule>
  </conditionalFormatting>
  <conditionalFormatting sqref="D128">
    <cfRule type="expression" dxfId="6911" priority="302">
      <formula>(ISNUMBER(SEARCH("CMW",D116)))=TRUE</formula>
    </cfRule>
  </conditionalFormatting>
  <conditionalFormatting sqref="D133">
    <cfRule type="containsText" dxfId="6910" priority="170" operator="containsText" text="CANOPY TYPE">
      <formula>NOT(ISERROR(SEARCH("CANOPY TYPE",D133)))</formula>
    </cfRule>
  </conditionalFormatting>
  <conditionalFormatting sqref="D134">
    <cfRule type="expression" dxfId="6909" priority="115">
      <formula>(C134="LIGHT SELECTION")</formula>
    </cfRule>
  </conditionalFormatting>
  <conditionalFormatting sqref="D137">
    <cfRule type="expression" dxfId="6908" priority="162">
      <formula>($C137="SELECT WORKS")</formula>
    </cfRule>
  </conditionalFormatting>
  <conditionalFormatting sqref="D138">
    <cfRule type="expression" dxfId="6907" priority="166">
      <formula>$C138="SELECT CLADDING"</formula>
    </cfRule>
  </conditionalFormatting>
  <conditionalFormatting sqref="D141:D142">
    <cfRule type="expression" dxfId="6906" priority="98">
      <formula>($D$14="CANOPY TYPE")</formula>
    </cfRule>
  </conditionalFormatting>
  <conditionalFormatting sqref="D143">
    <cfRule type="expression" dxfId="6905" priority="182">
      <formula>ISNUMBER(SEARCH("UV",D133))</formula>
    </cfRule>
  </conditionalFormatting>
  <conditionalFormatting sqref="D144">
    <cfRule type="expression" dxfId="6904" priority="157">
      <formula>($D$14="CANOPY TYPE")</formula>
    </cfRule>
  </conditionalFormatting>
  <conditionalFormatting sqref="D145">
    <cfRule type="expression" dxfId="6903" priority="164">
      <formula>(ISNUMBER(SEARCH("CMW",D133)))=TRUE</formula>
    </cfRule>
  </conditionalFormatting>
  <conditionalFormatting sqref="D150">
    <cfRule type="containsText" dxfId="6902" priority="139" operator="containsText" text="CANOPY TYPE">
      <formula>NOT(ISERROR(SEARCH("CANOPY TYPE",D150)))</formula>
    </cfRule>
  </conditionalFormatting>
  <conditionalFormatting sqref="D151">
    <cfRule type="expression" dxfId="6901" priority="114">
      <formula>(C151="LIGHT SELECTION")</formula>
    </cfRule>
  </conditionalFormatting>
  <conditionalFormatting sqref="D154">
    <cfRule type="expression" dxfId="6900" priority="132">
      <formula>($C154="SELECT WORKS")</formula>
    </cfRule>
  </conditionalFormatting>
  <conditionalFormatting sqref="D155">
    <cfRule type="expression" dxfId="6899" priority="113">
      <formula>$C155="SELECT CLADDING"</formula>
    </cfRule>
  </conditionalFormatting>
  <conditionalFormatting sqref="D158:D159">
    <cfRule type="expression" dxfId="6898" priority="83">
      <formula>($D$14="CANOPY TYPE")</formula>
    </cfRule>
  </conditionalFormatting>
  <conditionalFormatting sqref="D160">
    <cfRule type="expression" dxfId="6897" priority="151">
      <formula>ISNUMBER(SEARCH("UV",D150))</formula>
    </cfRule>
  </conditionalFormatting>
  <conditionalFormatting sqref="D161">
    <cfRule type="expression" dxfId="6896" priority="129">
      <formula>($D$14="CANOPY TYPE")</formula>
    </cfRule>
  </conditionalFormatting>
  <conditionalFormatting sqref="D162">
    <cfRule type="expression" dxfId="6895" priority="134">
      <formula>(ISNUMBER(SEARCH("CMW",D150)))=TRUE</formula>
    </cfRule>
  </conditionalFormatting>
  <conditionalFormatting sqref="D167">
    <cfRule type="containsText" dxfId="6894" priority="63" operator="containsText" text="CANOPY TYPE">
      <formula>NOT(ISERROR(SEARCH("CANOPY TYPE",D167)))</formula>
    </cfRule>
  </conditionalFormatting>
  <conditionalFormatting sqref="D168">
    <cfRule type="expression" dxfId="6893" priority="46">
      <formula>(C168="LIGHT SELECTION")</formula>
    </cfRule>
  </conditionalFormatting>
  <conditionalFormatting sqref="D171">
    <cfRule type="expression" dxfId="6892" priority="56">
      <formula>($C171="SELECT WORKS")</formula>
    </cfRule>
  </conditionalFormatting>
  <conditionalFormatting sqref="D172">
    <cfRule type="expression" dxfId="6891" priority="45">
      <formula>$C172="SELECT CLADDING"</formula>
    </cfRule>
  </conditionalFormatting>
  <conditionalFormatting sqref="D175:D176">
    <cfRule type="expression" dxfId="6890" priority="30">
      <formula>($D$14="CANOPY TYPE")</formula>
    </cfRule>
  </conditionalFormatting>
  <conditionalFormatting sqref="D177">
    <cfRule type="expression" dxfId="6889" priority="75">
      <formula>ISNUMBER(SEARCH("UV",D167))</formula>
    </cfRule>
  </conditionalFormatting>
  <conditionalFormatting sqref="D178">
    <cfRule type="expression" dxfId="6888" priority="53">
      <formula>($D$14="CANOPY TYPE")</formula>
    </cfRule>
  </conditionalFormatting>
  <conditionalFormatting sqref="D179">
    <cfRule type="expression" dxfId="6887" priority="58">
      <formula>(ISNUMBER(SEARCH("CMW",D167)))=TRUE</formula>
    </cfRule>
  </conditionalFormatting>
  <conditionalFormatting sqref="E12">
    <cfRule type="expression" dxfId="6886" priority="685">
      <formula>AND((ISNUMBER(SEARCH("I-MUAP",$D$14))),E12&lt;2500)</formula>
    </cfRule>
    <cfRule type="expression" dxfId="6885" priority="686">
      <formula>ISNUMBER(SEARCH("I-MUAP",$D$14))</formula>
    </cfRule>
    <cfRule type="cellIs" dxfId="6884" priority="687" operator="greaterThan">
      <formula>2000</formula>
    </cfRule>
  </conditionalFormatting>
  <conditionalFormatting sqref="E15">
    <cfRule type="expression" dxfId="6883" priority="417">
      <formula>(C15="LIGHT SELECTION")</formula>
    </cfRule>
  </conditionalFormatting>
  <conditionalFormatting sqref="E17:E18">
    <cfRule type="expression" dxfId="6882" priority="628">
      <formula>$C17="SELECT WORKS"</formula>
    </cfRule>
  </conditionalFormatting>
  <conditionalFormatting sqref="E22:E23">
    <cfRule type="expression" dxfId="6881" priority="667">
      <formula>D22="WW PODS"</formula>
    </cfRule>
    <cfRule type="expression" dxfId="6880" priority="668">
      <formula>D22="FILTER TYPE"</formula>
    </cfRule>
    <cfRule type="expression" dxfId="6879" priority="669">
      <formula>D22="KSA"</formula>
    </cfRule>
    <cfRule type="expression" dxfId="6878" priority="690">
      <formula>(D14="CANOPY TYPE")</formula>
    </cfRule>
  </conditionalFormatting>
  <conditionalFormatting sqref="E24">
    <cfRule type="containsText" dxfId="6877" priority="677" operator="containsText" text="LONG ">
      <formula>NOT(ISERROR(SEARCH("LONG ",E24)))</formula>
    </cfRule>
  </conditionalFormatting>
  <conditionalFormatting sqref="E29">
    <cfRule type="expression" dxfId="6876" priority="605">
      <formula>AND((ISNUMBER(SEARCH("I-MUAP",$D$14))),E29&lt;2500)</formula>
    </cfRule>
    <cfRule type="expression" dxfId="6875" priority="606">
      <formula>ISNUMBER(SEARCH("I-MUAP",$D$14))</formula>
    </cfRule>
    <cfRule type="cellIs" dxfId="6874" priority="607" operator="greaterThan">
      <formula>2000</formula>
    </cfRule>
  </conditionalFormatting>
  <conditionalFormatting sqref="E34">
    <cfRule type="expression" dxfId="6873" priority="264">
      <formula>$C34="SELECT WORKS"</formula>
    </cfRule>
  </conditionalFormatting>
  <conditionalFormatting sqref="E39:E40">
    <cfRule type="expression" dxfId="6872" priority="389">
      <formula>D39="WW PODS"</formula>
    </cfRule>
    <cfRule type="expression" dxfId="6871" priority="390">
      <formula>D39="FILTER TYPE"</formula>
    </cfRule>
    <cfRule type="expression" dxfId="6870" priority="391">
      <formula>D39="KSA"</formula>
    </cfRule>
    <cfRule type="expression" dxfId="6869" priority="392">
      <formula>(D31="CANOPY TYPE")</formula>
    </cfRule>
  </conditionalFormatting>
  <conditionalFormatting sqref="E41">
    <cfRule type="containsText" dxfId="6868" priority="598" operator="containsText" text="LONG ">
      <formula>NOT(ISERROR(SEARCH("LONG ",E41)))</formula>
    </cfRule>
  </conditionalFormatting>
  <conditionalFormatting sqref="E46">
    <cfRule type="expression" dxfId="6867" priority="574">
      <formula>AND((ISNUMBER(SEARCH("I-MUAP",$D$14))),E46&lt;2500)</formula>
    </cfRule>
    <cfRule type="expression" dxfId="6866" priority="575">
      <formula>ISNUMBER(SEARCH("I-MUAP",$D$14))</formula>
    </cfRule>
    <cfRule type="cellIs" dxfId="6865" priority="576" operator="greaterThan">
      <formula>2000</formula>
    </cfRule>
  </conditionalFormatting>
  <conditionalFormatting sqref="E49">
    <cfRule type="expression" dxfId="6864" priority="431">
      <formula>(C49="LIGHT SELECTION")</formula>
    </cfRule>
  </conditionalFormatting>
  <conditionalFormatting sqref="E51:E52">
    <cfRule type="expression" dxfId="6863" priority="253">
      <formula>$C51="SELECT WORKS"</formula>
    </cfRule>
  </conditionalFormatting>
  <conditionalFormatting sqref="E56:E57">
    <cfRule type="expression" dxfId="6862" priority="374">
      <formula>D56="WW PODS"</formula>
    </cfRule>
    <cfRule type="expression" dxfId="6861" priority="375">
      <formula>D56="FILTER TYPE"</formula>
    </cfRule>
    <cfRule type="expression" dxfId="6860" priority="376">
      <formula>D56="KSA"</formula>
    </cfRule>
    <cfRule type="expression" dxfId="6859" priority="377">
      <formula>(D48="CANOPY TYPE")</formula>
    </cfRule>
  </conditionalFormatting>
  <conditionalFormatting sqref="E58">
    <cfRule type="containsText" dxfId="6858" priority="567" operator="containsText" text="LONG ">
      <formula>NOT(ISERROR(SEARCH("LONG ",E58)))</formula>
    </cfRule>
  </conditionalFormatting>
  <conditionalFormatting sqref="E63">
    <cfRule type="expression" dxfId="6857" priority="545">
      <formula>AND((ISNUMBER(SEARCH("I-MUAP",$D$14))),E63&lt;2500)</formula>
    </cfRule>
    <cfRule type="expression" dxfId="6856" priority="546">
      <formula>ISNUMBER(SEARCH("I-MUAP",$D$14))</formula>
    </cfRule>
    <cfRule type="cellIs" dxfId="6855" priority="547" operator="greaterThan">
      <formula>2000</formula>
    </cfRule>
  </conditionalFormatting>
  <conditionalFormatting sqref="E68:E69">
    <cfRule type="expression" dxfId="6854" priority="242">
      <formula>$C68="SELECT WORKS"</formula>
    </cfRule>
  </conditionalFormatting>
  <conditionalFormatting sqref="E73:E74">
    <cfRule type="expression" dxfId="6853" priority="359">
      <formula>D73="WW PODS"</formula>
    </cfRule>
    <cfRule type="expression" dxfId="6852" priority="360">
      <formula>D73="FILTER TYPE"</formula>
    </cfRule>
    <cfRule type="expression" dxfId="6851" priority="361">
      <formula>D73="KSA"</formula>
    </cfRule>
    <cfRule type="expression" dxfId="6850" priority="362">
      <formula>(D65="CANOPY TYPE")</formula>
    </cfRule>
  </conditionalFormatting>
  <conditionalFormatting sqref="E75">
    <cfRule type="containsText" dxfId="6849" priority="538" operator="containsText" text="LONG ">
      <formula>NOT(ISERROR(SEARCH("LONG ",E75)))</formula>
    </cfRule>
  </conditionalFormatting>
  <conditionalFormatting sqref="E80">
    <cfRule type="expression" dxfId="6848" priority="515">
      <formula>AND((ISNUMBER(SEARCH("I-MUAP",$D$14))),E80&lt;2500)</formula>
    </cfRule>
    <cfRule type="expression" dxfId="6847" priority="516">
      <formula>ISNUMBER(SEARCH("I-MUAP",$D$14))</formula>
    </cfRule>
    <cfRule type="cellIs" dxfId="6846" priority="517" operator="greaterThan">
      <formula>2000</formula>
    </cfRule>
  </conditionalFormatting>
  <conditionalFormatting sqref="E85:E86">
    <cfRule type="expression" dxfId="6845" priority="231">
      <formula>$C85="SELECT WORKS"</formula>
    </cfRule>
  </conditionalFormatting>
  <conditionalFormatting sqref="E90:E91">
    <cfRule type="expression" dxfId="6844" priority="344">
      <formula>D90="WW PODS"</formula>
    </cfRule>
    <cfRule type="expression" dxfId="6843" priority="345">
      <formula>D90="FILTER TYPE"</formula>
    </cfRule>
    <cfRule type="expression" dxfId="6842" priority="346">
      <formula>D90="KSA"</formula>
    </cfRule>
    <cfRule type="expression" dxfId="6841" priority="347">
      <formula>(D82="CANOPY TYPE")</formula>
    </cfRule>
  </conditionalFormatting>
  <conditionalFormatting sqref="E92">
    <cfRule type="containsText" dxfId="6840" priority="508" operator="containsText" text="LONG ">
      <formula>NOT(ISERROR(SEARCH("LONG ",E92)))</formula>
    </cfRule>
  </conditionalFormatting>
  <conditionalFormatting sqref="E97">
    <cfRule type="expression" dxfId="6839" priority="484">
      <formula>AND((ISNUMBER(SEARCH("I-MUAP",$D$14))),E97&lt;2500)</formula>
    </cfRule>
    <cfRule type="expression" dxfId="6838" priority="485">
      <formula>ISNUMBER(SEARCH("I-MUAP",$D$14))</formula>
    </cfRule>
    <cfRule type="cellIs" dxfId="6837" priority="486" operator="greaterThan">
      <formula>2000</formula>
    </cfRule>
  </conditionalFormatting>
  <conditionalFormatting sqref="E102:E103">
    <cfRule type="expression" dxfId="6836" priority="220">
      <formula>$C102="SELECT WORKS"</formula>
    </cfRule>
  </conditionalFormatting>
  <conditionalFormatting sqref="E107:E108">
    <cfRule type="expression" dxfId="6835" priority="329">
      <formula>D107="WW PODS"</formula>
    </cfRule>
    <cfRule type="expression" dxfId="6834" priority="330">
      <formula>D107="FILTER TYPE"</formula>
    </cfRule>
    <cfRule type="expression" dxfId="6833" priority="331">
      <formula>D107="KSA"</formula>
    </cfRule>
    <cfRule type="expression" dxfId="6832" priority="332">
      <formula>(D99="CANOPY TYPE")</formula>
    </cfRule>
  </conditionalFormatting>
  <conditionalFormatting sqref="E109">
    <cfRule type="containsText" dxfId="6831" priority="477" operator="containsText" text="LONG ">
      <formula>NOT(ISERROR(SEARCH("LONG ",E109)))</formula>
    </cfRule>
  </conditionalFormatting>
  <conditionalFormatting sqref="E114">
    <cfRule type="expression" dxfId="6830" priority="316">
      <formula>AND((ISNUMBER(SEARCH("I-MUAP",$D$14))),E114&lt;2500)</formula>
    </cfRule>
    <cfRule type="expression" dxfId="6829" priority="317">
      <formula>ISNUMBER(SEARCH("I-MUAP",$D$14))</formula>
    </cfRule>
    <cfRule type="cellIs" dxfId="6828" priority="318" operator="greaterThan">
      <formula>2000</formula>
    </cfRule>
  </conditionalFormatting>
  <conditionalFormatting sqref="E119:E120">
    <cfRule type="expression" dxfId="6827" priority="209">
      <formula>$C119="SELECT WORKS"</formula>
    </cfRule>
  </conditionalFormatting>
  <conditionalFormatting sqref="E124:E125">
    <cfRule type="expression" dxfId="6826" priority="276">
      <formula>D124="WW PODS"</formula>
    </cfRule>
    <cfRule type="expression" dxfId="6825" priority="277">
      <formula>D124="FILTER TYPE"</formula>
    </cfRule>
    <cfRule type="expression" dxfId="6824" priority="278">
      <formula>D124="KSA"</formula>
    </cfRule>
    <cfRule type="expression" dxfId="6823" priority="279">
      <formula>(D116="CANOPY TYPE")</formula>
    </cfRule>
  </conditionalFormatting>
  <conditionalFormatting sqref="E126">
    <cfRule type="containsText" dxfId="6822" priority="309" operator="containsText" text="LONG ">
      <formula>NOT(ISERROR(SEARCH("LONG ",E126)))</formula>
    </cfRule>
  </conditionalFormatting>
  <conditionalFormatting sqref="E131">
    <cfRule type="expression" dxfId="6821" priority="179">
      <formula>AND((ISNUMBER(SEARCH("I-MUAP",$D$14))),E131&lt;2500)</formula>
    </cfRule>
    <cfRule type="expression" dxfId="6820" priority="180">
      <formula>ISNUMBER(SEARCH("I-MUAP",$D$14))</formula>
    </cfRule>
    <cfRule type="cellIs" dxfId="6819" priority="181" operator="greaterThan">
      <formula>2000</formula>
    </cfRule>
  </conditionalFormatting>
  <conditionalFormatting sqref="E136:E137">
    <cfRule type="expression" dxfId="6818" priority="22">
      <formula>$C136="SELECT WORKS"</formula>
    </cfRule>
  </conditionalFormatting>
  <conditionalFormatting sqref="E141:E142">
    <cfRule type="expression" dxfId="6817" priority="100">
      <formula>D141="WW PODS"</formula>
    </cfRule>
    <cfRule type="expression" dxfId="6816" priority="101">
      <formula>D141="FILTER TYPE"</formula>
    </cfRule>
    <cfRule type="expression" dxfId="6815" priority="102">
      <formula>D141="KSA"</formula>
    </cfRule>
    <cfRule type="expression" dxfId="6814" priority="103">
      <formula>(D133="CANOPY TYPE")</formula>
    </cfRule>
  </conditionalFormatting>
  <conditionalFormatting sqref="E143">
    <cfRule type="containsText" dxfId="6813" priority="172" operator="containsText" text="LONG ">
      <formula>NOT(ISERROR(SEARCH("LONG ",E143)))</formula>
    </cfRule>
  </conditionalFormatting>
  <conditionalFormatting sqref="E148">
    <cfRule type="expression" dxfId="6812" priority="148">
      <formula>AND((ISNUMBER(SEARCH("I-MUAP",$D$14))),E148&lt;2500)</formula>
    </cfRule>
    <cfRule type="expression" dxfId="6811" priority="149">
      <formula>ISNUMBER(SEARCH("I-MUAP",$D$14))</formula>
    </cfRule>
    <cfRule type="cellIs" dxfId="6810" priority="150" operator="greaterThan">
      <formula>2000</formula>
    </cfRule>
  </conditionalFormatting>
  <conditionalFormatting sqref="E153:E154">
    <cfRule type="expression" dxfId="6809" priority="11">
      <formula>$C153="SELECT WORKS"</formula>
    </cfRule>
  </conditionalFormatting>
  <conditionalFormatting sqref="E158:E159">
    <cfRule type="expression" dxfId="6808" priority="85">
      <formula>D158="WW PODS"</formula>
    </cfRule>
    <cfRule type="expression" dxfId="6807" priority="86">
      <formula>D158="FILTER TYPE"</formula>
    </cfRule>
    <cfRule type="expression" dxfId="6806" priority="87">
      <formula>D158="KSA"</formula>
    </cfRule>
    <cfRule type="expression" dxfId="6805" priority="88">
      <formula>(D150="CANOPY TYPE")</formula>
    </cfRule>
  </conditionalFormatting>
  <conditionalFormatting sqref="E160">
    <cfRule type="containsText" dxfId="6804" priority="141" operator="containsText" text="LONG ">
      <formula>NOT(ISERROR(SEARCH("LONG ",E160)))</formula>
    </cfRule>
  </conditionalFormatting>
  <conditionalFormatting sqref="E165">
    <cfRule type="expression" dxfId="6803" priority="72">
      <formula>AND((ISNUMBER(SEARCH("I-MUAP",$D$14))),E165&lt;2500)</formula>
    </cfRule>
    <cfRule type="expression" dxfId="6802" priority="73">
      <formula>ISNUMBER(SEARCH("I-MUAP",$D$14))</formula>
    </cfRule>
    <cfRule type="cellIs" dxfId="6801" priority="74" operator="greaterThan">
      <formula>2000</formula>
    </cfRule>
  </conditionalFormatting>
  <conditionalFormatting sqref="E170:E171">
    <cfRule type="expression" dxfId="6800" priority="6">
      <formula>$C170="SELECT WORKS"</formula>
    </cfRule>
  </conditionalFormatting>
  <conditionalFormatting sqref="E175:E176">
    <cfRule type="expression" dxfId="6799" priority="32">
      <formula>D175="WW PODS"</formula>
    </cfRule>
    <cfRule type="expression" dxfId="6798" priority="33">
      <formula>D175="FILTER TYPE"</formula>
    </cfRule>
    <cfRule type="expression" dxfId="6797" priority="34">
      <formula>D175="KSA"</formula>
    </cfRule>
    <cfRule type="expression" dxfId="6796" priority="35">
      <formula>(D167="CANOPY TYPE")</formula>
    </cfRule>
  </conditionalFormatting>
  <conditionalFormatting sqref="E177">
    <cfRule type="containsText" dxfId="6795" priority="65" operator="containsText" text="LONG ">
      <formula>NOT(ISERROR(SEARCH("LONG ",E177)))</formula>
    </cfRule>
  </conditionalFormatting>
  <conditionalFormatting sqref="E12:F12">
    <cfRule type="cellIs" dxfId="6794" priority="681" operator="lessThan">
      <formula>1000</formula>
    </cfRule>
  </conditionalFormatting>
  <conditionalFormatting sqref="E14:F14">
    <cfRule type="cellIs" dxfId="6793" priority="678" operator="lessThan">
      <formula>1000</formula>
    </cfRule>
  </conditionalFormatting>
  <conditionalFormatting sqref="E25:F27">
    <cfRule type="expression" dxfId="6792" priority="615">
      <formula>($D$14="CANOPY TYPE")</formula>
    </cfRule>
  </conditionalFormatting>
  <conditionalFormatting sqref="E29:F29">
    <cfRule type="cellIs" dxfId="6791" priority="602" operator="lessThan">
      <formula>1000</formula>
    </cfRule>
  </conditionalFormatting>
  <conditionalFormatting sqref="E31:F31">
    <cfRule type="cellIs" dxfId="6790" priority="599" operator="lessThan">
      <formula>1000</formula>
    </cfRule>
  </conditionalFormatting>
  <conditionalFormatting sqref="E32:F32">
    <cfRule type="expression" dxfId="6789" priority="455">
      <formula>(C32="LIGHT SELECTION")</formula>
    </cfRule>
  </conditionalFormatting>
  <conditionalFormatting sqref="E42:F44">
    <cfRule type="expression" dxfId="6788" priority="584">
      <formula>($D$14="CANOPY TYPE")</formula>
    </cfRule>
  </conditionalFormatting>
  <conditionalFormatting sqref="E46:F46">
    <cfRule type="cellIs" dxfId="6787" priority="571" operator="lessThan">
      <formula>1000</formula>
    </cfRule>
  </conditionalFormatting>
  <conditionalFormatting sqref="E48:F48">
    <cfRule type="cellIs" dxfId="6786" priority="568" operator="lessThan">
      <formula>1000</formula>
    </cfRule>
  </conditionalFormatting>
  <conditionalFormatting sqref="E59:F61">
    <cfRule type="expression" dxfId="6785" priority="555">
      <formula>($D$14="CANOPY TYPE")</formula>
    </cfRule>
  </conditionalFormatting>
  <conditionalFormatting sqref="E63:F63">
    <cfRule type="cellIs" dxfId="6784" priority="542" operator="lessThan">
      <formula>1000</formula>
    </cfRule>
  </conditionalFormatting>
  <conditionalFormatting sqref="E65:F65">
    <cfRule type="cellIs" dxfId="6783" priority="539" operator="lessThan">
      <formula>1000</formula>
    </cfRule>
  </conditionalFormatting>
  <conditionalFormatting sqref="E66:F66">
    <cfRule type="expression" dxfId="6782" priority="448">
      <formula>(C66="LIGHT SELECTION")</formula>
    </cfRule>
  </conditionalFormatting>
  <conditionalFormatting sqref="E76:F78">
    <cfRule type="expression" dxfId="6781" priority="525">
      <formula>($D$14="CANOPY TYPE")</formula>
    </cfRule>
  </conditionalFormatting>
  <conditionalFormatting sqref="E80:F80">
    <cfRule type="cellIs" dxfId="6780" priority="512" operator="lessThan">
      <formula>1000</formula>
    </cfRule>
  </conditionalFormatting>
  <conditionalFormatting sqref="E82:F82">
    <cfRule type="cellIs" dxfId="6779" priority="509" operator="lessThan">
      <formula>1000</formula>
    </cfRule>
  </conditionalFormatting>
  <conditionalFormatting sqref="E83:F83">
    <cfRule type="expression" dxfId="6778" priority="444">
      <formula>(C83="LIGHT SELECTION")</formula>
    </cfRule>
  </conditionalFormatting>
  <conditionalFormatting sqref="E93:F95">
    <cfRule type="expression" dxfId="6777" priority="494">
      <formula>($D$14="CANOPY TYPE")</formula>
    </cfRule>
  </conditionalFormatting>
  <conditionalFormatting sqref="E97:F97">
    <cfRule type="cellIs" dxfId="6776" priority="481" operator="lessThan">
      <formula>1000</formula>
    </cfRule>
  </conditionalFormatting>
  <conditionalFormatting sqref="E99:F99">
    <cfRule type="cellIs" dxfId="6775" priority="478" operator="lessThan">
      <formula>1000</formula>
    </cfRule>
  </conditionalFormatting>
  <conditionalFormatting sqref="E100:F100">
    <cfRule type="expression" dxfId="6774" priority="440">
      <formula>(C100="LIGHT SELECTION")</formula>
    </cfRule>
  </conditionalFormatting>
  <conditionalFormatting sqref="E110:F112 E127:F129 E161:F163 E178:F180">
    <cfRule type="expression" dxfId="6773" priority="464">
      <formula>($D$14="CANOPY TYPE")</formula>
    </cfRule>
  </conditionalFormatting>
  <conditionalFormatting sqref="E114:F114">
    <cfRule type="cellIs" dxfId="6772" priority="313" operator="lessThan">
      <formula>1000</formula>
    </cfRule>
  </conditionalFormatting>
  <conditionalFormatting sqref="E116:F116">
    <cfRule type="cellIs" dxfId="6771" priority="310" operator="lessThan">
      <formula>1000</formula>
    </cfRule>
  </conditionalFormatting>
  <conditionalFormatting sqref="E117:F117">
    <cfRule type="expression" dxfId="6770" priority="294">
      <formula>(C117="LIGHT SELECTION")</formula>
    </cfRule>
  </conditionalFormatting>
  <conditionalFormatting sqref="E131:F131">
    <cfRule type="cellIs" dxfId="6769" priority="176" operator="lessThan">
      <formula>1000</formula>
    </cfRule>
  </conditionalFormatting>
  <conditionalFormatting sqref="E133:F133">
    <cfRule type="cellIs" dxfId="6768" priority="173" operator="lessThan">
      <formula>1000</formula>
    </cfRule>
  </conditionalFormatting>
  <conditionalFormatting sqref="E134:F134">
    <cfRule type="expression" dxfId="6767" priority="125">
      <formula>(C134="LIGHT SELECTION")</formula>
    </cfRule>
  </conditionalFormatting>
  <conditionalFormatting sqref="E144:F146">
    <cfRule type="expression" dxfId="6766" priority="158">
      <formula>($D$14="CANOPY TYPE")</formula>
    </cfRule>
  </conditionalFormatting>
  <conditionalFormatting sqref="E148:F148">
    <cfRule type="cellIs" dxfId="6765" priority="145" operator="lessThan">
      <formula>1000</formula>
    </cfRule>
  </conditionalFormatting>
  <conditionalFormatting sqref="E150:F150">
    <cfRule type="cellIs" dxfId="6764" priority="142" operator="lessThan">
      <formula>1000</formula>
    </cfRule>
  </conditionalFormatting>
  <conditionalFormatting sqref="E151:F151">
    <cfRule type="expression" dxfId="6763" priority="121">
      <formula>(C151="LIGHT SELECTION")</formula>
    </cfRule>
  </conditionalFormatting>
  <conditionalFormatting sqref="E165:F165">
    <cfRule type="cellIs" dxfId="6762" priority="69" operator="lessThan">
      <formula>1000</formula>
    </cfRule>
  </conditionalFormatting>
  <conditionalFormatting sqref="E167:F167">
    <cfRule type="cellIs" dxfId="6761" priority="66" operator="lessThan">
      <formula>1000</formula>
    </cfRule>
  </conditionalFormatting>
  <conditionalFormatting sqref="E168:F168">
    <cfRule type="expression" dxfId="6760" priority="50">
      <formula>(C168="LIGHT SELECTION")</formula>
    </cfRule>
  </conditionalFormatting>
  <conditionalFormatting sqref="F12">
    <cfRule type="cellIs" dxfId="6759" priority="682" operator="greaterThan">
      <formula>3001</formula>
    </cfRule>
  </conditionalFormatting>
  <conditionalFormatting sqref="F15">
    <cfRule type="expression" dxfId="6758" priority="457">
      <formula>(C15="LED STRIP")</formula>
    </cfRule>
    <cfRule type="expression" dxfId="6757" priority="670">
      <formula>(C15="LIGHT SELECTION")</formula>
    </cfRule>
    <cfRule type="expression" dxfId="6756" priority="672">
      <formula>(C15="FLO")</formula>
    </cfRule>
    <cfRule type="expression" dxfId="6755" priority="704">
      <formula>(D49="LIGHT SELECTION")</formula>
    </cfRule>
  </conditionalFormatting>
  <conditionalFormatting sqref="F22:F23">
    <cfRule type="expression" dxfId="6754" priority="695">
      <formula>D22="NF"</formula>
    </cfRule>
    <cfRule type="expression" dxfId="6753" priority="696">
      <formula>D22="WW PODS"</formula>
    </cfRule>
    <cfRule type="expression" dxfId="6752" priority="697">
      <formula>D22="GRILLE"</formula>
    </cfRule>
    <cfRule type="expression" dxfId="6751" priority="698">
      <formula>D22="CENTREX"</formula>
    </cfRule>
    <cfRule type="expression" dxfId="6750" priority="699" stopIfTrue="1">
      <formula>D14="canopy type"</formula>
    </cfRule>
    <cfRule type="expression" dxfId="6749" priority="700">
      <formula>(((I14*3600)/(C22*I11))^2+20)&gt;300</formula>
    </cfRule>
    <cfRule type="expression" dxfId="6748" priority="701" stopIfTrue="1">
      <formula>(ISNUMBER(SEARCH("UV",D14)))</formula>
    </cfRule>
    <cfRule type="expression" dxfId="6747" priority="702">
      <formula>(((I14*3600)/(C22*I11))^2+20)&gt;180</formula>
    </cfRule>
    <cfRule type="expression" dxfId="6746" priority="703">
      <formula>D22="KSA"</formula>
    </cfRule>
  </conditionalFormatting>
  <conditionalFormatting sqref="F24">
    <cfRule type="cellIs" dxfId="6745" priority="676" operator="lessThan">
      <formula>2100</formula>
    </cfRule>
  </conditionalFormatting>
  <conditionalFormatting sqref="F29">
    <cfRule type="cellIs" dxfId="6744" priority="603" operator="greaterThan">
      <formula>3001</formula>
    </cfRule>
  </conditionalFormatting>
  <conditionalFormatting sqref="F32">
    <cfRule type="expression" dxfId="6743" priority="453">
      <formula>(C32="LED STRIP")</formula>
    </cfRule>
    <cfRule type="expression" dxfId="6742" priority="454">
      <formula>(C32="LIGHT SELECTION")</formula>
    </cfRule>
    <cfRule type="expression" dxfId="6741" priority="456">
      <formula>(C32="FLO")</formula>
    </cfRule>
  </conditionalFormatting>
  <conditionalFormatting sqref="F39:F40">
    <cfRule type="expression" dxfId="6740" priority="393">
      <formula>D39="NF"</formula>
    </cfRule>
    <cfRule type="expression" dxfId="6739" priority="394">
      <formula>D39="WW PODS"</formula>
    </cfRule>
    <cfRule type="expression" dxfId="6738" priority="395">
      <formula>D39="GRILLE"</formula>
    </cfRule>
    <cfRule type="expression" dxfId="6737" priority="396">
      <formula>D39="CENTREX"</formula>
    </cfRule>
    <cfRule type="expression" dxfId="6736" priority="397" stopIfTrue="1">
      <formula>D31="canopy type"</formula>
    </cfRule>
    <cfRule type="expression" dxfId="6735" priority="398">
      <formula>(((I31*3600)/(C39*I28))^2+20)&gt;300</formula>
    </cfRule>
    <cfRule type="expression" dxfId="6734" priority="399" stopIfTrue="1">
      <formula>(ISNUMBER(SEARCH("UV",D31)))</formula>
    </cfRule>
    <cfRule type="expression" dxfId="6733" priority="400">
      <formula>(((I31*3600)/(C39*I28))^2+20)&gt;180</formula>
    </cfRule>
    <cfRule type="expression" dxfId="6732" priority="401">
      <formula>D39="KSA"</formula>
    </cfRule>
  </conditionalFormatting>
  <conditionalFormatting sqref="F41">
    <cfRule type="cellIs" dxfId="6731" priority="597" operator="lessThan">
      <formula>2100</formula>
    </cfRule>
  </conditionalFormatting>
  <conditionalFormatting sqref="F46">
    <cfRule type="cellIs" dxfId="6730" priority="572" operator="greaterThan">
      <formula>3001</formula>
    </cfRule>
  </conditionalFormatting>
  <conditionalFormatting sqref="F49">
    <cfRule type="expression" dxfId="6729" priority="450">
      <formula>(C49="LED STRIP")</formula>
    </cfRule>
    <cfRule type="expression" dxfId="6728" priority="451">
      <formula>(C49="LIGHT SELECTION")</formula>
    </cfRule>
    <cfRule type="expression" dxfId="6727" priority="452">
      <formula>(C49="FLO")</formula>
    </cfRule>
    <cfRule type="expression" dxfId="6726" priority="705">
      <formula>(#REF!="LIGHT SELECTION")</formula>
    </cfRule>
  </conditionalFormatting>
  <conditionalFormatting sqref="F56:F57">
    <cfRule type="expression" dxfId="6725" priority="378">
      <formula>D56="NF"</formula>
    </cfRule>
    <cfRule type="expression" dxfId="6724" priority="379">
      <formula>D56="WW PODS"</formula>
    </cfRule>
    <cfRule type="expression" dxfId="6723" priority="380">
      <formula>D56="GRILLE"</formula>
    </cfRule>
    <cfRule type="expression" dxfId="6722" priority="381">
      <formula>D56="CENTREX"</formula>
    </cfRule>
    <cfRule type="expression" dxfId="6721" priority="382" stopIfTrue="1">
      <formula>D48="canopy type"</formula>
    </cfRule>
    <cfRule type="expression" dxfId="6720" priority="383">
      <formula>(((I48*3600)/(C56*I45))^2+20)&gt;300</formula>
    </cfRule>
    <cfRule type="expression" dxfId="6719" priority="384" stopIfTrue="1">
      <formula>(ISNUMBER(SEARCH("UV",D48)))</formula>
    </cfRule>
    <cfRule type="expression" dxfId="6718" priority="385">
      <formula>(((I48*3600)/(C56*I45))^2+20)&gt;180</formula>
    </cfRule>
    <cfRule type="expression" dxfId="6717" priority="386">
      <formula>D56="KSA"</formula>
    </cfRule>
  </conditionalFormatting>
  <conditionalFormatting sqref="F58">
    <cfRule type="cellIs" dxfId="6716" priority="566" operator="lessThan">
      <formula>2100</formula>
    </cfRule>
  </conditionalFormatting>
  <conditionalFormatting sqref="F63">
    <cfRule type="cellIs" dxfId="6715" priority="543" operator="greaterThan">
      <formula>3001</formula>
    </cfRule>
  </conditionalFormatting>
  <conditionalFormatting sqref="F66">
    <cfRule type="expression" dxfId="6714" priority="446">
      <formula>(C66="LED STRIP")</formula>
    </cfRule>
    <cfRule type="expression" dxfId="6713" priority="447">
      <formula>(C66="LIGHT SELECTION")</formula>
    </cfRule>
    <cfRule type="expression" dxfId="6712" priority="449">
      <formula>(C66="FLO")</formula>
    </cfRule>
  </conditionalFormatting>
  <conditionalFormatting sqref="F73:F74">
    <cfRule type="expression" dxfId="6711" priority="363">
      <formula>D73="NF"</formula>
    </cfRule>
    <cfRule type="expression" dxfId="6710" priority="364">
      <formula>D73="WW PODS"</formula>
    </cfRule>
    <cfRule type="expression" dxfId="6709" priority="365">
      <formula>D73="GRILLE"</formula>
    </cfRule>
    <cfRule type="expression" dxfId="6708" priority="366">
      <formula>D73="CENTREX"</formula>
    </cfRule>
    <cfRule type="expression" dxfId="6707" priority="367" stopIfTrue="1">
      <formula>D65="canopy type"</formula>
    </cfRule>
    <cfRule type="expression" dxfId="6706" priority="368">
      <formula>(((I65*3600)/(C73*I62))^2+20)&gt;300</formula>
    </cfRule>
    <cfRule type="expression" dxfId="6705" priority="369" stopIfTrue="1">
      <formula>(ISNUMBER(SEARCH("UV",D65)))</formula>
    </cfRule>
    <cfRule type="expression" dxfId="6704" priority="370">
      <formula>(((I65*3600)/(C73*I62))^2+20)&gt;180</formula>
    </cfRule>
    <cfRule type="expression" dxfId="6703" priority="371">
      <formula>D73="KSA"</formula>
    </cfRule>
  </conditionalFormatting>
  <conditionalFormatting sqref="F75">
    <cfRule type="cellIs" dxfId="6702" priority="537" operator="lessThan">
      <formula>2100</formula>
    </cfRule>
  </conditionalFormatting>
  <conditionalFormatting sqref="F80">
    <cfRule type="cellIs" dxfId="6701" priority="513" operator="greaterThan">
      <formula>3001</formula>
    </cfRule>
  </conditionalFormatting>
  <conditionalFormatting sqref="F83">
    <cfRule type="expression" dxfId="6700" priority="442">
      <formula>(C83="LED STRIP")</formula>
    </cfRule>
    <cfRule type="expression" dxfId="6699" priority="443">
      <formula>(C83="LIGHT SELECTION")</formula>
    </cfRule>
    <cfRule type="expression" dxfId="6698" priority="445">
      <formula>(C83="FLO")</formula>
    </cfRule>
  </conditionalFormatting>
  <conditionalFormatting sqref="F90:F91">
    <cfRule type="expression" dxfId="6697" priority="348">
      <formula>D90="NF"</formula>
    </cfRule>
    <cfRule type="expression" dxfId="6696" priority="349">
      <formula>D90="WW PODS"</formula>
    </cfRule>
    <cfRule type="expression" dxfId="6695" priority="350">
      <formula>D90="GRILLE"</formula>
    </cfRule>
    <cfRule type="expression" dxfId="6694" priority="351">
      <formula>D90="CENTREX"</formula>
    </cfRule>
    <cfRule type="expression" dxfId="6693" priority="352" stopIfTrue="1">
      <formula>D82="canopy type"</formula>
    </cfRule>
    <cfRule type="expression" dxfId="6692" priority="353">
      <formula>(((I82*3600)/(C90*I79))^2+20)&gt;300</formula>
    </cfRule>
    <cfRule type="expression" dxfId="6691" priority="354" stopIfTrue="1">
      <formula>(ISNUMBER(SEARCH("UV",D82)))</formula>
    </cfRule>
    <cfRule type="expression" dxfId="6690" priority="355">
      <formula>(((I82*3600)/(C90*I79))^2+20)&gt;180</formula>
    </cfRule>
    <cfRule type="expression" dxfId="6689" priority="356">
      <formula>D90="KSA"</formula>
    </cfRule>
  </conditionalFormatting>
  <conditionalFormatting sqref="F92">
    <cfRule type="cellIs" dxfId="6688" priority="507" operator="lessThan">
      <formula>2100</formula>
    </cfRule>
  </conditionalFormatting>
  <conditionalFormatting sqref="F97">
    <cfRule type="cellIs" dxfId="6687" priority="482" operator="greaterThan">
      <formula>3001</formula>
    </cfRule>
  </conditionalFormatting>
  <conditionalFormatting sqref="F100">
    <cfRule type="expression" dxfId="6686" priority="438">
      <formula>(C100="LED STRIP")</formula>
    </cfRule>
    <cfRule type="expression" dxfId="6685" priority="439">
      <formula>(C100="LIGHT SELECTION")</formula>
    </cfRule>
    <cfRule type="expression" dxfId="6684" priority="441">
      <formula>(C100="FLO")</formula>
    </cfRule>
  </conditionalFormatting>
  <conditionalFormatting sqref="F107:F108">
    <cfRule type="expression" dxfId="6683" priority="333">
      <formula>D107="NF"</formula>
    </cfRule>
    <cfRule type="expression" dxfId="6682" priority="334">
      <formula>D107="WW PODS"</formula>
    </cfRule>
    <cfRule type="expression" dxfId="6681" priority="335">
      <formula>D107="GRILLE"</formula>
    </cfRule>
    <cfRule type="expression" dxfId="6680" priority="336">
      <formula>D107="CENTREX"</formula>
    </cfRule>
    <cfRule type="expression" dxfId="6679" priority="337" stopIfTrue="1">
      <formula>D99="canopy type"</formula>
    </cfRule>
    <cfRule type="expression" dxfId="6678" priority="338">
      <formula>(((I99*3600)/(C107*I96))^2+20)&gt;300</formula>
    </cfRule>
    <cfRule type="expression" dxfId="6677" priority="339" stopIfTrue="1">
      <formula>(ISNUMBER(SEARCH("UV",D99)))</formula>
    </cfRule>
    <cfRule type="expression" dxfId="6676" priority="340">
      <formula>(((I99*3600)/(C107*I96))^2+20)&gt;180</formula>
    </cfRule>
    <cfRule type="expression" dxfId="6675" priority="341">
      <formula>D107="KSA"</formula>
    </cfRule>
  </conditionalFormatting>
  <conditionalFormatting sqref="F109">
    <cfRule type="cellIs" dxfId="6674" priority="476" operator="lessThan">
      <formula>2100</formula>
    </cfRule>
  </conditionalFormatting>
  <conditionalFormatting sqref="F114">
    <cfRule type="cellIs" dxfId="6673" priority="314" operator="greaterThan">
      <formula>3001</formula>
    </cfRule>
  </conditionalFormatting>
  <conditionalFormatting sqref="F117">
    <cfRule type="expression" dxfId="6672" priority="292">
      <formula>(C117="LED STRIP")</formula>
    </cfRule>
    <cfRule type="expression" dxfId="6671" priority="293">
      <formula>(C117="LIGHT SELECTION")</formula>
    </cfRule>
    <cfRule type="expression" dxfId="6670" priority="295">
      <formula>(C117="FLO")</formula>
    </cfRule>
  </conditionalFormatting>
  <conditionalFormatting sqref="F124:F125">
    <cfRule type="expression" dxfId="6669" priority="280">
      <formula>D124="NF"</formula>
    </cfRule>
    <cfRule type="expression" dxfId="6668" priority="281">
      <formula>D124="WW PODS"</formula>
    </cfRule>
    <cfRule type="expression" dxfId="6667" priority="282">
      <formula>D124="GRILLE"</formula>
    </cfRule>
    <cfRule type="expression" dxfId="6666" priority="283">
      <formula>D124="CENTREX"</formula>
    </cfRule>
    <cfRule type="expression" dxfId="6665" priority="284" stopIfTrue="1">
      <formula>D116="canopy type"</formula>
    </cfRule>
    <cfRule type="expression" dxfId="6664" priority="285">
      <formula>(((I116*3600)/(C124*I113))^2+20)&gt;300</formula>
    </cfRule>
    <cfRule type="expression" dxfId="6663" priority="286" stopIfTrue="1">
      <formula>(ISNUMBER(SEARCH("UV",D116)))</formula>
    </cfRule>
    <cfRule type="expression" dxfId="6662" priority="287">
      <formula>(((I116*3600)/(C124*I113))^2+20)&gt;180</formula>
    </cfRule>
    <cfRule type="expression" dxfId="6661" priority="288">
      <formula>D124="KSA"</formula>
    </cfRule>
  </conditionalFormatting>
  <conditionalFormatting sqref="F126">
    <cfRule type="cellIs" dxfId="6660" priority="308" operator="lessThan">
      <formula>2100</formula>
    </cfRule>
  </conditionalFormatting>
  <conditionalFormatting sqref="F131">
    <cfRule type="cellIs" dxfId="6659" priority="177" operator="greaterThan">
      <formula>3001</formula>
    </cfRule>
  </conditionalFormatting>
  <conditionalFormatting sqref="F134">
    <cfRule type="expression" dxfId="6658" priority="123">
      <formula>(C134="LED STRIP")</formula>
    </cfRule>
    <cfRule type="expression" dxfId="6657" priority="124">
      <formula>(C134="LIGHT SELECTION")</formula>
    </cfRule>
    <cfRule type="expression" dxfId="6656" priority="126">
      <formula>(C134="FLO")</formula>
    </cfRule>
  </conditionalFormatting>
  <conditionalFormatting sqref="F141:F142">
    <cfRule type="expression" dxfId="6655" priority="104">
      <formula>D141="NF"</formula>
    </cfRule>
    <cfRule type="expression" dxfId="6654" priority="105">
      <formula>D141="WW PODS"</formula>
    </cfRule>
    <cfRule type="expression" dxfId="6653" priority="106">
      <formula>D141="GRILLE"</formula>
    </cfRule>
    <cfRule type="expression" dxfId="6652" priority="107">
      <formula>D141="CENTREX"</formula>
    </cfRule>
    <cfRule type="expression" dxfId="6651" priority="108" stopIfTrue="1">
      <formula>D133="canopy type"</formula>
    </cfRule>
    <cfRule type="expression" dxfId="6650" priority="109">
      <formula>(((I133*3600)/(C141*I130))^2+20)&gt;300</formula>
    </cfRule>
    <cfRule type="expression" dxfId="6649" priority="110" stopIfTrue="1">
      <formula>(ISNUMBER(SEARCH("UV",D133)))</formula>
    </cfRule>
    <cfRule type="expression" dxfId="6648" priority="111">
      <formula>(((I133*3600)/(C141*I130))^2+20)&gt;180</formula>
    </cfRule>
    <cfRule type="expression" dxfId="6647" priority="112">
      <formula>D141="KSA"</formula>
    </cfRule>
  </conditionalFormatting>
  <conditionalFormatting sqref="F143">
    <cfRule type="cellIs" dxfId="6646" priority="171" operator="lessThan">
      <formula>2100</formula>
    </cfRule>
  </conditionalFormatting>
  <conditionalFormatting sqref="F148">
    <cfRule type="cellIs" dxfId="6645" priority="146" operator="greaterThan">
      <formula>3001</formula>
    </cfRule>
  </conditionalFormatting>
  <conditionalFormatting sqref="F151">
    <cfRule type="expression" dxfId="6644" priority="119">
      <formula>(C151="LED STRIP")</formula>
    </cfRule>
    <cfRule type="expression" dxfId="6643" priority="120">
      <formula>(C151="LIGHT SELECTION")</formula>
    </cfRule>
    <cfRule type="expression" dxfId="6642" priority="122">
      <formula>(C151="FLO")</formula>
    </cfRule>
  </conditionalFormatting>
  <conditionalFormatting sqref="F158:F159">
    <cfRule type="expression" dxfId="6641" priority="89">
      <formula>D158="NF"</formula>
    </cfRule>
    <cfRule type="expression" dxfId="6640" priority="90">
      <formula>D158="WW PODS"</formula>
    </cfRule>
    <cfRule type="expression" dxfId="6639" priority="91">
      <formula>D158="GRILLE"</formula>
    </cfRule>
    <cfRule type="expression" dxfId="6638" priority="92">
      <formula>D158="CENTREX"</formula>
    </cfRule>
    <cfRule type="expression" dxfId="6637" priority="93" stopIfTrue="1">
      <formula>D150="canopy type"</formula>
    </cfRule>
    <cfRule type="expression" dxfId="6636" priority="94">
      <formula>(((I150*3600)/(C158*I147))^2+20)&gt;300</formula>
    </cfRule>
    <cfRule type="expression" dxfId="6635" priority="95" stopIfTrue="1">
      <formula>(ISNUMBER(SEARCH("UV",D150)))</formula>
    </cfRule>
    <cfRule type="expression" dxfId="6634" priority="96">
      <formula>(((I150*3600)/(C158*I147))^2+20)&gt;180</formula>
    </cfRule>
    <cfRule type="expression" dxfId="6633" priority="97">
      <formula>D158="KSA"</formula>
    </cfRule>
  </conditionalFormatting>
  <conditionalFormatting sqref="F160">
    <cfRule type="cellIs" dxfId="6632" priority="140" operator="lessThan">
      <formula>2100</formula>
    </cfRule>
  </conditionalFormatting>
  <conditionalFormatting sqref="F165">
    <cfRule type="cellIs" dxfId="6631" priority="70" operator="greaterThan">
      <formula>3001</formula>
    </cfRule>
  </conditionalFormatting>
  <conditionalFormatting sqref="F168">
    <cfRule type="expression" dxfId="6630" priority="48">
      <formula>(C168="LED STRIP")</formula>
    </cfRule>
    <cfRule type="expression" dxfId="6629" priority="49">
      <formula>(C168="LIGHT SELECTION")</formula>
    </cfRule>
    <cfRule type="expression" dxfId="6628" priority="51">
      <formula>(C168="FLO")</formula>
    </cfRule>
  </conditionalFormatting>
  <conditionalFormatting sqref="F175:F176">
    <cfRule type="expression" dxfId="6627" priority="36">
      <formula>D175="NF"</formula>
    </cfRule>
    <cfRule type="expression" dxfId="6626" priority="37">
      <formula>D175="WW PODS"</formula>
    </cfRule>
    <cfRule type="expression" dxfId="6625" priority="38">
      <formula>D175="GRILLE"</formula>
    </cfRule>
    <cfRule type="expression" dxfId="6624" priority="39">
      <formula>D175="CENTREX"</formula>
    </cfRule>
    <cfRule type="expression" dxfId="6623" priority="40" stopIfTrue="1">
      <formula>D167="canopy type"</formula>
    </cfRule>
    <cfRule type="expression" dxfId="6622" priority="41">
      <formula>(((I167*3600)/(C175*I164))^2+20)&gt;300</formula>
    </cfRule>
    <cfRule type="expression" dxfId="6621" priority="42" stopIfTrue="1">
      <formula>(ISNUMBER(SEARCH("UV",D167)))</formula>
    </cfRule>
    <cfRule type="expression" dxfId="6620" priority="43">
      <formula>(((I167*3600)/(C175*I164))^2+20)&gt;180</formula>
    </cfRule>
    <cfRule type="expression" dxfId="6619" priority="44">
      <formula>D175="KSA"</formula>
    </cfRule>
  </conditionalFormatting>
  <conditionalFormatting sqref="F177">
    <cfRule type="cellIs" dxfId="6618" priority="64" operator="lessThan">
      <formula>2100</formula>
    </cfRule>
  </conditionalFormatting>
  <conditionalFormatting sqref="G11">
    <cfRule type="expression" dxfId="6617" priority="684">
      <formula>((F14-50)/H14)&lt;950</formula>
    </cfRule>
  </conditionalFormatting>
  <conditionalFormatting sqref="G12">
    <cfRule type="expression" dxfId="6616" priority="683">
      <formula>((F14-50)/H14)&lt;950</formula>
    </cfRule>
  </conditionalFormatting>
  <conditionalFormatting sqref="G14">
    <cfRule type="cellIs" dxfId="6615" priority="679" operator="lessThan">
      <formula>400</formula>
    </cfRule>
  </conditionalFormatting>
  <conditionalFormatting sqref="G28">
    <cfRule type="expression" dxfId="6614" priority="626">
      <formula>((F31-50)/H31)&lt;950</formula>
    </cfRule>
  </conditionalFormatting>
  <conditionalFormatting sqref="G29">
    <cfRule type="expression" dxfId="6613" priority="604">
      <formula>((F31-50)/H31)&lt;950</formula>
    </cfRule>
  </conditionalFormatting>
  <conditionalFormatting sqref="G31">
    <cfRule type="cellIs" dxfId="6612" priority="600" operator="lessThan">
      <formula>400</formula>
    </cfRule>
  </conditionalFormatting>
  <conditionalFormatting sqref="G45">
    <cfRule type="expression" dxfId="6611" priority="643">
      <formula>((F48-50)/H48)&lt;950</formula>
    </cfRule>
  </conditionalFormatting>
  <conditionalFormatting sqref="G46">
    <cfRule type="expression" dxfId="6610" priority="573">
      <formula>((F48-50)/H48)&lt;950</formula>
    </cfRule>
  </conditionalFormatting>
  <conditionalFormatting sqref="G48">
    <cfRule type="cellIs" dxfId="6609" priority="569" operator="lessThan">
      <formula>400</formula>
    </cfRule>
  </conditionalFormatting>
  <conditionalFormatting sqref="G62">
    <cfRule type="expression" dxfId="6608" priority="644">
      <formula>((F65-50)/H65)&lt;950</formula>
    </cfRule>
  </conditionalFormatting>
  <conditionalFormatting sqref="G63">
    <cfRule type="expression" dxfId="6607" priority="544">
      <formula>((F65-50)/H65)&lt;950</formula>
    </cfRule>
  </conditionalFormatting>
  <conditionalFormatting sqref="G65">
    <cfRule type="cellIs" dxfId="6606" priority="540" operator="lessThan">
      <formula>400</formula>
    </cfRule>
  </conditionalFormatting>
  <conditionalFormatting sqref="G79">
    <cfRule type="expression" dxfId="6605" priority="645">
      <formula>((F82-50)/H82)&lt;950</formula>
    </cfRule>
  </conditionalFormatting>
  <conditionalFormatting sqref="G80">
    <cfRule type="expression" dxfId="6604" priority="514">
      <formula>((F82-50)/H82)&lt;950</formula>
    </cfRule>
  </conditionalFormatting>
  <conditionalFormatting sqref="G82">
    <cfRule type="cellIs" dxfId="6603" priority="510" operator="lessThan">
      <formula>400</formula>
    </cfRule>
  </conditionalFormatting>
  <conditionalFormatting sqref="G96">
    <cfRule type="expression" dxfId="6602" priority="653">
      <formula>((F99-50)/H99)&lt;950</formula>
    </cfRule>
  </conditionalFormatting>
  <conditionalFormatting sqref="G97">
    <cfRule type="expression" dxfId="6601" priority="483">
      <formula>((F99-50)/H99)&lt;950</formula>
    </cfRule>
  </conditionalFormatting>
  <conditionalFormatting sqref="G99">
    <cfRule type="cellIs" dxfId="6600" priority="479" operator="lessThan">
      <formula>400</formula>
    </cfRule>
  </conditionalFormatting>
  <conditionalFormatting sqref="G113">
    <cfRule type="expression" dxfId="6599" priority="326">
      <formula>((F116-50)/H116)&lt;950</formula>
    </cfRule>
  </conditionalFormatting>
  <conditionalFormatting sqref="G114">
    <cfRule type="expression" dxfId="6598" priority="315">
      <formula>((F116-50)/H116)&lt;950</formula>
    </cfRule>
  </conditionalFormatting>
  <conditionalFormatting sqref="G116">
    <cfRule type="cellIs" dxfId="6597" priority="311" operator="lessThan">
      <formula>400</formula>
    </cfRule>
  </conditionalFormatting>
  <conditionalFormatting sqref="G130">
    <cfRule type="expression" dxfId="6596" priority="190">
      <formula>((F133-50)/H133)&lt;950</formula>
    </cfRule>
  </conditionalFormatting>
  <conditionalFormatting sqref="G131">
    <cfRule type="expression" dxfId="6595" priority="178">
      <formula>((F133-50)/H133)&lt;950</formula>
    </cfRule>
  </conditionalFormatting>
  <conditionalFormatting sqref="G133">
    <cfRule type="cellIs" dxfId="6594" priority="174" operator="lessThan">
      <formula>400</formula>
    </cfRule>
  </conditionalFormatting>
  <conditionalFormatting sqref="G147">
    <cfRule type="expression" dxfId="6593" priority="191">
      <formula>((F150-50)/H150)&lt;950</formula>
    </cfRule>
  </conditionalFormatting>
  <conditionalFormatting sqref="G148">
    <cfRule type="expression" dxfId="6592" priority="147">
      <formula>((F150-50)/H150)&lt;950</formula>
    </cfRule>
  </conditionalFormatting>
  <conditionalFormatting sqref="G150">
    <cfRule type="cellIs" dxfId="6591" priority="143" operator="lessThan">
      <formula>400</formula>
    </cfRule>
  </conditionalFormatting>
  <conditionalFormatting sqref="G164">
    <cfRule type="expression" dxfId="6590" priority="82">
      <formula>((F167-50)/H167)&lt;950</formula>
    </cfRule>
  </conditionalFormatting>
  <conditionalFormatting sqref="G165">
    <cfRule type="expression" dxfId="6589" priority="71">
      <formula>((F167-50)/H167)&lt;950</formula>
    </cfRule>
  </conditionalFormatting>
  <conditionalFormatting sqref="G167">
    <cfRule type="cellIs" dxfId="6588" priority="67" operator="lessThan">
      <formula>400</formula>
    </cfRule>
  </conditionalFormatting>
  <conditionalFormatting sqref="I14">
    <cfRule type="cellIs" dxfId="6587" priority="680" operator="lessThan">
      <formula>0.1</formula>
    </cfRule>
  </conditionalFormatting>
  <conditionalFormatting sqref="I31">
    <cfRule type="cellIs" dxfId="6586" priority="601" operator="lessThan">
      <formula>0.1</formula>
    </cfRule>
  </conditionalFormatting>
  <conditionalFormatting sqref="I48">
    <cfRule type="cellIs" dxfId="6585" priority="570" operator="lessThan">
      <formula>0.1</formula>
    </cfRule>
  </conditionalFormatting>
  <conditionalFormatting sqref="I65">
    <cfRule type="cellIs" dxfId="6584" priority="541" operator="lessThan">
      <formula>0.1</formula>
    </cfRule>
  </conditionalFormatting>
  <conditionalFormatting sqref="I82">
    <cfRule type="cellIs" dxfId="6583" priority="511" operator="lessThan">
      <formula>0.1</formula>
    </cfRule>
  </conditionalFormatting>
  <conditionalFormatting sqref="I99">
    <cfRule type="cellIs" dxfId="6582" priority="480" operator="lessThan">
      <formula>0.1</formula>
    </cfRule>
  </conditionalFormatting>
  <conditionalFormatting sqref="I116">
    <cfRule type="cellIs" dxfId="6581" priority="312" operator="lessThan">
      <formula>0.1</formula>
    </cfRule>
  </conditionalFormatting>
  <conditionalFormatting sqref="I133">
    <cfRule type="cellIs" dxfId="6580" priority="175" operator="lessThan">
      <formula>0.1</formula>
    </cfRule>
  </conditionalFormatting>
  <conditionalFormatting sqref="I150">
    <cfRule type="cellIs" dxfId="6579" priority="144" operator="lessThan">
      <formula>0.1</formula>
    </cfRule>
  </conditionalFormatting>
  <conditionalFormatting sqref="I167">
    <cfRule type="cellIs" dxfId="6578" priority="68" operator="lessThan">
      <formula>0.1</formula>
    </cfRule>
  </conditionalFormatting>
  <conditionalFormatting sqref="J14:J27">
    <cfRule type="cellIs" dxfId="6577" priority="404" operator="greaterThan">
      <formula>0</formula>
    </cfRule>
  </conditionalFormatting>
  <conditionalFormatting sqref="J31:J44">
    <cfRule type="cellIs" dxfId="6576" priority="261" operator="greaterThan">
      <formula>0</formula>
    </cfRule>
  </conditionalFormatting>
  <conditionalFormatting sqref="J48:J61">
    <cfRule type="cellIs" dxfId="6575" priority="250" operator="greaterThan">
      <formula>0</formula>
    </cfRule>
  </conditionalFormatting>
  <conditionalFormatting sqref="J65:J78">
    <cfRule type="cellIs" dxfId="6574" priority="239" operator="greaterThan">
      <formula>0</formula>
    </cfRule>
  </conditionalFormatting>
  <conditionalFormatting sqref="J82:J95">
    <cfRule type="cellIs" dxfId="6573" priority="228" operator="greaterThan">
      <formula>0</formula>
    </cfRule>
  </conditionalFormatting>
  <conditionalFormatting sqref="J99:J112">
    <cfRule type="cellIs" dxfId="6572" priority="217" operator="greaterThan">
      <formula>0</formula>
    </cfRule>
  </conditionalFormatting>
  <conditionalFormatting sqref="J116:J129 J167:J180">
    <cfRule type="cellIs" dxfId="6571" priority="206" operator="greaterThan">
      <formula>0</formula>
    </cfRule>
  </conditionalFormatting>
  <conditionalFormatting sqref="J133:J146">
    <cfRule type="cellIs" dxfId="6570" priority="19" operator="greaterThan">
      <formula>0</formula>
    </cfRule>
  </conditionalFormatting>
  <conditionalFormatting sqref="J150:J163">
    <cfRule type="cellIs" dxfId="6569" priority="8" operator="greaterThan">
      <formula>0</formula>
    </cfRule>
  </conditionalFormatting>
  <conditionalFormatting sqref="J183:J197">
    <cfRule type="expression" dxfId="6568" priority="654">
      <formula>C183&gt;0</formula>
    </cfRule>
  </conditionalFormatting>
  <conditionalFormatting sqref="J199">
    <cfRule type="expression" dxfId="6567" priority="659">
      <formula>#REF!="EURO"</formula>
    </cfRule>
  </conditionalFormatting>
  <conditionalFormatting sqref="K14:K27">
    <cfRule type="cellIs" dxfId="6566" priority="418" operator="greaterThan">
      <formula>0</formula>
    </cfRule>
  </conditionalFormatting>
  <conditionalFormatting sqref="K31:K44">
    <cfRule type="cellIs" dxfId="6565" priority="262" operator="greaterThan">
      <formula>0</formula>
    </cfRule>
  </conditionalFormatting>
  <conditionalFormatting sqref="K48:K61">
    <cfRule type="cellIs" dxfId="6564" priority="251" operator="greaterThan">
      <formula>0</formula>
    </cfRule>
  </conditionalFormatting>
  <conditionalFormatting sqref="K65:K78">
    <cfRule type="cellIs" dxfId="6563" priority="240" operator="greaterThan">
      <formula>0</formula>
    </cfRule>
  </conditionalFormatting>
  <conditionalFormatting sqref="K82:K95">
    <cfRule type="cellIs" dxfId="6562" priority="229" operator="greaterThan">
      <formula>0</formula>
    </cfRule>
  </conditionalFormatting>
  <conditionalFormatting sqref="K99:K112">
    <cfRule type="cellIs" dxfId="6561" priority="218" operator="greaterThan">
      <formula>0</formula>
    </cfRule>
  </conditionalFormatting>
  <conditionalFormatting sqref="K116:K129 K167:K180">
    <cfRule type="cellIs" dxfId="6560" priority="207" operator="greaterThan">
      <formula>0</formula>
    </cfRule>
  </conditionalFormatting>
  <conditionalFormatting sqref="K133:K146">
    <cfRule type="cellIs" dxfId="6559" priority="20" operator="greaterThan">
      <formula>0</formula>
    </cfRule>
  </conditionalFormatting>
  <conditionalFormatting sqref="K150:K163">
    <cfRule type="cellIs" dxfId="6558" priority="9" operator="greaterThan">
      <formula>0</formula>
    </cfRule>
  </conditionalFormatting>
  <conditionalFormatting sqref="K183:K197">
    <cfRule type="cellIs" dxfId="6557" priority="661" operator="greaterThan">
      <formula>0</formula>
    </cfRule>
  </conditionalFormatting>
  <conditionalFormatting sqref="K199">
    <cfRule type="expression" dxfId="6556" priority="655">
      <formula>$B$9="PLN"</formula>
    </cfRule>
    <cfRule type="expression" dxfId="6555" priority="656">
      <formula>$B$9="CZK"</formula>
    </cfRule>
    <cfRule type="expression" dxfId="6554" priority="657">
      <formula>$B$9="USD"</formula>
    </cfRule>
    <cfRule type="expression" dxfId="6553" priority="658">
      <formula>$B$9="EURO"</formula>
    </cfRule>
  </conditionalFormatting>
  <conditionalFormatting sqref="L14:L27">
    <cfRule type="expression" dxfId="6552" priority="415">
      <formula>$C$9&lt;0</formula>
    </cfRule>
    <cfRule type="expression" dxfId="6551" priority="416">
      <formula>$C$9&gt;0</formula>
    </cfRule>
  </conditionalFormatting>
  <conditionalFormatting sqref="L31:L44">
    <cfRule type="expression" dxfId="6550" priority="204">
      <formula>$C$9&lt;0</formula>
    </cfRule>
    <cfRule type="expression" dxfId="6549" priority="205">
      <formula>$C$9&gt;0</formula>
    </cfRule>
  </conditionalFormatting>
  <conditionalFormatting sqref="L48:L61">
    <cfRule type="expression" dxfId="6548" priority="202">
      <formula>$C$9&lt;0</formula>
    </cfRule>
    <cfRule type="expression" dxfId="6547" priority="203">
      <formula>$C$9&gt;0</formula>
    </cfRule>
  </conditionalFormatting>
  <conditionalFormatting sqref="L65:L78">
    <cfRule type="expression" dxfId="6546" priority="200">
      <formula>$C$9&lt;0</formula>
    </cfRule>
    <cfRule type="expression" dxfId="6545" priority="201">
      <formula>$C$9&gt;0</formula>
    </cfRule>
  </conditionalFormatting>
  <conditionalFormatting sqref="L82:L95">
    <cfRule type="expression" dxfId="6544" priority="198">
      <formula>$C$9&lt;0</formula>
    </cfRule>
    <cfRule type="expression" dxfId="6543" priority="199">
      <formula>$C$9&gt;0</formula>
    </cfRule>
  </conditionalFormatting>
  <conditionalFormatting sqref="L99:L112">
    <cfRule type="expression" dxfId="6542" priority="196">
      <formula>$C$9&lt;0</formula>
    </cfRule>
    <cfRule type="expression" dxfId="6541" priority="197">
      <formula>$C$9&gt;0</formula>
    </cfRule>
  </conditionalFormatting>
  <conditionalFormatting sqref="L116:L129 L167:L180">
    <cfRule type="expression" dxfId="6540" priority="194">
      <formula>$C$9&lt;0</formula>
    </cfRule>
    <cfRule type="expression" dxfId="6539" priority="195">
      <formula>$C$9&gt;0</formula>
    </cfRule>
  </conditionalFormatting>
  <conditionalFormatting sqref="L133:L146">
    <cfRule type="expression" dxfId="6538" priority="3">
      <formula>$C$9&lt;0</formula>
    </cfRule>
    <cfRule type="expression" dxfId="6537" priority="4">
      <formula>$C$9&gt;0</formula>
    </cfRule>
  </conditionalFormatting>
  <conditionalFormatting sqref="L150:L163">
    <cfRule type="expression" dxfId="6536" priority="1">
      <formula>$C$9&lt;0</formula>
    </cfRule>
    <cfRule type="expression" dxfId="6535" priority="2">
      <formula>$C$9&gt;0</formula>
    </cfRule>
  </conditionalFormatting>
  <conditionalFormatting sqref="L183:L197">
    <cfRule type="expression" dxfId="6534" priority="192">
      <formula>$C$9&lt;0</formula>
    </cfRule>
    <cfRule type="expression" dxfId="6533" priority="193">
      <formula>$C$9&gt;0</formula>
    </cfRule>
  </conditionalFormatting>
  <conditionalFormatting sqref="N9 N12">
    <cfRule type="expression" dxfId="6532" priority="691">
      <formula>$B$9="PLN"</formula>
    </cfRule>
    <cfRule type="expression" dxfId="6531" priority="692">
      <formula>$B$9="CZK"</formula>
    </cfRule>
    <cfRule type="expression" dxfId="6530" priority="693">
      <formula>$B$9="USD"</formula>
    </cfRule>
    <cfRule type="expression" dxfId="6529" priority="694">
      <formula>$B$9="EURO"</formula>
    </cfRule>
  </conditionalFormatting>
  <conditionalFormatting sqref="N14:N27">
    <cfRule type="cellIs" dxfId="6528" priority="630" operator="greaterThan">
      <formula>0</formula>
    </cfRule>
    <cfRule type="expression" dxfId="6527" priority="631">
      <formula>$B$9="EURO"</formula>
    </cfRule>
    <cfRule type="expression" dxfId="6526" priority="632">
      <formula>$B$9="USD"</formula>
    </cfRule>
    <cfRule type="expression" dxfId="6525" priority="633">
      <formula>$B$9="PLN"</formula>
    </cfRule>
    <cfRule type="expression" dxfId="6524" priority="634">
      <formula>$B$9="CZK"</formula>
    </cfRule>
  </conditionalFormatting>
  <conditionalFormatting sqref="N29">
    <cfRule type="expression" dxfId="6523" priority="610">
      <formula>$B$9="PLN"</formula>
    </cfRule>
    <cfRule type="expression" dxfId="6522" priority="611">
      <formula>$B$9="CZK"</formula>
    </cfRule>
    <cfRule type="expression" dxfId="6521" priority="612">
      <formula>$B$9="USD"</formula>
    </cfRule>
    <cfRule type="expression" dxfId="6520" priority="613">
      <formula>$B$9="EURO"</formula>
    </cfRule>
  </conditionalFormatting>
  <conditionalFormatting sqref="N31:N44">
    <cfRule type="cellIs" dxfId="6519" priority="265" operator="greaterThan">
      <formula>0</formula>
    </cfRule>
    <cfRule type="expression" dxfId="6518" priority="266">
      <formula>$B$9="EURO"</formula>
    </cfRule>
    <cfRule type="expression" dxfId="6517" priority="267">
      <formula>$B$9="USD"</formula>
    </cfRule>
    <cfRule type="expression" dxfId="6516" priority="268">
      <formula>$B$9="PLN"</formula>
    </cfRule>
    <cfRule type="expression" dxfId="6515" priority="269">
      <formula>$B$9="CZK"</formula>
    </cfRule>
  </conditionalFormatting>
  <conditionalFormatting sqref="N46">
    <cfRule type="expression" dxfId="6514" priority="579">
      <formula>$B$9="PLN"</formula>
    </cfRule>
    <cfRule type="expression" dxfId="6513" priority="580">
      <formula>$B$9="CZK"</formula>
    </cfRule>
    <cfRule type="expression" dxfId="6512" priority="581">
      <formula>$B$9="USD"</formula>
    </cfRule>
    <cfRule type="expression" dxfId="6511" priority="582">
      <formula>$B$9="EURO"</formula>
    </cfRule>
  </conditionalFormatting>
  <conditionalFormatting sqref="N48:N61">
    <cfRule type="cellIs" dxfId="6510" priority="254" operator="greaterThan">
      <formula>0</formula>
    </cfRule>
    <cfRule type="expression" dxfId="6509" priority="255">
      <formula>$B$9="EURO"</formula>
    </cfRule>
    <cfRule type="expression" dxfId="6508" priority="256">
      <formula>$B$9="USD"</formula>
    </cfRule>
    <cfRule type="expression" dxfId="6507" priority="257">
      <formula>$B$9="PLN"</formula>
    </cfRule>
    <cfRule type="expression" dxfId="6506" priority="258">
      <formula>$B$9="CZK"</formula>
    </cfRule>
  </conditionalFormatting>
  <conditionalFormatting sqref="N63">
    <cfRule type="expression" dxfId="6505" priority="550">
      <formula>$B$9="PLN"</formula>
    </cfRule>
    <cfRule type="expression" dxfId="6504" priority="551">
      <formula>$B$9="CZK"</formula>
    </cfRule>
    <cfRule type="expression" dxfId="6503" priority="552">
      <formula>$B$9="USD"</formula>
    </cfRule>
    <cfRule type="expression" dxfId="6502" priority="553">
      <formula>$B$9="EURO"</formula>
    </cfRule>
  </conditionalFormatting>
  <conditionalFormatting sqref="N65:N78">
    <cfRule type="cellIs" dxfId="6501" priority="243" operator="greaterThan">
      <formula>0</formula>
    </cfRule>
    <cfRule type="expression" dxfId="6500" priority="244">
      <formula>$B$9="EURO"</formula>
    </cfRule>
    <cfRule type="expression" dxfId="6499" priority="245">
      <formula>$B$9="USD"</formula>
    </cfRule>
    <cfRule type="expression" dxfId="6498" priority="246">
      <formula>$B$9="PLN"</formula>
    </cfRule>
    <cfRule type="expression" dxfId="6497" priority="247">
      <formula>$B$9="CZK"</formula>
    </cfRule>
  </conditionalFormatting>
  <conditionalFormatting sqref="N80">
    <cfRule type="expression" dxfId="6496" priority="520">
      <formula>$B$9="PLN"</formula>
    </cfRule>
    <cfRule type="expression" dxfId="6495" priority="521">
      <formula>$B$9="CZK"</formula>
    </cfRule>
    <cfRule type="expression" dxfId="6494" priority="522">
      <formula>$B$9="USD"</formula>
    </cfRule>
    <cfRule type="expression" dxfId="6493" priority="523">
      <formula>$B$9="EURO"</formula>
    </cfRule>
  </conditionalFormatting>
  <conditionalFormatting sqref="N82:N95">
    <cfRule type="cellIs" dxfId="6492" priority="232" operator="greaterThan">
      <formula>0</formula>
    </cfRule>
    <cfRule type="expression" dxfId="6491" priority="233">
      <formula>$B$9="EURO"</formula>
    </cfRule>
    <cfRule type="expression" dxfId="6490" priority="234">
      <formula>$B$9="USD"</formula>
    </cfRule>
    <cfRule type="expression" dxfId="6489" priority="235">
      <formula>$B$9="PLN"</formula>
    </cfRule>
    <cfRule type="expression" dxfId="6488" priority="236">
      <formula>$B$9="CZK"</formula>
    </cfRule>
  </conditionalFormatting>
  <conditionalFormatting sqref="N97">
    <cfRule type="expression" dxfId="6487" priority="489">
      <formula>$B$9="PLN"</formula>
    </cfRule>
    <cfRule type="expression" dxfId="6486" priority="490">
      <formula>$B$9="CZK"</formula>
    </cfRule>
    <cfRule type="expression" dxfId="6485" priority="491">
      <formula>$B$9="USD"</formula>
    </cfRule>
    <cfRule type="expression" dxfId="6484" priority="492">
      <formula>$B$9="EURO"</formula>
    </cfRule>
  </conditionalFormatting>
  <conditionalFormatting sqref="N99:N112">
    <cfRule type="cellIs" dxfId="6483" priority="221" operator="greaterThan">
      <formula>0</formula>
    </cfRule>
    <cfRule type="expression" dxfId="6482" priority="222">
      <formula>$B$9="EURO"</formula>
    </cfRule>
    <cfRule type="expression" dxfId="6481" priority="223">
      <formula>$B$9="USD"</formula>
    </cfRule>
    <cfRule type="expression" dxfId="6480" priority="224">
      <formula>$B$9="PLN"</formula>
    </cfRule>
    <cfRule type="expression" dxfId="6479" priority="225">
      <formula>$B$9="CZK"</formula>
    </cfRule>
  </conditionalFormatting>
  <conditionalFormatting sqref="N114">
    <cfRule type="expression" dxfId="6478" priority="321">
      <formula>$B$9="PLN"</formula>
    </cfRule>
    <cfRule type="expression" dxfId="6477" priority="322">
      <formula>$B$9="CZK"</formula>
    </cfRule>
    <cfRule type="expression" dxfId="6476" priority="323">
      <formula>$B$9="USD"</formula>
    </cfRule>
    <cfRule type="expression" dxfId="6475" priority="324">
      <formula>$B$9="EURO"</formula>
    </cfRule>
  </conditionalFormatting>
  <conditionalFormatting sqref="N116:N129 N167:N180">
    <cfRule type="cellIs" dxfId="6474" priority="210" operator="greaterThan">
      <formula>0</formula>
    </cfRule>
    <cfRule type="expression" dxfId="6473" priority="211">
      <formula>$B$9="EURO"</formula>
    </cfRule>
    <cfRule type="expression" dxfId="6472" priority="212">
      <formula>$B$9="USD"</formula>
    </cfRule>
    <cfRule type="expression" dxfId="6471" priority="213">
      <formula>$B$9="PLN"</formula>
    </cfRule>
    <cfRule type="expression" dxfId="6470" priority="214">
      <formula>$B$9="CZK"</formula>
    </cfRule>
  </conditionalFormatting>
  <conditionalFormatting sqref="N131">
    <cfRule type="expression" dxfId="6469" priority="184">
      <formula>$B$9="PLN"</formula>
    </cfRule>
    <cfRule type="expression" dxfId="6468" priority="185">
      <formula>$B$9="CZK"</formula>
    </cfRule>
    <cfRule type="expression" dxfId="6467" priority="186">
      <formula>$B$9="USD"</formula>
    </cfRule>
    <cfRule type="expression" dxfId="6466" priority="187">
      <formula>$B$9="EURO"</formula>
    </cfRule>
  </conditionalFormatting>
  <conditionalFormatting sqref="N133:N146">
    <cfRule type="cellIs" dxfId="6465" priority="23" operator="greaterThan">
      <formula>0</formula>
    </cfRule>
    <cfRule type="expression" dxfId="6464" priority="24">
      <formula>$B$9="EURO"</formula>
    </cfRule>
    <cfRule type="expression" dxfId="6463" priority="25">
      <formula>$B$9="USD"</formula>
    </cfRule>
    <cfRule type="expression" dxfId="6462" priority="26">
      <formula>$B$9="PLN"</formula>
    </cfRule>
    <cfRule type="expression" dxfId="6461" priority="27">
      <formula>$B$9="CZK"</formula>
    </cfRule>
  </conditionalFormatting>
  <conditionalFormatting sqref="N148">
    <cfRule type="expression" dxfId="6460" priority="153">
      <formula>$B$9="PLN"</formula>
    </cfRule>
    <cfRule type="expression" dxfId="6459" priority="154">
      <formula>$B$9="CZK"</formula>
    </cfRule>
    <cfRule type="expression" dxfId="6458" priority="155">
      <formula>$B$9="USD"</formula>
    </cfRule>
    <cfRule type="expression" dxfId="6457" priority="156">
      <formula>$B$9="EURO"</formula>
    </cfRule>
  </conditionalFormatting>
  <conditionalFormatting sqref="N150:N163">
    <cfRule type="cellIs" dxfId="6456" priority="12" operator="greaterThan">
      <formula>0</formula>
    </cfRule>
    <cfRule type="expression" dxfId="6455" priority="13">
      <formula>$B$9="EURO"</formula>
    </cfRule>
    <cfRule type="expression" dxfId="6454" priority="14">
      <formula>$B$9="USD"</formula>
    </cfRule>
    <cfRule type="expression" dxfId="6453" priority="15">
      <formula>$B$9="PLN"</formula>
    </cfRule>
    <cfRule type="expression" dxfId="6452" priority="16">
      <formula>$B$9="CZK"</formula>
    </cfRule>
  </conditionalFormatting>
  <conditionalFormatting sqref="N165">
    <cfRule type="expression" dxfId="6451" priority="77">
      <formula>$B$9="PLN"</formula>
    </cfRule>
    <cfRule type="expression" dxfId="6450" priority="78">
      <formula>$B$9="CZK"</formula>
    </cfRule>
    <cfRule type="expression" dxfId="6449" priority="79">
      <formula>$B$9="USD"</formula>
    </cfRule>
    <cfRule type="expression" dxfId="6448" priority="80">
      <formula>$B$9="EURO"</formula>
    </cfRule>
  </conditionalFormatting>
  <conditionalFormatting sqref="N183:N197">
    <cfRule type="cellIs" dxfId="6447" priority="638" operator="greaterThan">
      <formula>0</formula>
    </cfRule>
    <cfRule type="expression" dxfId="6446" priority="639">
      <formula>$B$9="EURO"</formula>
    </cfRule>
    <cfRule type="expression" dxfId="6445" priority="640">
      <formula>$B$9="USD"</formula>
    </cfRule>
    <cfRule type="expression" dxfId="6444" priority="641">
      <formula>$B$9="PLN"</formula>
    </cfRule>
    <cfRule type="expression" dxfId="6443" priority="642">
      <formula>$B$9="CZK"</formula>
    </cfRule>
  </conditionalFormatting>
  <conditionalFormatting sqref="N182:O182">
    <cfRule type="expression" dxfId="6442" priority="646">
      <formula>$B$9="PLN"</formula>
    </cfRule>
    <cfRule type="expression" dxfId="6441" priority="647">
      <formula>$B$9="CZK"</formula>
    </cfRule>
    <cfRule type="expression" dxfId="6440" priority="648">
      <formula>$B$9="USD"</formula>
    </cfRule>
    <cfRule type="expression" dxfId="6439" priority="649">
      <formula>$B$9="EURO"</formula>
    </cfRule>
  </conditionalFormatting>
  <conditionalFormatting sqref="O14:O27">
    <cfRule type="cellIs" dxfId="6438" priority="635" operator="greaterThan">
      <formula>0</formula>
    </cfRule>
  </conditionalFormatting>
  <conditionalFormatting sqref="O31:O44">
    <cfRule type="cellIs" dxfId="6437" priority="270" operator="greaterThan">
      <formula>0</formula>
    </cfRule>
  </conditionalFormatting>
  <conditionalFormatting sqref="O48:O61">
    <cfRule type="cellIs" dxfId="6436" priority="259" operator="greaterThan">
      <formula>0</formula>
    </cfRule>
  </conditionalFormatting>
  <conditionalFormatting sqref="O65:O78">
    <cfRule type="cellIs" dxfId="6435" priority="248" operator="greaterThan">
      <formula>0</formula>
    </cfRule>
  </conditionalFormatting>
  <conditionalFormatting sqref="O82:O95">
    <cfRule type="cellIs" dxfId="6434" priority="237" operator="greaterThan">
      <formula>0</formula>
    </cfRule>
  </conditionalFormatting>
  <conditionalFormatting sqref="O99:O112">
    <cfRule type="cellIs" dxfId="6433" priority="226" operator="greaterThan">
      <formula>0</formula>
    </cfRule>
  </conditionalFormatting>
  <conditionalFormatting sqref="O116:O129 O167:O180">
    <cfRule type="cellIs" dxfId="6432" priority="215" operator="greaterThan">
      <formula>0</formula>
    </cfRule>
  </conditionalFormatting>
  <conditionalFormatting sqref="O133:O146">
    <cfRule type="cellIs" dxfId="6431" priority="28" operator="greaterThan">
      <formula>0</formula>
    </cfRule>
  </conditionalFormatting>
  <conditionalFormatting sqref="O150:O163">
    <cfRule type="cellIs" dxfId="6430" priority="17" operator="greaterThan">
      <formula>0</formula>
    </cfRule>
  </conditionalFormatting>
  <conditionalFormatting sqref="O183:O197">
    <cfRule type="cellIs" dxfId="6429" priority="660" operator="greaterThan">
      <formula>0</formula>
    </cfRule>
  </conditionalFormatting>
  <conditionalFormatting sqref="Q16">
    <cfRule type="cellIs" dxfId="6428" priority="405" operator="greaterThan">
      <formula>0</formula>
    </cfRule>
    <cfRule type="expression" dxfId="6427" priority="406">
      <formula>$B$9="EURO"</formula>
    </cfRule>
    <cfRule type="expression" dxfId="6426" priority="407">
      <formula>$B$9="USD"</formula>
    </cfRule>
    <cfRule type="expression" dxfId="6425" priority="408">
      <formula>$B$9="PLN"</formula>
    </cfRule>
    <cfRule type="expression" dxfId="6424" priority="409">
      <formula>$B$9="CZK"</formula>
    </cfRule>
  </conditionalFormatting>
  <dataValidations count="7">
    <dataValidation type="list" allowBlank="1" showInputMessage="1" showErrorMessage="1" sqref="D26 D94 D77 D60 D43 D111 D128 D145 D162 D179" xr:uid="{D70581D8-3737-E842-8CF1-8CB857388466}">
      <formula1>"0,1,2,3,4,5,6,7,8,9,10"</formula1>
    </dataValidation>
    <dataValidation type="list" allowBlank="1" showInputMessage="1" showErrorMessage="1" sqref="G181" xr:uid="{46F2B62D-E7CF-4942-B12C-BDBECF5D1568}">
      <formula1>#REF!</formula1>
    </dataValidation>
    <dataValidation type="list" allowBlank="1" showInputMessage="1" showErrorMessage="1" sqref="C99 C31 C82 C65 C48 C14 C116 C150 C133 C167" xr:uid="{2B9337B7-E50B-194C-8564-02039C79D4EF}">
      <formula1>"WALL, ISLAND"</formula1>
    </dataValidation>
    <dataValidation operator="greaterThan" allowBlank="1" showInputMessage="1" showErrorMessage="1" sqref="E14 E65 E48 E31 E82 E99 E116 E133 E150 E167" xr:uid="{4E2C192C-13A2-1840-8208-4E3F079AEA95}"/>
    <dataValidation type="list" allowBlank="1" showInputMessage="1" showErrorMessage="1" sqref="C71:C72 C37:C38 C88:C89 C20:C21 I84 I16 C54:C55 I67 I33 I50 C105:C106 I101 C122:C123 I118 C139:C140 I135 C156:C157 I152 C173:C174 I169" xr:uid="{6BE601A4-422A-1D42-9B31-1F23260650BA}">
      <formula1>"0,1,2,3,4,5,6,7,8,9,10,11,12,13,14,15,16,17,18,19,20"</formula1>
    </dataValidation>
    <dataValidation type="list" allowBlank="1" showInputMessage="1" showErrorMessage="1" errorTitle="Minimum number of sections " error="Must be greater than zero" sqref="H14 H65 H48 H31 H82 H99 H116 H133 H150 H167" xr:uid="{05715C0D-C7A2-564C-8D56-5E43C2071D5C}">
      <formula1>"1,2,3,4,5,6,7,8,9,10"</formula1>
    </dataValidation>
    <dataValidation type="list" allowBlank="1" showInputMessage="1" showErrorMessage="1" sqref="C27 C78 C95 C44 C61 C112 C129 C146 C163 C180" xr:uid="{1B942F26-C6D2-344F-8EEA-8299BCD30A8C}">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E6064AA2-D031-214A-8073-747D90903719}">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8CF8EAA6-076D-6E46-8180-144B246BFFDB}">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907DBD23-6D06-6444-8AA3-C98C31A34B66}">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F2B0B0E7-42B2-DB4F-89C9-55D32635765B}">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F93FDDBD-112C-EF4F-9CB5-37C32376FC2B}">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C1E432D5-9AB1-A14C-8966-6D37F6F8BF4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6D17F89A-C6AB-2746-97B9-F79074D06D29}">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C1FCEC5F-7C92-6F4D-8813-880CE71F81B9}">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F966C930-220D-6640-A23F-8A0F0D1C1FD7}">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2939C61A-C922-5445-948B-854542F1F2D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FE62CF7B-5980-4E47-9AAA-7EDC2F061A1D}">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8940F5A9-600D-7343-AFFC-BF79F0FB0946}">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DC532B83-F015-B94C-BDCB-3143E495BD34}">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57F85343-6CC0-A94F-A79B-BD74DE1BCF9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9B9A1E1C-5F5E-894F-99E0-B03591679798}">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68B57687-6069-334D-A84A-9DFF58055C5C}">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B1D400E8-114B-C540-A89F-EA9E680A3324}">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AFC0090D-9A6A-3949-B8D9-43E02AB2E9D4}">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CDA36D17-C378-0A45-8D79-A9D70C7D2F5C}">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01030372-5BFA-7D46-81AC-1DEA63457D85}">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969EAC21-EAA9-0F49-8B27-F853A4480954}">
          <x14:formula1>
            <xm:f>'Base Costs'!$U$44:$U$56</xm:f>
          </x14:formula1>
          <xm:sqref>C17 C170 C153 C136 C119 C102 C85 C68 C51 C34</xm:sqref>
        </x14:dataValidation>
        <x14:dataValidation type="list" allowBlank="1" showInputMessage="1" showErrorMessage="1" xr:uid="{D3A1785C-EC90-A94D-B5C4-0233BB2AC1CD}">
          <x14:formula1>
            <xm:f>'Base Costs'!$U$4:$U$41</xm:f>
          </x14:formula1>
          <xm:sqref>C33 C152 C135 C169 C16 C101 C84 C67 C50 C118</xm:sqref>
        </x14:dataValidation>
        <x14:dataValidation type="list" allowBlank="1" showInputMessage="1" showErrorMessage="1" xr:uid="{3AA1AA67-A390-CF40-B2A4-8C4FAF55C1F6}">
          <x14:formula1>
            <xm:f>'Base Costs'!$Q$35:$Q$45</xm:f>
          </x14:formula1>
          <xm:sqref>C43 C145 C162 C179 C60 C77 C94 C111 C26 C128</xm:sqref>
        </x14:dataValidation>
        <x14:dataValidation type="list" allowBlank="1" showInputMessage="1" showErrorMessage="1" xr:uid="{0000503B-5A9B-0F42-92AD-FAE621D731B0}">
          <x14:formula1>
            <xm:f>'Base Costs'!$A$19:$A$22</xm:f>
          </x14:formula1>
          <xm:sqref>C19 C138 C155 C172 C36 C87 C70 C53 C104 C121</xm:sqref>
        </x14:dataValidation>
        <x14:dataValidation type="list" allowBlank="1" showInputMessage="1" showErrorMessage="1" xr:uid="{F97C4448-BFB2-4242-9F9C-EBE6295AB8FC}">
          <x14:formula1>
            <xm:f>'Base Costs'!$A$4:$A$16</xm:f>
          </x14:formula1>
          <xm:sqref>D184:D185</xm:sqref>
        </x14:dataValidation>
        <x14:dataValidation type="list" allowBlank="1" showInputMessage="1" showErrorMessage="1" xr:uid="{4160F6CF-D903-2044-A16F-880DFA5F6191}">
          <x14:formula1>
            <xm:f>'Base Costs'!$E$4:$E$213</xm:f>
          </x14:formula1>
          <xm:sqref>D183 D186</xm:sqref>
        </x14:dataValidation>
        <x14:dataValidation type="list" allowBlank="1" showInputMessage="1" showErrorMessage="1" xr:uid="{D13ABE9F-3FF5-8541-979C-C9149A430191}">
          <x14:formula1>
            <xm:f>'Base Costs'!$A$32:$A$37</xm:f>
          </x14:formula1>
          <xm:sqref>B9</xm:sqref>
        </x14:dataValidation>
        <x14:dataValidation type="list" allowBlank="1" showInputMessage="1" showErrorMessage="1" xr:uid="{7B008EAE-2326-3541-BF55-EE223F79BBDA}">
          <x14:formula1>
            <xm:f>CCBASE!$A$81:$A$85</xm:f>
          </x14:formula1>
          <xm:sqref>C25 C42 C93 C76 C59 C110 C127 C144 C161 C178</xm:sqref>
        </x14:dataValidation>
        <x14:dataValidation type="list" allowBlank="1" showInputMessage="1" showErrorMessage="1" xr:uid="{914C9E75-69ED-134E-8BCC-9477BC11AD12}">
          <x14:formula1>
            <xm:f>CCBASE!$A$53:$A$73</xm:f>
          </x14:formula1>
          <xm:sqref>C52 C69 C18 C35 C103 C86 C120 C154 C137 C171</xm:sqref>
        </x14:dataValidation>
        <x14:dataValidation type="list" allowBlank="1" showInputMessage="1" showErrorMessage="1" xr:uid="{91880AC1-E1C8-ED4F-BB2F-C0DC27428165}">
          <x14:formula1>
            <xm:f>'Base Costs'!$A$39:$A$53</xm:f>
          </x14:formula1>
          <xm:sqref>D14 D150 D133 D167 D31 D99 D48 D82 D65 D116</xm:sqref>
        </x14:dataValidation>
        <x14:dataValidation type="list" allowBlank="1" showInputMessage="1" showErrorMessage="1" xr:uid="{8C440930-6A74-A44A-BD49-E3C917AF92A7}">
          <x14:formula1>
            <xm:f>'Base Costs'!$M$4:$M$21</xm:f>
          </x14:formula1>
          <xm:sqref>C32 C151 C134 C168 C100 C49 C66 C83 C117</xm:sqref>
        </x14:dataValidation>
        <x14:dataValidation type="list" allowBlank="1" showInputMessage="1" showErrorMessage="1" xr:uid="{CE3149B4-BF4E-014E-AE68-620CEC38AB76}">
          <x14:formula1>
            <xm:f>'Base Costs'!$M$4:$M$23</xm:f>
          </x14:formula1>
          <xm:sqref>C15</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CF8DE-77C7-0749-BB50-92F3D10FDC1C}">
  <sheetPr>
    <tabColor theme="8" tint="0.79998168889431442"/>
    <pageSetUpPr fitToPage="1"/>
  </sheetPr>
  <dimension ref="A1:AE117"/>
  <sheetViews>
    <sheetView topLeftCell="A14" zoomScale="80" zoomScaleNormal="80" workbookViewId="0">
      <selection activeCell="R29" sqref="R29"/>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56" t="s">
        <v>1502</v>
      </c>
      <c r="C1" s="1156"/>
      <c r="D1" s="1156"/>
      <c r="E1" s="160"/>
      <c r="F1" s="161"/>
      <c r="G1" s="162"/>
      <c r="H1" s="163"/>
      <c r="I1" s="161"/>
      <c r="J1" s="161"/>
      <c r="K1" s="989" t="s">
        <v>1501</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8" t="e">
        <f>IF(#REF!="","",#REF!)</f>
        <v>#REF!</v>
      </c>
      <c r="D4" s="1158"/>
      <c r="E4" s="177" t="s">
        <v>78</v>
      </c>
      <c r="F4" s="1159" t="e">
        <f>IF(#REF!="","",#REF!)</f>
        <v>#REF!</v>
      </c>
      <c r="G4" s="1159"/>
      <c r="H4" s="1159"/>
      <c r="I4" s="1157"/>
      <c r="J4" s="1157"/>
      <c r="K4" s="1157"/>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8" t="e">
        <f>IF(#REF!="","",#REF!)</f>
        <v>#REF!</v>
      </c>
      <c r="D6" s="1158"/>
      <c r="E6" s="177" t="s">
        <v>77</v>
      </c>
      <c r="F6" s="1159" t="e">
        <f>IF(#REF!="","",#REF!)</f>
        <v>#REF!</v>
      </c>
      <c r="G6" s="1159"/>
      <c r="H6" s="1159"/>
      <c r="I6" s="1157"/>
      <c r="J6" s="1157"/>
      <c r="K6" s="1157"/>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8" t="e">
        <f>IF(#REF!="","",#REF!)</f>
        <v>#REF!</v>
      </c>
      <c r="D8" s="1158"/>
      <c r="E8" s="181" t="s">
        <v>76</v>
      </c>
      <c r="F8" s="1160" t="e">
        <f>IF(#REF!="","",#REF!)</f>
        <v>#REF!</v>
      </c>
      <c r="G8" s="1160"/>
      <c r="H8" s="1160"/>
      <c r="J8" s="187" t="s">
        <v>79</v>
      </c>
      <c r="K8" s="1148" t="e">
        <f>IF(#REF!="","",#REF!)</f>
        <v>#REF!</v>
      </c>
      <c r="L8" s="1148"/>
      <c r="M8" s="467"/>
      <c r="N8" s="1094" t="s">
        <v>1409</v>
      </c>
      <c r="O8" s="1094"/>
      <c r="P8" s="1094"/>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0"/>
      <c r="F10" s="1151"/>
      <c r="G10" s="25">
        <f>SUBTOTAL(9,G14:G102)</f>
        <v>1488</v>
      </c>
      <c r="H10" s="981">
        <f>IF(K10=0,"-",K10/I10)</f>
        <v>0.40143664399961704</v>
      </c>
      <c r="I10" s="25">
        <f>SUBTOTAL(9,I14:I102)</f>
        <v>2485.9523809523807</v>
      </c>
      <c r="J10" s="464">
        <f>SUBTOTAL(9,J14:J102)</f>
        <v>2485.9523809523807</v>
      </c>
      <c r="K10" s="25">
        <f>SUBTOTAL(9,K14:K102)</f>
        <v>997.95238095238119</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1488</v>
      </c>
      <c r="H13" s="145">
        <f>IF(G13=0,"-",K13/I13)</f>
        <v>0.40143664399961704</v>
      </c>
      <c r="I13" s="61">
        <f>SUBTOTAL(9,I14:I32)</f>
        <v>2485.9523809523807</v>
      </c>
      <c r="J13" s="465">
        <f>SUBTOTAL(9,J14:J32)</f>
        <v>2485.9523809523807</v>
      </c>
      <c r="K13" s="61">
        <f>SUBTOTAL(9,K14:K32)</f>
        <v>997.95238095238119</v>
      </c>
      <c r="L13" s="469"/>
      <c r="O13" s="840" t="s">
        <v>918</v>
      </c>
      <c r="Q13" s="1154" t="s">
        <v>664</v>
      </c>
      <c r="R13" s="1155"/>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v>1</v>
      </c>
      <c r="D30" s="269" t="s">
        <v>491</v>
      </c>
      <c r="E30" s="315"/>
      <c r="F30" s="380">
        <f>'Base Costs'!AX22</f>
        <v>700</v>
      </c>
      <c r="G30" s="378">
        <f t="shared" si="2"/>
        <v>700</v>
      </c>
      <c r="H30" s="381">
        <v>0.4</v>
      </c>
      <c r="I30" s="311">
        <f t="shared" si="0"/>
        <v>1166.6666666666667</v>
      </c>
      <c r="J30" s="378">
        <f>I30*VLOOKUP($B$10,'Base Costs'!$A$32:$B$37,2,FALSE)</f>
        <v>1166.6666666666667</v>
      </c>
      <c r="K30" s="379">
        <f t="shared" si="1"/>
        <v>466.66666666666674</v>
      </c>
      <c r="L30" s="469"/>
      <c r="M30" s="469"/>
      <c r="N30" s="469"/>
      <c r="Q30" s="164"/>
      <c r="R30" s="164"/>
    </row>
    <row r="31" spans="1:18" ht="15.75" customHeight="1" x14ac:dyDescent="0.2">
      <c r="A31" s="299">
        <v>268</v>
      </c>
      <c r="B31" s="269" t="s">
        <v>55</v>
      </c>
      <c r="C31" s="314">
        <v>1</v>
      </c>
      <c r="D31" s="269" t="s">
        <v>491</v>
      </c>
      <c r="E31" s="315"/>
      <c r="F31" s="380">
        <f>'Base Costs'!AX23</f>
        <v>380</v>
      </c>
      <c r="G31" s="378">
        <f t="shared" si="2"/>
        <v>380</v>
      </c>
      <c r="H31" s="381">
        <v>0.4</v>
      </c>
      <c r="I31" s="311">
        <f t="shared" si="0"/>
        <v>633.33333333333337</v>
      </c>
      <c r="J31" s="378">
        <f>I31*VLOOKUP($B$10,'Base Costs'!$A$32:$B$37,2,FALSE)</f>
        <v>633.33333333333337</v>
      </c>
      <c r="K31" s="379">
        <f t="shared" si="1"/>
        <v>253.33333333333337</v>
      </c>
      <c r="L31" s="469"/>
      <c r="M31" s="469"/>
      <c r="N31" s="469"/>
      <c r="Q31" s="164"/>
      <c r="R31" s="164"/>
    </row>
    <row r="32" spans="1:18" ht="15.75" customHeight="1" x14ac:dyDescent="0.2">
      <c r="A32" s="299">
        <v>268</v>
      </c>
      <c r="B32" s="269" t="s">
        <v>56</v>
      </c>
      <c r="C32" s="314">
        <v>1</v>
      </c>
      <c r="D32" s="269" t="s">
        <v>442</v>
      </c>
      <c r="E32" s="315"/>
      <c r="F32" s="380">
        <f>'Base Costs'!AX24</f>
        <v>358</v>
      </c>
      <c r="G32" s="378">
        <f t="shared" si="2"/>
        <v>358</v>
      </c>
      <c r="H32" s="381">
        <v>0.4</v>
      </c>
      <c r="I32" s="311">
        <f t="shared" si="0"/>
        <v>596.66666666666674</v>
      </c>
      <c r="J32" s="378">
        <f>I32*VLOOKUP($B$10,'Base Costs'!$A$32:$B$37,2,FALSE)</f>
        <v>596.66666666666674</v>
      </c>
      <c r="K32" s="379">
        <f t="shared" si="1"/>
        <v>238.66666666666674</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61"/>
      <c r="P34" s="1161"/>
      <c r="Q34" s="815"/>
      <c r="R34" s="815"/>
      <c r="S34" s="1162"/>
      <c r="T34" s="1162"/>
      <c r="U34" s="1162"/>
      <c r="V34" s="1162"/>
      <c r="Y34" s="1163"/>
      <c r="Z34" s="1163"/>
      <c r="AA34" s="1163"/>
      <c r="AB34" s="1163"/>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49"/>
      <c r="P35" s="1149"/>
      <c r="Q35" s="815"/>
      <c r="R35" s="815"/>
      <c r="S35" s="1152"/>
      <c r="T35" s="1152"/>
      <c r="U35" s="1152"/>
      <c r="V35" s="1152"/>
      <c r="W35" s="822"/>
      <c r="Y35" s="1152"/>
      <c r="Z35" s="1152"/>
      <c r="AA35" s="1152"/>
      <c r="AB35" s="1152"/>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49"/>
      <c r="P36" s="1149"/>
      <c r="Q36" s="815"/>
      <c r="R36" s="815"/>
      <c r="S36" s="1152"/>
      <c r="T36" s="1152"/>
      <c r="U36" s="1152"/>
      <c r="V36" s="1152"/>
      <c r="W36" s="822"/>
      <c r="Y36" s="1152"/>
      <c r="Z36" s="1152"/>
      <c r="AA36" s="1152"/>
      <c r="AB36" s="1152"/>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49"/>
      <c r="P37" s="1149"/>
      <c r="Q37" s="815"/>
      <c r="R37" s="815"/>
      <c r="S37" s="1152"/>
      <c r="T37" s="1152"/>
      <c r="U37" s="1152"/>
      <c r="V37" s="1152"/>
      <c r="W37" s="822"/>
      <c r="Y37" s="1152"/>
      <c r="Z37" s="1152"/>
      <c r="AA37" s="1152"/>
      <c r="AB37" s="1152"/>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1481</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49"/>
      <c r="P39" s="1149"/>
      <c r="Q39" s="815"/>
      <c r="R39" s="815"/>
      <c r="S39" s="1152"/>
      <c r="T39" s="1152"/>
      <c r="U39" s="1152"/>
      <c r="V39" s="1152"/>
      <c r="W39" s="822"/>
      <c r="Y39" s="1152"/>
      <c r="Z39" s="1152"/>
      <c r="AA39" s="1152"/>
      <c r="AB39" s="1152"/>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49"/>
      <c r="P40" s="1149"/>
      <c r="Q40" s="815"/>
      <c r="R40" s="815"/>
      <c r="S40" s="1152"/>
      <c r="T40" s="1152"/>
      <c r="U40" s="1152"/>
      <c r="V40" s="1152"/>
      <c r="W40" s="822"/>
      <c r="Y40" s="1152"/>
      <c r="Z40" s="1152"/>
      <c r="AA40" s="1152"/>
      <c r="AB40" s="1152"/>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49"/>
      <c r="P41" s="1149"/>
      <c r="Q41" s="815"/>
      <c r="R41" s="815"/>
      <c r="Y41" s="1153"/>
      <c r="Z41" s="1153"/>
      <c r="AA41" s="1153"/>
      <c r="AB41" s="1153"/>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Costs'!$AU$65:$BA$72,7,FALSE)),0)</f>
        <v>0</v>
      </c>
      <c r="M49" s="820">
        <f>L49*C49</f>
        <v>0</v>
      </c>
      <c r="N49" s="469"/>
      <c r="O49" s="1149"/>
      <c r="P49" s="1149"/>
      <c r="Q49" s="815"/>
      <c r="R49" s="815"/>
      <c r="Y49" s="1153"/>
      <c r="Z49" s="1153"/>
      <c r="AA49" s="1153"/>
      <c r="AB49" s="1153"/>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Costs'!$AU$65:$BA$72,7,FALSE)),0)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Costs'!$AU$65:$BA$72,7,FALSE)),0)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Costs'!$AU$65:$BA$72,7,FALSE)),0)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Costs'!$AU$65:$BA$72,7,FALSE)),0)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Costs'!$AU$65:$BA$72,7,FALSE)),0)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Costs'!$AU$65:$BA$72,7,FALSE)),0)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Costs'!$AU$65:$BA$72,7,FALSE)),0)</f>
        <v>0</v>
      </c>
      <c r="M56" s="820">
        <f t="shared" si="11"/>
        <v>0</v>
      </c>
      <c r="N56" s="469"/>
      <c r="O56" s="1149"/>
      <c r="P56" s="1149"/>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49"/>
      <c r="P57" s="1149"/>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49"/>
      <c r="P58" s="1149"/>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49"/>
      <c r="P59" s="1149"/>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49"/>
      <c r="P60" s="1149"/>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49"/>
      <c r="P61" s="1149"/>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49"/>
      <c r="P62" s="1149"/>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49"/>
      <c r="P63" s="1149"/>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49"/>
      <c r="P64" s="1149"/>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49"/>
      <c r="P65" s="1149"/>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49"/>
      <c r="P66" s="1149"/>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49"/>
      <c r="P67" s="1149"/>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49"/>
      <c r="P68" s="1149"/>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46" t="s">
        <v>1478</v>
      </c>
      <c r="E99" s="1147"/>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2485.9523809523807</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2485.9523809523807</v>
      </c>
      <c r="D108" s="202"/>
      <c r="E108" s="204"/>
      <c r="F108" s="202"/>
      <c r="G108" s="209"/>
      <c r="H108" s="206"/>
      <c r="I108" s="203"/>
      <c r="J108" s="203"/>
      <c r="K108" s="209"/>
    </row>
    <row r="109" spans="1:18" ht="15.75" customHeight="1" thickBot="1" x14ac:dyDescent="0.25">
      <c r="A109" s="299">
        <v>280</v>
      </c>
      <c r="B109" s="580" t="s">
        <v>666</v>
      </c>
      <c r="C109" s="916">
        <f>C108+J102</f>
        <v>2485.9523809523807</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O64:P64"/>
    <mergeCell ref="O65:P65"/>
    <mergeCell ref="O66:P66"/>
    <mergeCell ref="O67:P67"/>
    <mergeCell ref="O68:P68"/>
    <mergeCell ref="D99:E99"/>
    <mergeCell ref="O58:P58"/>
    <mergeCell ref="O59:P59"/>
    <mergeCell ref="O60:P60"/>
    <mergeCell ref="O61:P61"/>
    <mergeCell ref="O62:P62"/>
    <mergeCell ref="O63:P63"/>
    <mergeCell ref="O41:P41"/>
    <mergeCell ref="Y41:AB41"/>
    <mergeCell ref="O49:P49"/>
    <mergeCell ref="Y49:AB49"/>
    <mergeCell ref="O56:P56"/>
    <mergeCell ref="O57:P57"/>
    <mergeCell ref="O39:P39"/>
    <mergeCell ref="S39:V39"/>
    <mergeCell ref="Y39:AB39"/>
    <mergeCell ref="O40:P40"/>
    <mergeCell ref="S40:V40"/>
    <mergeCell ref="Y40:AB40"/>
    <mergeCell ref="O36:P36"/>
    <mergeCell ref="S36:V36"/>
    <mergeCell ref="Y36:AB36"/>
    <mergeCell ref="O37:P37"/>
    <mergeCell ref="S37:V37"/>
    <mergeCell ref="Y37:AB37"/>
    <mergeCell ref="O34:P34"/>
    <mergeCell ref="S34:V34"/>
    <mergeCell ref="Y34:AB34"/>
    <mergeCell ref="O35:P35"/>
    <mergeCell ref="S35:V35"/>
    <mergeCell ref="Y35:AB35"/>
    <mergeCell ref="C8:D8"/>
    <mergeCell ref="F8:H8"/>
    <mergeCell ref="K8:L8"/>
    <mergeCell ref="N8:P8"/>
    <mergeCell ref="E10:F10"/>
    <mergeCell ref="Q13:R13"/>
    <mergeCell ref="B1:D1"/>
    <mergeCell ref="C4:D4"/>
    <mergeCell ref="F4:H4"/>
    <mergeCell ref="I4:K4"/>
    <mergeCell ref="C6:D6"/>
    <mergeCell ref="F6:H6"/>
    <mergeCell ref="I6:K6"/>
  </mergeCells>
  <conditionalFormatting sqref="B10">
    <cfRule type="containsText" dxfId="6423" priority="33" operator="containsText" text="SELECT">
      <formula>NOT(ISERROR(SEARCH("SELECT",B10)))</formula>
    </cfRule>
    <cfRule type="expression" dxfId="6422" priority="34">
      <formula>B10="CURRENCY"</formula>
    </cfRule>
  </conditionalFormatting>
  <conditionalFormatting sqref="B14:B40">
    <cfRule type="expression" dxfId="6421" priority="12">
      <formula>$C14&gt;0</formula>
    </cfRule>
  </conditionalFormatting>
  <conditionalFormatting sqref="B35 B41:B56">
    <cfRule type="expression" dxfId="6420" priority="42">
      <formula>$D35&gt;0</formula>
    </cfRule>
  </conditionalFormatting>
  <conditionalFormatting sqref="B57:B68">
    <cfRule type="expression" dxfId="6419" priority="17">
      <formula>$C57&gt;0</formula>
    </cfRule>
  </conditionalFormatting>
  <conditionalFormatting sqref="B71:B82">
    <cfRule type="expression" dxfId="6418" priority="16">
      <formula>$C71&gt;0</formula>
    </cfRule>
  </conditionalFormatting>
  <conditionalFormatting sqref="B85:B93">
    <cfRule type="expression" dxfId="6417" priority="15">
      <formula>$C85&gt;0</formula>
    </cfRule>
  </conditionalFormatting>
  <conditionalFormatting sqref="B96:B102">
    <cfRule type="expression" dxfId="6416" priority="14">
      <formula>$C96&gt;0</formula>
    </cfRule>
  </conditionalFormatting>
  <conditionalFormatting sqref="C14:C32 C71:C82 C85:C93">
    <cfRule type="cellIs" dxfId="6415" priority="35" operator="equal">
      <formula>0</formula>
    </cfRule>
  </conditionalFormatting>
  <conditionalFormatting sqref="C35:C68">
    <cfRule type="cellIs" dxfId="6414" priority="11" operator="equal">
      <formula>0</formula>
    </cfRule>
  </conditionalFormatting>
  <conditionalFormatting sqref="C96:C102">
    <cfRule type="cellIs" dxfId="6413" priority="13" operator="equal">
      <formula>0</formula>
    </cfRule>
  </conditionalFormatting>
  <conditionalFormatting sqref="C10:D10">
    <cfRule type="cellIs" dxfId="6412" priority="31" operator="lessThan">
      <formula>0</formula>
    </cfRule>
    <cfRule type="cellIs" dxfId="6411" priority="32" operator="greaterThan">
      <formula>0</formula>
    </cfRule>
  </conditionalFormatting>
  <conditionalFormatting sqref="F14:F68">
    <cfRule type="expression" dxfId="6410" priority="1">
      <formula>C14&gt;0</formula>
    </cfRule>
  </conditionalFormatting>
  <conditionalFormatting sqref="F35:F64">
    <cfRule type="expression" dxfId="6409" priority="2">
      <formula>D35&gt;0</formula>
    </cfRule>
  </conditionalFormatting>
  <conditionalFormatting sqref="F71:F82">
    <cfRule type="expression" dxfId="6408" priority="30">
      <formula>C71&gt;0</formula>
    </cfRule>
  </conditionalFormatting>
  <conditionalFormatting sqref="F85:F93">
    <cfRule type="expression" dxfId="6407" priority="28">
      <formula>C85&gt;0</formula>
    </cfRule>
  </conditionalFormatting>
  <conditionalFormatting sqref="F96:F102">
    <cfRule type="expression" dxfId="6406" priority="29">
      <formula>C96&gt;0</formula>
    </cfRule>
  </conditionalFormatting>
  <conditionalFormatting sqref="G14:G32">
    <cfRule type="cellIs" dxfId="6405" priority="27" operator="greaterThan">
      <formula>0</formula>
    </cfRule>
  </conditionalFormatting>
  <conditionalFormatting sqref="G35:G68">
    <cfRule type="cellIs" dxfId="6404" priority="3" operator="greaterThan">
      <formula>0</formula>
    </cfRule>
  </conditionalFormatting>
  <conditionalFormatting sqref="G71:G82 G85:G93 G96:G102">
    <cfRule type="cellIs" dxfId="6403" priority="26" operator="greaterThan">
      <formula>0</formula>
    </cfRule>
  </conditionalFormatting>
  <conditionalFormatting sqref="H14:H32">
    <cfRule type="expression" dxfId="6402" priority="40">
      <formula>$C$10&gt;0</formula>
    </cfRule>
    <cfRule type="expression" dxfId="6401" priority="41">
      <formula>$C$10&lt;0</formula>
    </cfRule>
  </conditionalFormatting>
  <conditionalFormatting sqref="H35:H68">
    <cfRule type="expression" dxfId="6400" priority="9">
      <formula>$C$10&gt;0</formula>
    </cfRule>
  </conditionalFormatting>
  <conditionalFormatting sqref="H35:H82">
    <cfRule type="expression" dxfId="6399" priority="23">
      <formula>$C$10&lt;0</formula>
    </cfRule>
  </conditionalFormatting>
  <conditionalFormatting sqref="H40:H68">
    <cfRule type="expression" dxfId="6398" priority="10">
      <formula>$C$10&lt;0</formula>
    </cfRule>
  </conditionalFormatting>
  <conditionalFormatting sqref="H71:H82">
    <cfRule type="expression" dxfId="6397" priority="22">
      <formula>$C$10&gt;0</formula>
    </cfRule>
  </conditionalFormatting>
  <conditionalFormatting sqref="H85:H93">
    <cfRule type="expression" dxfId="6396" priority="20">
      <formula>$C$10&gt;0</formula>
    </cfRule>
    <cfRule type="expression" dxfId="6395" priority="21">
      <formula>$C$10&lt;0</formula>
    </cfRule>
  </conditionalFormatting>
  <conditionalFormatting sqref="H96:H102">
    <cfRule type="expression" dxfId="6394" priority="18">
      <formula>$C$10&gt;0</formula>
    </cfRule>
    <cfRule type="expression" dxfId="6393" priority="19">
      <formula>$C$10&lt;0</formula>
    </cfRule>
  </conditionalFormatting>
  <conditionalFormatting sqref="J1:J7 J9:J33">
    <cfRule type="expression" dxfId="6392" priority="36">
      <formula>$B$10="EURO"</formula>
    </cfRule>
    <cfRule type="expression" dxfId="6391" priority="37">
      <formula>$B$10="USD"</formula>
    </cfRule>
    <cfRule type="expression" dxfId="6390" priority="38">
      <formula>$B$10="PLN"</formula>
    </cfRule>
    <cfRule type="expression" dxfId="6389" priority="39">
      <formula>$B$10="CZK"</formula>
    </cfRule>
  </conditionalFormatting>
  <conditionalFormatting sqref="J35:J69">
    <cfRule type="expression" dxfId="6388" priority="5">
      <formula>$B$10="EURO"</formula>
    </cfRule>
  </conditionalFormatting>
  <conditionalFormatting sqref="J35:J1048576">
    <cfRule type="expression" dxfId="6387" priority="6">
      <formula>$B$10="USD"</formula>
    </cfRule>
    <cfRule type="expression" dxfId="6386" priority="7">
      <formula>$B$10="PLN"</formula>
    </cfRule>
    <cfRule type="expression" dxfId="6385" priority="8">
      <formula>$B$10="CZK"</formula>
    </cfRule>
  </conditionalFormatting>
  <conditionalFormatting sqref="J71:J83 J85:J94 J96:J1048576">
    <cfRule type="expression" dxfId="6384" priority="25">
      <formula>$B$10="EURO"</formula>
    </cfRule>
  </conditionalFormatting>
  <conditionalFormatting sqref="J14:K68">
    <cfRule type="cellIs" dxfId="6383" priority="4" operator="greaterThan">
      <formula>0</formula>
    </cfRule>
  </conditionalFormatting>
  <conditionalFormatting sqref="J71:K82 J85:K93 J96:K102">
    <cfRule type="cellIs" dxfId="6382"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AF978022-1665-1245-BAF6-2C8C14689387}">
          <x14:formula1>
            <xm:f>'Base Costs'!$AU$55:$AU$61</xm:f>
          </x14:formula1>
          <xm:sqref>D40:D47</xm:sqref>
        </x14:dataValidation>
        <x14:dataValidation type="list" allowBlank="1" showInputMessage="1" showErrorMessage="1" xr:uid="{5250FE4F-75E9-A347-BABC-946D981CCA95}">
          <x14:formula1>
            <xm:f>'Base Costs'!$AU$64:$AU$72</xm:f>
          </x14:formula1>
          <xm:sqref>D49:D56</xm:sqref>
        </x14:dataValidation>
        <x14:dataValidation type="list" allowBlank="1" showInputMessage="1" showErrorMessage="1" xr:uid="{ED7A7473-2CEE-D04D-88CB-5598E1D1A723}">
          <x14:formula1>
            <xm:f>'Base Costs'!$AU$26:$AU$48</xm:f>
          </x14:formula1>
          <xm:sqref>D35</xm:sqref>
        </x14:dataValidation>
        <x14:dataValidation type="list" allowBlank="1" showInputMessage="1" showErrorMessage="1" xr:uid="{86F8B02C-58CC-EB40-9A89-5A8AFF823C94}">
          <x14:formula1>
            <xm:f>'Base Costs'!$A$32:$A$37</xm:f>
          </x14:formula1>
          <xm:sqref>B10</xm:sqref>
        </x14:dataValidation>
        <x14:dataValidation type="list" allowBlank="1" showInputMessage="1" showErrorMessage="1" xr:uid="{22DB58BC-AB31-4B47-A9BA-B586787F4FBD}">
          <x14:formula1>
            <xm:f>'Base Costs'!$E$4:$E$213</xm:f>
          </x14:formula1>
          <xm:sqref>D97</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BC648-3014-0340-8C8A-A64623FCFEC6}">
  <sheetPr>
    <tabColor theme="8" tint="0.79998168889431442"/>
    <pageSetUpPr fitToPage="1"/>
  </sheetPr>
  <dimension ref="A1:AD161"/>
  <sheetViews>
    <sheetView showGridLines="0" zoomScale="80" zoomScaleNormal="80" zoomScaleSheetLayoutView="50" workbookViewId="0">
      <selection activeCell="R29" sqref="R29"/>
    </sheetView>
  </sheetViews>
  <sheetFormatPr baseColWidth="10" defaultColWidth="8.83203125" defaultRowHeight="15" customHeight="1" x14ac:dyDescent="0.15"/>
  <cols>
    <col min="1" max="2" width="2" style="215" customWidth="1"/>
    <col min="3" max="3" width="42.83203125" style="217" bestFit="1"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1505</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1498</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1499</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1488</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1491</v>
      </c>
      <c r="D25" s="1080" t="s">
        <v>1497</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1489</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1493</v>
      </c>
      <c r="U27" s="229"/>
      <c r="AA27" s="217"/>
    </row>
    <row r="28" spans="1:27" ht="15" customHeight="1" x14ac:dyDescent="0.2">
      <c r="C28" s="869" t="s">
        <v>1490</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1492</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f>IF(K37=0,"-",O37/M37)</f>
        <v>0.39433325837643363</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6381" priority="35" operator="containsText" text="SELECT">
      <formula>NOT(ISERROR(SEARCH("SELECT",C9)))</formula>
    </cfRule>
    <cfRule type="expression" dxfId="6380" priority="36">
      <formula>C9="CURRENCY"</formula>
    </cfRule>
  </conditionalFormatting>
  <conditionalFormatting sqref="C14:C34">
    <cfRule type="expression" dxfId="6379" priority="1">
      <formula>$J14&gt;0</formula>
    </cfRule>
  </conditionalFormatting>
  <conditionalFormatting sqref="C38:C48">
    <cfRule type="expression" dxfId="6378" priority="12">
      <formula>$D38&gt;0</formula>
    </cfRule>
  </conditionalFormatting>
  <conditionalFormatting sqref="D38:D39 D41:D48">
    <cfRule type="cellIs" dxfId="6377" priority="37" operator="lessThan">
      <formula>1</formula>
    </cfRule>
  </conditionalFormatting>
  <conditionalFormatting sqref="D40">
    <cfRule type="cellIs" dxfId="6376" priority="32" operator="lessThan">
      <formula>1</formula>
    </cfRule>
  </conditionalFormatting>
  <conditionalFormatting sqref="D9:E9">
    <cfRule type="cellIs" dxfId="6375" priority="33" operator="lessThan">
      <formula>0</formula>
    </cfRule>
    <cfRule type="cellIs" dxfId="6374" priority="34" operator="greaterThan">
      <formula>0</formula>
    </cfRule>
  </conditionalFormatting>
  <conditionalFormatting sqref="F12">
    <cfRule type="expression" dxfId="6373" priority="42">
      <formula>AND((ISNUMBER(SEARCH("I-MUAP",$E$14))),F12&lt;2500)</formula>
    </cfRule>
    <cfRule type="expression" dxfId="6372" priority="43">
      <formula>ISNUMBER(SEARCH("I-MUAP",$E$14))</formula>
    </cfRule>
    <cfRule type="cellIs" dxfId="6371" priority="44" operator="greaterThan">
      <formula>2000</formula>
    </cfRule>
  </conditionalFormatting>
  <conditionalFormatting sqref="F12:G12">
    <cfRule type="cellIs" dxfId="6370" priority="38" operator="lessThan">
      <formula>1000</formula>
    </cfRule>
  </conditionalFormatting>
  <conditionalFormatting sqref="F14:G28">
    <cfRule type="cellIs" dxfId="6369" priority="5" operator="lessThan">
      <formula>1000</formula>
    </cfRule>
  </conditionalFormatting>
  <conditionalFormatting sqref="F31:G32">
    <cfRule type="cellIs" dxfId="6368" priority="2" operator="lessThan">
      <formula>1000</formula>
    </cfRule>
  </conditionalFormatting>
  <conditionalFormatting sqref="G12">
    <cfRule type="cellIs" dxfId="6367" priority="39" operator="greaterThan">
      <formula>3001</formula>
    </cfRule>
  </conditionalFormatting>
  <conditionalFormatting sqref="H11">
    <cfRule type="expression" dxfId="6366" priority="41">
      <formula>((G14-50)/I14)&lt;950</formula>
    </cfRule>
  </conditionalFormatting>
  <conditionalFormatting sqref="H12">
    <cfRule type="expression" dxfId="6365" priority="40">
      <formula>((G14-50)/I14)&lt;950</formula>
    </cfRule>
  </conditionalFormatting>
  <conditionalFormatting sqref="H14:H28">
    <cfRule type="cellIs" dxfId="6364" priority="6" operator="lessThan">
      <formula>400</formula>
    </cfRule>
  </conditionalFormatting>
  <conditionalFormatting sqref="H31:H32">
    <cfRule type="cellIs" dxfId="6363" priority="3" operator="lessThan">
      <formula>400</formula>
    </cfRule>
  </conditionalFormatting>
  <conditionalFormatting sqref="H35">
    <cfRule type="expression" dxfId="6362" priority="49">
      <formula>((#REF!-50)/#REF!)&lt;950</formula>
    </cfRule>
  </conditionalFormatting>
  <conditionalFormatting sqref="J14:J32">
    <cfRule type="cellIs" dxfId="6361" priority="17" operator="greaterThan">
      <formula>0</formula>
    </cfRule>
  </conditionalFormatting>
  <conditionalFormatting sqref="J38:J48">
    <cfRule type="expression" dxfId="6360" priority="25">
      <formula>D38&gt;0</formula>
    </cfRule>
  </conditionalFormatting>
  <conditionalFormatting sqref="J50:J56">
    <cfRule type="expression" dxfId="6359" priority="30">
      <formula>#REF!="EURO"</formula>
    </cfRule>
  </conditionalFormatting>
  <conditionalFormatting sqref="K14:K34">
    <cfRule type="cellIs" dxfId="6358" priority="4" operator="greaterThan">
      <formula>0</formula>
    </cfRule>
  </conditionalFormatting>
  <conditionalFormatting sqref="K38:K48">
    <cfRule type="cellIs" dxfId="6357" priority="31" operator="greaterThan">
      <formula>0</formula>
    </cfRule>
  </conditionalFormatting>
  <conditionalFormatting sqref="K50:K56">
    <cfRule type="expression" dxfId="6356" priority="26">
      <formula>$C$9="PLN"</formula>
    </cfRule>
    <cfRule type="expression" dxfId="6355" priority="27">
      <formula>$C$9="CZK"</formula>
    </cfRule>
    <cfRule type="expression" dxfId="6354" priority="28">
      <formula>$C$9="USD"</formula>
    </cfRule>
    <cfRule type="expression" dxfId="6353" priority="29">
      <formula>$C$9="EURO"</formula>
    </cfRule>
  </conditionalFormatting>
  <conditionalFormatting sqref="L14:L34">
    <cfRule type="expression" dxfId="6352" priority="15">
      <formula>$D$9&lt;0</formula>
    </cfRule>
    <cfRule type="expression" dxfId="6351" priority="16">
      <formula>$D$9&gt;0</formula>
    </cfRule>
  </conditionalFormatting>
  <conditionalFormatting sqref="L38:L48">
    <cfRule type="expression" dxfId="6350" priority="13">
      <formula>$D$9&lt;0</formula>
    </cfRule>
    <cfRule type="expression" dxfId="6349" priority="14">
      <formula>$D$9&gt;0</formula>
    </cfRule>
  </conditionalFormatting>
  <conditionalFormatting sqref="N9 N12">
    <cfRule type="expression" dxfId="6348" priority="45">
      <formula>$C$9="PLN"</formula>
    </cfRule>
    <cfRule type="expression" dxfId="6347" priority="46">
      <formula>$C$9="CZK"</formula>
    </cfRule>
    <cfRule type="expression" dxfId="6346" priority="47">
      <formula>$C$9="USD"</formula>
    </cfRule>
    <cfRule type="expression" dxfId="6345" priority="48">
      <formula>$C$9="EURO"</formula>
    </cfRule>
  </conditionalFormatting>
  <conditionalFormatting sqref="N14:N34">
    <cfRule type="expression" dxfId="6344" priority="19">
      <formula>$C$9="PLN"</formula>
    </cfRule>
    <cfRule type="expression" dxfId="6343" priority="20">
      <formula>$C$9="CZK"</formula>
    </cfRule>
    <cfRule type="expression" dxfId="6342" priority="21">
      <formula>$C$9="USD"</formula>
    </cfRule>
    <cfRule type="expression" dxfId="6341" priority="22">
      <formula>$C$9="EURO"</formula>
    </cfRule>
  </conditionalFormatting>
  <conditionalFormatting sqref="N18:N22">
    <cfRule type="cellIs" dxfId="6340" priority="23" operator="greaterThan">
      <formula>0</formula>
    </cfRule>
  </conditionalFormatting>
  <conditionalFormatting sqref="N37:N48">
    <cfRule type="expression" dxfId="6339" priority="8">
      <formula>$C$9="PLN"</formula>
    </cfRule>
    <cfRule type="expression" dxfId="6338" priority="9">
      <formula>$C$9="CZK"</formula>
    </cfRule>
    <cfRule type="expression" dxfId="6337" priority="10">
      <formula>$C$9="USD"</formula>
    </cfRule>
    <cfRule type="expression" dxfId="6336" priority="11">
      <formula>$C$9="EURO"</formula>
    </cfRule>
  </conditionalFormatting>
  <conditionalFormatting sqref="N14:O34">
    <cfRule type="cellIs" dxfId="6335" priority="18" operator="greaterThan">
      <formula>0</formula>
    </cfRule>
  </conditionalFormatting>
  <conditionalFormatting sqref="N38:O48">
    <cfRule type="cellIs" dxfId="6334" priority="7" operator="greaterThan">
      <formula>0</formula>
    </cfRule>
  </conditionalFormatting>
  <conditionalFormatting sqref="O14:O22">
    <cfRule type="cellIs" dxfId="6333" priority="24" operator="greaterThan">
      <formula>0</formula>
    </cfRule>
  </conditionalFormatting>
  <dataValidations count="3">
    <dataValidation type="list" allowBlank="1" showInputMessage="1" showErrorMessage="1" sqref="E14:E34" xr:uid="{1A9F0222-1CAC-8A4F-AEB8-4C2C174E6B3F}">
      <formula1>"0,1,2,3,4,5,6,7,8,9,10,11,12,13,14,15,16,17,18,19,20"</formula1>
    </dataValidation>
    <dataValidation operator="greaterThan" allowBlank="1" showInputMessage="1" showErrorMessage="1" sqref="F14:F28 F31:F32" xr:uid="{BDB6791B-AF21-1647-8F4C-C5C7D0276376}"/>
    <dataValidation type="list" allowBlank="1" showInputMessage="1" showErrorMessage="1" sqref="H36" xr:uid="{1FD38569-7F88-5E4E-9EE1-FB187B3F9EE5}">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7727B93-76EB-0A43-B296-56382C2F5668}">
          <x14:formula1>
            <xm:f>'Base Costs'!$A$32:$A$37</xm:f>
          </x14:formula1>
          <xm:sqref>C9</xm:sqref>
        </x14:dataValidation>
        <x14:dataValidation type="list" allowBlank="1" showInputMessage="1" showErrorMessage="1" xr:uid="{BA24B852-BB41-6044-BC5A-ED099532362B}">
          <x14:formula1>
            <xm:f>'Base Costs'!$E$4:$E$213</xm:f>
          </x14:formula1>
          <xm:sqref>E38</xm:sqref>
        </x14:dataValidation>
        <x14:dataValidation type="list" allowBlank="1" showInputMessage="1" showErrorMessage="1" xr:uid="{B88D328A-746F-374E-81E2-DD67D8E1E74A}">
          <x14:formula1>
            <xm:f>'Base Costs'!$A$4:$A$16</xm:f>
          </x14:formula1>
          <xm:sqref>E39:E40</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B36F3-CB1C-5F42-B5E6-3BC43D514ADB}">
  <sheetPr>
    <tabColor theme="8" tint="0.79998168889431442"/>
    <pageSetUpPr fitToPage="1"/>
  </sheetPr>
  <dimension ref="A1:AD160"/>
  <sheetViews>
    <sheetView showGridLines="0" topLeftCell="B4" zoomScale="90" zoomScaleNormal="90" zoomScaleSheetLayoutView="50" workbookViewId="0">
      <selection activeCell="R29" sqref="R29"/>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1509</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IF(K36=0,"-",O36/M36)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1" t="s">
        <v>1442</v>
      </c>
      <c r="G38" s="1121"/>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1393</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1" t="s">
        <v>1443</v>
      </c>
      <c r="G42" s="1121"/>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4" t="s">
        <v>1494</v>
      </c>
      <c r="F46" s="1185"/>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6332" priority="35" operator="containsText" text="SELECT">
      <formula>NOT(ISERROR(SEARCH("SELECT",C9)))</formula>
    </cfRule>
    <cfRule type="expression" dxfId="6331" priority="36">
      <formula>C9="CURRENCY"</formula>
    </cfRule>
  </conditionalFormatting>
  <conditionalFormatting sqref="C14:C33">
    <cfRule type="expression" dxfId="6330" priority="1">
      <formula>$J14&gt;0</formula>
    </cfRule>
  </conditionalFormatting>
  <conditionalFormatting sqref="C37:C47">
    <cfRule type="expression" dxfId="6329" priority="12">
      <formula>$D37&gt;0</formula>
    </cfRule>
  </conditionalFormatting>
  <conditionalFormatting sqref="D37:D38 D40:D47">
    <cfRule type="cellIs" dxfId="6328" priority="37" operator="lessThan">
      <formula>1</formula>
    </cfRule>
  </conditionalFormatting>
  <conditionalFormatting sqref="D39">
    <cfRule type="cellIs" dxfId="6327" priority="32" operator="lessThan">
      <formula>1</formula>
    </cfRule>
  </conditionalFormatting>
  <conditionalFormatting sqref="D9:E9">
    <cfRule type="cellIs" dxfId="6326" priority="33" operator="lessThan">
      <formula>0</formula>
    </cfRule>
    <cfRule type="cellIs" dxfId="6325" priority="34" operator="greaterThan">
      <formula>0</formula>
    </cfRule>
  </conditionalFormatting>
  <conditionalFormatting sqref="F12">
    <cfRule type="expression" dxfId="6324" priority="42">
      <formula>AND((ISNUMBER(SEARCH("I-MUAP",$E$14))),F12&lt;2500)</formula>
    </cfRule>
    <cfRule type="expression" dxfId="6323" priority="43">
      <formula>ISNUMBER(SEARCH("I-MUAP",$E$14))</formula>
    </cfRule>
    <cfRule type="cellIs" dxfId="6322" priority="44" operator="greaterThan">
      <formula>2000</formula>
    </cfRule>
  </conditionalFormatting>
  <conditionalFormatting sqref="F12:G12">
    <cfRule type="cellIs" dxfId="6321" priority="38" operator="lessThan">
      <formula>1000</formula>
    </cfRule>
  </conditionalFormatting>
  <conditionalFormatting sqref="F14:G26">
    <cfRule type="cellIs" dxfId="6320" priority="5" operator="lessThan">
      <formula>1000</formula>
    </cfRule>
  </conditionalFormatting>
  <conditionalFormatting sqref="F30:G31">
    <cfRule type="cellIs" dxfId="6319" priority="2" operator="lessThan">
      <formula>1000</formula>
    </cfRule>
  </conditionalFormatting>
  <conditionalFormatting sqref="G12">
    <cfRule type="cellIs" dxfId="6318" priority="39" operator="greaterThan">
      <formula>3001</formula>
    </cfRule>
  </conditionalFormatting>
  <conditionalFormatting sqref="H11">
    <cfRule type="expression" dxfId="6317" priority="41">
      <formula>((G14-50)/I14)&lt;950</formula>
    </cfRule>
  </conditionalFormatting>
  <conditionalFormatting sqref="H12">
    <cfRule type="expression" dxfId="6316" priority="40">
      <formula>((G14-50)/I14)&lt;950</formula>
    </cfRule>
  </conditionalFormatting>
  <conditionalFormatting sqref="H14:H26">
    <cfRule type="cellIs" dxfId="6315" priority="6" operator="lessThan">
      <formula>400</formula>
    </cfRule>
  </conditionalFormatting>
  <conditionalFormatting sqref="H30:H31">
    <cfRule type="cellIs" dxfId="6314" priority="3" operator="lessThan">
      <formula>400</formula>
    </cfRule>
  </conditionalFormatting>
  <conditionalFormatting sqref="H34">
    <cfRule type="expression" dxfId="6313" priority="49">
      <formula>((#REF!-50)/#REF!)&lt;950</formula>
    </cfRule>
  </conditionalFormatting>
  <conditionalFormatting sqref="J14:J31">
    <cfRule type="cellIs" dxfId="6312" priority="17" operator="greaterThan">
      <formula>0</formula>
    </cfRule>
  </conditionalFormatting>
  <conditionalFormatting sqref="J37:J47">
    <cfRule type="expression" dxfId="6311" priority="25">
      <formula>D37&gt;0</formula>
    </cfRule>
  </conditionalFormatting>
  <conditionalFormatting sqref="J49:J55">
    <cfRule type="expression" dxfId="6310" priority="30">
      <formula>#REF!="EURO"</formula>
    </cfRule>
  </conditionalFormatting>
  <conditionalFormatting sqref="K14:K33">
    <cfRule type="cellIs" dxfId="6309" priority="4" operator="greaterThan">
      <formula>0</formula>
    </cfRule>
  </conditionalFormatting>
  <conditionalFormatting sqref="K37:K47">
    <cfRule type="cellIs" dxfId="6308" priority="31" operator="greaterThan">
      <formula>0</formula>
    </cfRule>
  </conditionalFormatting>
  <conditionalFormatting sqref="K49:K55">
    <cfRule type="expression" dxfId="6307" priority="26">
      <formula>$C$9="PLN"</formula>
    </cfRule>
    <cfRule type="expression" dxfId="6306" priority="27">
      <formula>$C$9="CZK"</formula>
    </cfRule>
    <cfRule type="expression" dxfId="6305" priority="28">
      <formula>$C$9="USD"</formula>
    </cfRule>
    <cfRule type="expression" dxfId="6304" priority="29">
      <formula>$C$9="EURO"</formula>
    </cfRule>
  </conditionalFormatting>
  <conditionalFormatting sqref="L14:L33">
    <cfRule type="expression" dxfId="6303" priority="15">
      <formula>$D$9&lt;0</formula>
    </cfRule>
    <cfRule type="expression" dxfId="6302" priority="16">
      <formula>$D$9&gt;0</formula>
    </cfRule>
  </conditionalFormatting>
  <conditionalFormatting sqref="L37:L47">
    <cfRule type="expression" dxfId="6301" priority="13">
      <formula>$D$9&lt;0</formula>
    </cfRule>
    <cfRule type="expression" dxfId="6300" priority="14">
      <formula>$D$9&gt;0</formula>
    </cfRule>
  </conditionalFormatting>
  <conditionalFormatting sqref="N9 N12">
    <cfRule type="expression" dxfId="6299" priority="45">
      <formula>$C$9="PLN"</formula>
    </cfRule>
    <cfRule type="expression" dxfId="6298" priority="46">
      <formula>$C$9="CZK"</formula>
    </cfRule>
    <cfRule type="expression" dxfId="6297" priority="47">
      <formula>$C$9="USD"</formula>
    </cfRule>
    <cfRule type="expression" dxfId="6296" priority="48">
      <formula>$C$9="EURO"</formula>
    </cfRule>
  </conditionalFormatting>
  <conditionalFormatting sqref="N14:N33">
    <cfRule type="expression" dxfId="6295" priority="19">
      <formula>$C$9="PLN"</formula>
    </cfRule>
    <cfRule type="expression" dxfId="6294" priority="20">
      <formula>$C$9="CZK"</formula>
    </cfRule>
    <cfRule type="expression" dxfId="6293" priority="21">
      <formula>$C$9="USD"</formula>
    </cfRule>
    <cfRule type="expression" dxfId="6292" priority="22">
      <formula>$C$9="EURO"</formula>
    </cfRule>
  </conditionalFormatting>
  <conditionalFormatting sqref="N18:N20">
    <cfRule type="cellIs" dxfId="6291" priority="23" operator="greaterThan">
      <formula>0</formula>
    </cfRule>
  </conditionalFormatting>
  <conditionalFormatting sqref="N36:N47">
    <cfRule type="expression" dxfId="6290" priority="8">
      <formula>$C$9="PLN"</formula>
    </cfRule>
    <cfRule type="expression" dxfId="6289" priority="9">
      <formula>$C$9="CZK"</formula>
    </cfRule>
    <cfRule type="expression" dxfId="6288" priority="10">
      <formula>$C$9="USD"</formula>
    </cfRule>
    <cfRule type="expression" dxfId="6287" priority="11">
      <formula>$C$9="EURO"</formula>
    </cfRule>
  </conditionalFormatting>
  <conditionalFormatting sqref="N14:O33">
    <cfRule type="cellIs" dxfId="6286" priority="18" operator="greaterThan">
      <formula>0</formula>
    </cfRule>
  </conditionalFormatting>
  <conditionalFormatting sqref="N37:O47">
    <cfRule type="cellIs" dxfId="6285" priority="7" operator="greaterThan">
      <formula>0</formula>
    </cfRule>
  </conditionalFormatting>
  <conditionalFormatting sqref="O14:O20">
    <cfRule type="cellIs" dxfId="6284" priority="24" operator="greaterThan">
      <formula>0</formula>
    </cfRule>
  </conditionalFormatting>
  <dataValidations count="3">
    <dataValidation type="list" allowBlank="1" showInputMessage="1" showErrorMessage="1" sqref="H35" xr:uid="{40C5AD7D-73AC-0A40-9B1E-934FF7F94F55}">
      <formula1>#REF!</formula1>
    </dataValidation>
    <dataValidation operator="greaterThan" allowBlank="1" showInputMessage="1" showErrorMessage="1" sqref="F14:F26 F30:F31" xr:uid="{DA0087EF-5946-E644-923F-75CE64065030}"/>
    <dataValidation type="list" allowBlank="1" showInputMessage="1" showErrorMessage="1" sqref="E14:E33" xr:uid="{90CC121D-7CFC-7E43-918D-B5ED2EBB83ED}">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5C468A70-21C3-5043-A75E-2E3AE8EAA8BB}">
          <x14:formula1>
            <xm:f>'Base Costs'!$A$4:$A$16</xm:f>
          </x14:formula1>
          <xm:sqref>E38:E39</xm:sqref>
        </x14:dataValidation>
        <x14:dataValidation type="list" allowBlank="1" showInputMessage="1" showErrorMessage="1" xr:uid="{3594248E-3A73-F142-AC52-8B51198DFC99}">
          <x14:formula1>
            <xm:f>'Base Costs'!$E$4:$E$213</xm:f>
          </x14:formula1>
          <xm:sqref>E37</xm:sqref>
        </x14:dataValidation>
        <x14:dataValidation type="list" allowBlank="1" showInputMessage="1" showErrorMessage="1" xr:uid="{E0FFCFD4-53CE-9846-A244-7D3AD38E20EC}">
          <x14:formula1>
            <xm:f>'Base Costs'!$A$32:$A$37</xm:f>
          </x14:formula1>
          <xm:sqref>C9</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611"/>
    <col min="3" max="3" width="61.33203125" style="611" bestFit="1" customWidth="1"/>
    <col min="4" max="4" width="12.33203125" style="611" bestFit="1" customWidth="1"/>
  </cols>
  <sheetData>
    <row r="2" spans="1:6" s="605" customFormat="1" x14ac:dyDescent="0.15">
      <c r="A2" s="1089" t="s">
        <v>738</v>
      </c>
      <c r="B2" s="604" t="s">
        <v>739</v>
      </c>
      <c r="C2" s="604" t="s">
        <v>740</v>
      </c>
      <c r="D2" s="604" t="s">
        <v>741</v>
      </c>
      <c r="F2" s="605">
        <v>20</v>
      </c>
    </row>
    <row r="3" spans="1:6" ht="13.25" customHeight="1" x14ac:dyDescent="0.15">
      <c r="A3" s="1089"/>
      <c r="B3" s="606">
        <v>1.01</v>
      </c>
      <c r="C3" s="606" t="s">
        <v>742</v>
      </c>
      <c r="D3" s="607" t="e">
        <f>#REF!</f>
        <v>#REF!</v>
      </c>
    </row>
    <row r="4" spans="1:6" x14ac:dyDescent="0.15">
      <c r="A4" s="1089"/>
      <c r="B4" s="606">
        <v>1.02</v>
      </c>
      <c r="C4" s="606" t="s">
        <v>742</v>
      </c>
      <c r="D4" s="607"/>
    </row>
    <row r="5" spans="1:6" x14ac:dyDescent="0.15">
      <c r="A5" s="1089"/>
      <c r="B5" s="606">
        <v>1.03</v>
      </c>
      <c r="C5" s="606" t="s">
        <v>742</v>
      </c>
      <c r="D5" s="607"/>
    </row>
    <row r="6" spans="1:6" x14ac:dyDescent="0.15">
      <c r="A6" s="1089"/>
      <c r="B6" s="606">
        <v>1.04</v>
      </c>
      <c r="C6" s="606" t="s">
        <v>743</v>
      </c>
      <c r="D6" s="607"/>
    </row>
    <row r="7" spans="1:6" x14ac:dyDescent="0.15">
      <c r="A7" s="1089"/>
      <c r="B7" s="606">
        <v>1.05</v>
      </c>
      <c r="C7" s="606" t="s">
        <v>744</v>
      </c>
      <c r="D7" s="607"/>
    </row>
    <row r="8" spans="1:6" x14ac:dyDescent="0.15">
      <c r="A8" s="1089"/>
      <c r="B8" s="606">
        <v>1.06</v>
      </c>
      <c r="C8" s="606" t="s">
        <v>745</v>
      </c>
      <c r="D8" s="607"/>
    </row>
    <row r="9" spans="1:6" x14ac:dyDescent="0.15">
      <c r="A9" s="1089"/>
      <c r="B9" s="608"/>
      <c r="C9" s="609" t="s">
        <v>149</v>
      </c>
      <c r="D9" s="607" t="e">
        <f>SUM(D3:D8)</f>
        <v>#REF!</v>
      </c>
    </row>
    <row r="10" spans="1:6" x14ac:dyDescent="0.15">
      <c r="A10" s="610"/>
      <c r="C10" s="612"/>
      <c r="D10" s="613"/>
    </row>
    <row r="11" spans="1:6" s="605" customFormat="1" x14ac:dyDescent="0.15">
      <c r="A11" s="1089" t="s">
        <v>746</v>
      </c>
      <c r="B11" s="604" t="s">
        <v>739</v>
      </c>
      <c r="C11" s="604" t="s">
        <v>740</v>
      </c>
      <c r="D11" s="604" t="s">
        <v>741</v>
      </c>
      <c r="F11" s="605">
        <v>5</v>
      </c>
    </row>
    <row r="12" spans="1:6" ht="13.25" customHeight="1" x14ac:dyDescent="0.15">
      <c r="A12" s="1089"/>
      <c r="B12" s="606">
        <v>2.0099999999999998</v>
      </c>
      <c r="C12" s="606" t="s">
        <v>747</v>
      </c>
      <c r="D12" s="607"/>
    </row>
    <row r="13" spans="1:6" x14ac:dyDescent="0.15">
      <c r="A13" s="1089"/>
      <c r="B13" s="606">
        <v>2.02</v>
      </c>
      <c r="C13" s="606"/>
      <c r="D13" s="607"/>
    </row>
    <row r="14" spans="1:6" x14ac:dyDescent="0.15">
      <c r="A14" s="1089"/>
      <c r="B14" s="606">
        <v>2.0299999999999998</v>
      </c>
      <c r="C14" s="606"/>
      <c r="D14" s="607"/>
    </row>
    <row r="15" spans="1:6" x14ac:dyDescent="0.15">
      <c r="A15" s="1089"/>
      <c r="B15" s="608"/>
      <c r="C15" s="609" t="s">
        <v>149</v>
      </c>
      <c r="D15" s="607">
        <f>SUM(D12:D14)</f>
        <v>0</v>
      </c>
    </row>
    <row r="16" spans="1:6" x14ac:dyDescent="0.15">
      <c r="A16" s="610"/>
      <c r="C16" s="612"/>
      <c r="D16" s="613"/>
    </row>
    <row r="17" spans="1:6" s="605" customFormat="1" x14ac:dyDescent="0.15">
      <c r="A17" s="1089" t="s">
        <v>748</v>
      </c>
      <c r="B17" s="604" t="s">
        <v>739</v>
      </c>
      <c r="C17" s="604" t="s">
        <v>740</v>
      </c>
      <c r="D17" s="604" t="s">
        <v>741</v>
      </c>
      <c r="F17" s="605">
        <v>5</v>
      </c>
    </row>
    <row r="18" spans="1:6" ht="13.25" customHeight="1" x14ac:dyDescent="0.15">
      <c r="A18" s="1089"/>
      <c r="B18" s="606">
        <v>3.01</v>
      </c>
      <c r="C18" s="606" t="s">
        <v>749</v>
      </c>
      <c r="D18" s="607"/>
    </row>
    <row r="19" spans="1:6" x14ac:dyDescent="0.15">
      <c r="A19" s="1089"/>
      <c r="B19" s="606">
        <v>3.02</v>
      </c>
      <c r="C19" s="606" t="s">
        <v>749</v>
      </c>
      <c r="D19" s="607"/>
    </row>
    <row r="20" spans="1:6" x14ac:dyDescent="0.15">
      <c r="A20" s="1089"/>
      <c r="B20" s="606">
        <v>3.03</v>
      </c>
      <c r="C20" s="606" t="s">
        <v>749</v>
      </c>
      <c r="D20" s="607"/>
    </row>
    <row r="21" spans="1:6" x14ac:dyDescent="0.15">
      <c r="A21" s="1089"/>
      <c r="B21" s="606">
        <v>3.04</v>
      </c>
      <c r="C21" s="606" t="s">
        <v>750</v>
      </c>
      <c r="D21" s="607"/>
    </row>
    <row r="22" spans="1:6" x14ac:dyDescent="0.15">
      <c r="A22" s="1089"/>
      <c r="B22" s="608"/>
      <c r="C22" s="609" t="s">
        <v>149</v>
      </c>
      <c r="D22" s="607">
        <f>SUM(D18:D21)</f>
        <v>0</v>
      </c>
    </row>
    <row r="23" spans="1:6" x14ac:dyDescent="0.15">
      <c r="A23" s="610"/>
      <c r="C23" s="612"/>
      <c r="D23" s="613"/>
    </row>
    <row r="24" spans="1:6" s="605" customFormat="1" x14ac:dyDescent="0.15">
      <c r="A24" s="1089" t="s">
        <v>751</v>
      </c>
      <c r="B24" s="604" t="s">
        <v>739</v>
      </c>
      <c r="C24" s="604" t="s">
        <v>740</v>
      </c>
      <c r="D24" s="604" t="s">
        <v>741</v>
      </c>
      <c r="F24" s="605">
        <v>5</v>
      </c>
    </row>
    <row r="25" spans="1:6" ht="13.25" customHeight="1" x14ac:dyDescent="0.15">
      <c r="A25" s="1089"/>
      <c r="B25" s="606">
        <v>4.01</v>
      </c>
      <c r="C25" s="606" t="s">
        <v>752</v>
      </c>
      <c r="D25" s="607"/>
    </row>
    <row r="26" spans="1:6" x14ac:dyDescent="0.15">
      <c r="A26" s="1089"/>
      <c r="B26" s="606">
        <v>4.0199999999999996</v>
      </c>
      <c r="C26" s="606" t="s">
        <v>752</v>
      </c>
      <c r="D26" s="607"/>
    </row>
    <row r="27" spans="1:6" x14ac:dyDescent="0.15">
      <c r="A27" s="1089"/>
      <c r="B27" s="606">
        <v>4.03</v>
      </c>
      <c r="C27" s="606" t="s">
        <v>753</v>
      </c>
      <c r="D27" s="607"/>
    </row>
    <row r="28" spans="1:6" x14ac:dyDescent="0.15">
      <c r="A28" s="1089"/>
      <c r="B28" s="606">
        <v>4.04</v>
      </c>
      <c r="C28" s="606" t="s">
        <v>754</v>
      </c>
      <c r="D28" s="607"/>
    </row>
    <row r="29" spans="1:6" x14ac:dyDescent="0.15">
      <c r="A29" s="1089"/>
      <c r="B29" s="608"/>
      <c r="C29" s="609" t="s">
        <v>149</v>
      </c>
      <c r="D29" s="607">
        <f>SUM(D25:D28)</f>
        <v>0</v>
      </c>
    </row>
    <row r="30" spans="1:6" x14ac:dyDescent="0.15">
      <c r="A30" s="610"/>
      <c r="C30" s="612"/>
      <c r="D30" s="613"/>
    </row>
    <row r="31" spans="1:6" s="605" customFormat="1" x14ac:dyDescent="0.15">
      <c r="A31" s="1089" t="s">
        <v>755</v>
      </c>
      <c r="B31" s="604" t="s">
        <v>739</v>
      </c>
      <c r="C31" s="604" t="s">
        <v>740</v>
      </c>
      <c r="D31" s="604" t="s">
        <v>741</v>
      </c>
    </row>
    <row r="32" spans="1:6" ht="13.25" customHeight="1" x14ac:dyDescent="0.15">
      <c r="A32" s="1089"/>
      <c r="B32" s="606">
        <v>5.01</v>
      </c>
      <c r="C32" s="606" t="s">
        <v>756</v>
      </c>
      <c r="D32" s="607"/>
    </row>
    <row r="33" spans="1:4" x14ac:dyDescent="0.15">
      <c r="A33" s="1089"/>
      <c r="B33" s="606">
        <v>5.0199999999999996</v>
      </c>
      <c r="C33" s="606" t="s">
        <v>757</v>
      </c>
      <c r="D33" s="607"/>
    </row>
    <row r="34" spans="1:4" x14ac:dyDescent="0.15">
      <c r="A34" s="1089"/>
      <c r="B34" s="606">
        <v>5.03</v>
      </c>
      <c r="C34" s="606" t="s">
        <v>758</v>
      </c>
      <c r="D34" s="607"/>
    </row>
    <row r="35" spans="1:4" x14ac:dyDescent="0.15">
      <c r="A35" s="1089"/>
      <c r="B35" s="608"/>
      <c r="C35" s="609" t="s">
        <v>149</v>
      </c>
      <c r="D35" s="607">
        <f>SUM(D32:D34)</f>
        <v>0</v>
      </c>
    </row>
    <row r="36" spans="1:4" x14ac:dyDescent="0.15">
      <c r="A36" s="610"/>
      <c r="C36" s="612"/>
      <c r="D36" s="613"/>
    </row>
    <row r="37" spans="1:4" s="605" customFormat="1" x14ac:dyDescent="0.15">
      <c r="A37" s="1089" t="s">
        <v>759</v>
      </c>
      <c r="B37" s="604" t="s">
        <v>739</v>
      </c>
      <c r="C37" s="604" t="s">
        <v>740</v>
      </c>
      <c r="D37" s="604" t="s">
        <v>741</v>
      </c>
    </row>
    <row r="38" spans="1:4" ht="13.25" customHeight="1" x14ac:dyDescent="0.15">
      <c r="A38" s="1089"/>
      <c r="B38" s="606">
        <v>6.01</v>
      </c>
      <c r="C38" s="606" t="s">
        <v>760</v>
      </c>
      <c r="D38" s="607"/>
    </row>
    <row r="39" spans="1:4" x14ac:dyDescent="0.15">
      <c r="A39" s="1089"/>
      <c r="B39" s="606">
        <v>6.02</v>
      </c>
      <c r="C39" s="606" t="s">
        <v>757</v>
      </c>
      <c r="D39" s="607"/>
    </row>
    <row r="40" spans="1:4" x14ac:dyDescent="0.15">
      <c r="A40" s="1089"/>
      <c r="B40" s="606">
        <v>6.03</v>
      </c>
      <c r="C40" s="606" t="s">
        <v>745</v>
      </c>
      <c r="D40" s="607"/>
    </row>
    <row r="41" spans="1:4" x14ac:dyDescent="0.15">
      <c r="A41" s="1089"/>
      <c r="B41" s="608"/>
      <c r="C41" s="609" t="s">
        <v>149</v>
      </c>
      <c r="D41" s="607">
        <f>SUM(D38:D40)</f>
        <v>0</v>
      </c>
    </row>
    <row r="42" spans="1:4" x14ac:dyDescent="0.15">
      <c r="D42" s="613"/>
    </row>
    <row r="43" spans="1:4" ht="14" x14ac:dyDescent="0.15">
      <c r="A43" s="614"/>
      <c r="B43" s="1087" t="s">
        <v>761</v>
      </c>
      <c r="C43" s="1088"/>
      <c r="D43" s="615" t="e">
        <f>SUM(D41+D35+D29+D22+D15+D9)</f>
        <v>#REF!</v>
      </c>
    </row>
  </sheetData>
  <mergeCells count="7">
    <mergeCell ref="B43:C43"/>
    <mergeCell ref="A2:A9"/>
    <mergeCell ref="A11:A15"/>
    <mergeCell ref="A17:A22"/>
    <mergeCell ref="A24:A29"/>
    <mergeCell ref="A31:A35"/>
    <mergeCell ref="A37:A4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249977111117893"/>
  </sheetPr>
  <dimension ref="B1:V48"/>
  <sheetViews>
    <sheetView zoomScale="90" zoomScaleNormal="90" workbookViewId="0">
      <selection activeCell="S131" sqref="S131"/>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6640625" customWidth="1"/>
    <col min="22" max="22" width="12.33203125" customWidth="1"/>
    <col min="23" max="23" width="11.5" customWidth="1"/>
  </cols>
  <sheetData>
    <row r="1" spans="2:22" ht="14" thickBot="1" x14ac:dyDescent="0.2"/>
    <row r="2" spans="2:22" ht="16" thickBot="1" x14ac:dyDescent="0.25">
      <c r="B2" s="1090" t="s">
        <v>696</v>
      </c>
      <c r="C2" s="1091"/>
      <c r="D2" s="1091"/>
      <c r="E2" s="1092"/>
      <c r="G2" s="568" t="s">
        <v>683</v>
      </c>
      <c r="H2" s="1090" t="e">
        <f>IF(#REF!="","",#REF!)</f>
        <v>#REF!</v>
      </c>
      <c r="I2" s="1091"/>
      <c r="J2" s="1091"/>
      <c r="K2" s="1091"/>
      <c r="L2" s="1092"/>
      <c r="M2" s="569" t="s">
        <v>684</v>
      </c>
      <c r="N2" s="1090" t="e">
        <f>IF(#REF!="","",#REF!)</f>
        <v>#REF!</v>
      </c>
      <c r="O2" s="1092"/>
      <c r="Q2" s="502"/>
      <c r="R2" s="555" t="s">
        <v>14</v>
      </c>
      <c r="T2" s="971" t="s">
        <v>1423</v>
      </c>
      <c r="U2" s="972"/>
      <c r="V2" s="973"/>
    </row>
    <row r="3" spans="2:22" ht="14" thickBot="1" x14ac:dyDescent="0.2">
      <c r="B3" s="1093" t="s">
        <v>855</v>
      </c>
      <c r="C3" s="1093"/>
      <c r="D3" s="1093"/>
      <c r="E3" s="1093"/>
      <c r="F3" s="1093"/>
      <c r="G3" s="1093"/>
      <c r="H3" s="1093"/>
      <c r="I3" s="1093"/>
      <c r="J3" s="1093"/>
      <c r="K3" s="1093"/>
      <c r="L3" s="1093"/>
      <c r="M3" s="1093"/>
      <c r="N3" s="1093"/>
      <c r="O3" s="1093"/>
      <c r="R3" s="556">
        <f>R25+R48</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859</v>
      </c>
      <c r="D6" s="508"/>
      <c r="E6" s="509" t="s">
        <v>860</v>
      </c>
      <c r="F6" s="508"/>
      <c r="G6" s="510" t="s">
        <v>861</v>
      </c>
      <c r="H6" s="508"/>
      <c r="I6" s="509" t="s">
        <v>862</v>
      </c>
      <c r="J6" s="508"/>
      <c r="K6" s="510" t="s">
        <v>863</v>
      </c>
      <c r="L6" s="508"/>
      <c r="M6" s="509" t="s">
        <v>864</v>
      </c>
      <c r="N6" s="508"/>
      <c r="O6" s="511"/>
      <c r="P6" s="508"/>
      <c r="Q6" s="512"/>
      <c r="R6" s="513"/>
    </row>
    <row r="7" spans="2:22" ht="15" x14ac:dyDescent="0.2">
      <c r="B7" s="514" t="s">
        <v>871</v>
      </c>
      <c r="C7" s="851">
        <v>2.12</v>
      </c>
      <c r="D7" s="852"/>
      <c r="E7" s="853">
        <v>2.35</v>
      </c>
      <c r="F7" s="854"/>
      <c r="G7" s="855">
        <v>2.35</v>
      </c>
      <c r="H7" s="852"/>
      <c r="I7" s="856">
        <v>2.78</v>
      </c>
      <c r="J7" s="854"/>
      <c r="K7" s="855">
        <v>3.99</v>
      </c>
      <c r="L7" s="852"/>
      <c r="M7" s="856">
        <v>6.08</v>
      </c>
      <c r="N7" s="518"/>
      <c r="O7" s="521"/>
      <c r="P7" s="623"/>
      <c r="Q7" s="505"/>
      <c r="R7" s="522">
        <f>SUM(C7*D7+E7*F7+G7*H7+I7*J7+K7*L7+M7*+N7+O7*P7)</f>
        <v>0</v>
      </c>
    </row>
    <row r="8" spans="2:22" ht="15" x14ac:dyDescent="0.2">
      <c r="B8" s="523" t="s">
        <v>870</v>
      </c>
      <c r="C8" s="857">
        <v>21.79</v>
      </c>
      <c r="D8" s="803"/>
      <c r="E8" s="858">
        <v>27.25</v>
      </c>
      <c r="F8" s="859"/>
      <c r="G8" s="621">
        <v>34.299999999999997</v>
      </c>
      <c r="H8" s="803"/>
      <c r="I8" s="860">
        <v>51.18</v>
      </c>
      <c r="J8" s="859"/>
      <c r="K8" s="621">
        <v>63.69</v>
      </c>
      <c r="L8" s="803"/>
      <c r="M8" s="860">
        <v>80.05</v>
      </c>
      <c r="N8" s="527"/>
      <c r="O8" s="530"/>
      <c r="P8" s="535"/>
      <c r="Q8" s="531"/>
      <c r="R8" s="532">
        <f t="shared" ref="R8:R22" si="0">SUM(C8*D8+E8*F8+G8*H8+I8*J8+K8*L8+M8*+N8+O8*P8)</f>
        <v>0</v>
      </c>
    </row>
    <row r="9" spans="2:22" ht="15" x14ac:dyDescent="0.2">
      <c r="B9" s="523" t="s">
        <v>689</v>
      </c>
      <c r="C9" s="857">
        <v>8.51</v>
      </c>
      <c r="D9" s="803"/>
      <c r="E9" s="858">
        <v>10.050000000000001</v>
      </c>
      <c r="F9" s="859"/>
      <c r="G9" s="621">
        <v>14.75</v>
      </c>
      <c r="H9" s="803"/>
      <c r="I9" s="860">
        <v>20.63</v>
      </c>
      <c r="J9" s="859"/>
      <c r="K9" s="621">
        <v>30.79</v>
      </c>
      <c r="L9" s="803"/>
      <c r="M9" s="860">
        <v>33.47</v>
      </c>
      <c r="N9" s="527"/>
      <c r="O9" s="530"/>
      <c r="P9" s="535"/>
      <c r="Q9" s="531"/>
      <c r="R9" s="532">
        <f t="shared" si="0"/>
        <v>0</v>
      </c>
    </row>
    <row r="10" spans="2:22" ht="15" x14ac:dyDescent="0.2">
      <c r="B10" s="523" t="s">
        <v>687</v>
      </c>
      <c r="C10" s="857">
        <v>6.4</v>
      </c>
      <c r="D10" s="803"/>
      <c r="E10" s="858">
        <v>7.48</v>
      </c>
      <c r="F10" s="859"/>
      <c r="G10" s="621">
        <v>10.79</v>
      </c>
      <c r="H10" s="803"/>
      <c r="I10" s="860">
        <v>14.74</v>
      </c>
      <c r="J10" s="859"/>
      <c r="K10" s="621">
        <v>22.09</v>
      </c>
      <c r="L10" s="803"/>
      <c r="M10" s="860">
        <v>25.74</v>
      </c>
      <c r="N10" s="527"/>
      <c r="O10" s="530"/>
      <c r="P10" s="535"/>
      <c r="Q10" s="531"/>
      <c r="R10" s="532">
        <f t="shared" si="0"/>
        <v>0</v>
      </c>
    </row>
    <row r="11" spans="2:22" ht="15" x14ac:dyDescent="0.2">
      <c r="B11" s="523" t="s">
        <v>872</v>
      </c>
      <c r="C11" s="524">
        <v>15.52</v>
      </c>
      <c r="D11" s="525"/>
      <c r="E11" s="526">
        <v>17.190000000000001</v>
      </c>
      <c r="F11" s="527"/>
      <c r="G11" s="528">
        <v>21.51</v>
      </c>
      <c r="H11" s="525"/>
      <c r="I11" s="529">
        <v>28.04</v>
      </c>
      <c r="J11" s="527"/>
      <c r="K11" s="528">
        <v>35.380000000000003</v>
      </c>
      <c r="L11" s="525"/>
      <c r="M11" s="529">
        <v>47.48</v>
      </c>
      <c r="N11" s="527"/>
      <c r="O11" s="530"/>
      <c r="P11" s="535"/>
      <c r="Q11" s="531"/>
      <c r="R11" s="532">
        <f t="shared" si="0"/>
        <v>0</v>
      </c>
    </row>
    <row r="12" spans="2:22" ht="15" x14ac:dyDescent="0.2">
      <c r="B12" s="523" t="s">
        <v>770</v>
      </c>
      <c r="C12" s="524">
        <v>2.66</v>
      </c>
      <c r="D12" s="525"/>
      <c r="E12" s="526">
        <v>2.66</v>
      </c>
      <c r="F12" s="527"/>
      <c r="G12" s="528">
        <v>3.94</v>
      </c>
      <c r="H12" s="525"/>
      <c r="I12" s="529">
        <v>5.37</v>
      </c>
      <c r="J12" s="527"/>
      <c r="K12" s="528">
        <v>6.4</v>
      </c>
      <c r="L12" s="525"/>
      <c r="M12" s="529">
        <v>8</v>
      </c>
      <c r="N12" s="527"/>
      <c r="O12" s="530"/>
      <c r="P12" s="535"/>
      <c r="Q12" s="531"/>
      <c r="R12" s="532">
        <f t="shared" si="0"/>
        <v>0</v>
      </c>
    </row>
    <row r="13" spans="2:22" ht="15" x14ac:dyDescent="0.2">
      <c r="B13" s="523" t="s">
        <v>873</v>
      </c>
      <c r="C13" s="524">
        <v>4.32</v>
      </c>
      <c r="D13" s="525"/>
      <c r="E13" s="526">
        <v>4.4400000000000004</v>
      </c>
      <c r="F13" s="527"/>
      <c r="G13" s="528">
        <v>4.5</v>
      </c>
      <c r="H13" s="525"/>
      <c r="I13" s="529">
        <v>8.02</v>
      </c>
      <c r="J13" s="527"/>
      <c r="K13" s="528">
        <v>11.35</v>
      </c>
      <c r="L13" s="525"/>
      <c r="M13" s="529">
        <v>16.649999999999999</v>
      </c>
      <c r="N13" s="527"/>
      <c r="O13" s="530"/>
      <c r="P13" s="535"/>
      <c r="Q13" s="531"/>
      <c r="R13" s="532">
        <f t="shared" si="0"/>
        <v>0</v>
      </c>
    </row>
    <row r="14" spans="2:22" ht="15" x14ac:dyDescent="0.2">
      <c r="B14" s="523" t="s">
        <v>874</v>
      </c>
      <c r="C14" s="524">
        <v>6.41</v>
      </c>
      <c r="D14" s="525"/>
      <c r="E14" s="526">
        <v>7.5</v>
      </c>
      <c r="F14" s="527"/>
      <c r="G14" s="528">
        <v>7.5</v>
      </c>
      <c r="H14" s="525"/>
      <c r="I14" s="529">
        <v>8.2200000000000006</v>
      </c>
      <c r="J14" s="527"/>
      <c r="K14" s="528">
        <v>10.72</v>
      </c>
      <c r="L14" s="525"/>
      <c r="M14" s="529">
        <v>13.21</v>
      </c>
      <c r="N14" s="527"/>
      <c r="O14" s="530"/>
      <c r="P14" s="535"/>
      <c r="Q14" s="531"/>
      <c r="R14" s="532">
        <f t="shared" si="0"/>
        <v>0</v>
      </c>
    </row>
    <row r="15" spans="2:22" ht="15" x14ac:dyDescent="0.2">
      <c r="B15" s="523" t="s">
        <v>39</v>
      </c>
      <c r="C15" s="524">
        <v>19.989999999999998</v>
      </c>
      <c r="D15" s="525"/>
      <c r="E15" s="526">
        <v>21.1</v>
      </c>
      <c r="F15" s="527"/>
      <c r="G15" s="528">
        <v>23.94</v>
      </c>
      <c r="H15" s="525"/>
      <c r="I15" s="529">
        <v>25.41</v>
      </c>
      <c r="J15" s="527"/>
      <c r="K15" s="528">
        <v>29.86</v>
      </c>
      <c r="L15" s="525"/>
      <c r="M15" s="529">
        <v>34.67</v>
      </c>
      <c r="N15" s="527"/>
      <c r="O15" s="530"/>
      <c r="P15" s="535"/>
      <c r="Q15" s="531"/>
      <c r="R15" s="532">
        <f t="shared" si="0"/>
        <v>0</v>
      </c>
    </row>
    <row r="16" spans="2:22" ht="15" x14ac:dyDescent="0.2">
      <c r="B16" s="523" t="s">
        <v>986</v>
      </c>
      <c r="C16" s="524">
        <v>54.19</v>
      </c>
      <c r="D16" s="525"/>
      <c r="E16" s="526">
        <v>63.22</v>
      </c>
      <c r="F16" s="527"/>
      <c r="G16" s="528">
        <v>69.44</v>
      </c>
      <c r="H16" s="525"/>
      <c r="I16" s="529">
        <v>94.74</v>
      </c>
      <c r="J16" s="527"/>
      <c r="K16" s="528">
        <v>106.65</v>
      </c>
      <c r="L16" s="525"/>
      <c r="M16" s="529">
        <v>169.29</v>
      </c>
      <c r="N16" s="527"/>
      <c r="O16" s="530"/>
      <c r="P16" s="535"/>
      <c r="Q16" s="531"/>
      <c r="R16" s="532">
        <f t="shared" si="0"/>
        <v>0</v>
      </c>
    </row>
    <row r="17" spans="2:18" ht="15" x14ac:dyDescent="0.2">
      <c r="B17" s="523" t="s">
        <v>875</v>
      </c>
      <c r="C17" s="524">
        <v>0</v>
      </c>
      <c r="D17" s="525"/>
      <c r="E17" s="526">
        <v>10.220000000000001</v>
      </c>
      <c r="F17" s="527"/>
      <c r="G17" s="528">
        <v>12.82</v>
      </c>
      <c r="H17" s="525"/>
      <c r="I17" s="529">
        <v>17.850000000000001</v>
      </c>
      <c r="J17" s="527"/>
      <c r="K17" s="528">
        <v>20.12</v>
      </c>
      <c r="L17" s="525"/>
      <c r="M17" s="529">
        <v>32.24</v>
      </c>
      <c r="N17" s="527"/>
      <c r="O17" s="530"/>
      <c r="P17" s="535"/>
      <c r="Q17" s="531"/>
      <c r="R17" s="532">
        <f t="shared" si="0"/>
        <v>0</v>
      </c>
    </row>
    <row r="18" spans="2:18" ht="15" x14ac:dyDescent="0.2">
      <c r="B18" s="523" t="s">
        <v>876</v>
      </c>
      <c r="C18" s="524">
        <v>5.55</v>
      </c>
      <c r="D18" s="525"/>
      <c r="E18" s="526">
        <v>6.79</v>
      </c>
      <c r="F18" s="527"/>
      <c r="G18" s="528">
        <v>10.119999999999999</v>
      </c>
      <c r="H18" s="525"/>
      <c r="I18" s="529">
        <v>11.49</v>
      </c>
      <c r="J18" s="527"/>
      <c r="K18" s="528">
        <v>17.91</v>
      </c>
      <c r="L18" s="525"/>
      <c r="M18" s="529">
        <v>27.8</v>
      </c>
      <c r="N18" s="527"/>
      <c r="O18" s="530"/>
      <c r="P18" s="535"/>
      <c r="Q18" s="531"/>
      <c r="R18" s="532">
        <f t="shared" si="0"/>
        <v>0</v>
      </c>
    </row>
    <row r="19" spans="2:18" ht="15" x14ac:dyDescent="0.2">
      <c r="B19" s="523" t="s">
        <v>984</v>
      </c>
      <c r="C19" s="524">
        <v>34.159999999999997</v>
      </c>
      <c r="D19" s="525"/>
      <c r="E19" s="526">
        <v>42.15</v>
      </c>
      <c r="F19" s="527"/>
      <c r="G19" s="528">
        <v>49.24</v>
      </c>
      <c r="H19" s="525"/>
      <c r="I19" s="529">
        <v>69.22</v>
      </c>
      <c r="J19" s="527"/>
      <c r="K19" s="528">
        <v>88.27</v>
      </c>
      <c r="L19" s="525"/>
      <c r="M19" s="529">
        <v>120.21</v>
      </c>
      <c r="N19" s="527"/>
      <c r="O19" s="530"/>
      <c r="P19" s="535"/>
      <c r="Q19" s="531"/>
      <c r="R19" s="532">
        <f t="shared" si="0"/>
        <v>0</v>
      </c>
    </row>
    <row r="20" spans="2:18" ht="15" x14ac:dyDescent="0.2">
      <c r="B20" s="523" t="s">
        <v>985</v>
      </c>
      <c r="C20" s="524">
        <v>97.16</v>
      </c>
      <c r="D20" s="525"/>
      <c r="E20" s="526">
        <v>97.16</v>
      </c>
      <c r="F20" s="527"/>
      <c r="G20" s="528">
        <v>103.38</v>
      </c>
      <c r="H20" s="525"/>
      <c r="I20" s="529">
        <v>155.71</v>
      </c>
      <c r="J20" s="527"/>
      <c r="K20" s="528">
        <v>188.99</v>
      </c>
      <c r="L20" s="525"/>
      <c r="M20" s="529">
        <v>260.39999999999998</v>
      </c>
      <c r="N20" s="527"/>
      <c r="O20" s="530"/>
      <c r="P20" s="535"/>
      <c r="Q20" s="531"/>
      <c r="R20" s="532">
        <f t="shared" si="0"/>
        <v>0</v>
      </c>
    </row>
    <row r="21" spans="2:18" ht="15" x14ac:dyDescent="0.2">
      <c r="B21" s="523" t="s">
        <v>776</v>
      </c>
      <c r="C21" s="524">
        <v>12.6</v>
      </c>
      <c r="D21" s="525"/>
      <c r="E21" s="526">
        <v>12.6</v>
      </c>
      <c r="F21" s="527"/>
      <c r="G21" s="528">
        <v>14.49</v>
      </c>
      <c r="H21" s="525"/>
      <c r="I21" s="529">
        <v>14.49</v>
      </c>
      <c r="J21" s="527"/>
      <c r="K21" s="528">
        <v>14.49</v>
      </c>
      <c r="L21" s="525"/>
      <c r="M21" s="529">
        <v>14.49</v>
      </c>
      <c r="N21" s="527"/>
      <c r="O21" s="530"/>
      <c r="P21" s="535"/>
      <c r="Q21" s="531"/>
      <c r="R21" s="532">
        <f t="shared" si="0"/>
        <v>0</v>
      </c>
    </row>
    <row r="22" spans="2:18" ht="15" x14ac:dyDescent="0.2">
      <c r="B22" s="523"/>
      <c r="C22" s="524"/>
      <c r="D22" s="525"/>
      <c r="E22" s="526"/>
      <c r="F22" s="527"/>
      <c r="G22" s="528"/>
      <c r="H22" s="525"/>
      <c r="I22" s="529"/>
      <c r="J22" s="527"/>
      <c r="K22" s="528"/>
      <c r="L22" s="525"/>
      <c r="M22" s="529"/>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865</v>
      </c>
      <c r="D29" s="508"/>
      <c r="E29" s="509" t="s">
        <v>866</v>
      </c>
      <c r="F29" s="508"/>
      <c r="G29" s="510" t="s">
        <v>867</v>
      </c>
      <c r="H29" s="508"/>
      <c r="I29" s="509" t="s">
        <v>868</v>
      </c>
      <c r="J29" s="508"/>
      <c r="K29" s="510" t="s">
        <v>869</v>
      </c>
      <c r="L29" s="508"/>
      <c r="M29" s="509" t="s">
        <v>987</v>
      </c>
      <c r="N29" s="549"/>
      <c r="O29" s="511"/>
      <c r="P29" s="508"/>
      <c r="Q29" s="512"/>
      <c r="R29" s="513"/>
    </row>
    <row r="30" spans="2:18" ht="15" x14ac:dyDescent="0.2">
      <c r="B30" s="514" t="s">
        <v>871</v>
      </c>
      <c r="C30" s="515">
        <v>6.26</v>
      </c>
      <c r="D30" s="516"/>
      <c r="E30" s="517">
        <v>7.96</v>
      </c>
      <c r="F30" s="518"/>
      <c r="G30" s="519">
        <v>7.96</v>
      </c>
      <c r="H30" s="516"/>
      <c r="I30" s="520">
        <v>9.99</v>
      </c>
      <c r="J30" s="518"/>
      <c r="K30" s="519">
        <v>11.84</v>
      </c>
      <c r="L30" s="516"/>
      <c r="M30" s="520">
        <v>11.84</v>
      </c>
      <c r="N30" s="518"/>
      <c r="O30" s="521"/>
      <c r="P30" s="623"/>
      <c r="Q30" s="505"/>
      <c r="R30" s="522">
        <f t="shared" ref="R30:R45" si="1">SUM(C30*D30+E30*F30+G30*H30+I30*J30+K30*L30+M30*+N30+O30*P30)</f>
        <v>0</v>
      </c>
    </row>
    <row r="31" spans="2:18" ht="15" x14ac:dyDescent="0.2">
      <c r="B31" s="523" t="s">
        <v>870</v>
      </c>
      <c r="C31" s="524">
        <v>119.78</v>
      </c>
      <c r="D31" s="525"/>
      <c r="E31" s="526">
        <v>135.01</v>
      </c>
      <c r="F31" s="527"/>
      <c r="G31" s="528">
        <v>152.41999999999999</v>
      </c>
      <c r="H31" s="525"/>
      <c r="I31" s="529">
        <v>169.29</v>
      </c>
      <c r="J31" s="527"/>
      <c r="K31" s="528">
        <v>189.44</v>
      </c>
      <c r="L31" s="525"/>
      <c r="M31" s="529">
        <v>213.37</v>
      </c>
      <c r="N31" s="527"/>
      <c r="O31" s="530"/>
      <c r="P31" s="535"/>
      <c r="Q31" s="531"/>
      <c r="R31" s="532">
        <f t="shared" si="1"/>
        <v>0</v>
      </c>
    </row>
    <row r="32" spans="2:18" ht="15" x14ac:dyDescent="0.2">
      <c r="B32" s="523" t="s">
        <v>689</v>
      </c>
      <c r="C32" s="524">
        <v>40.01</v>
      </c>
      <c r="D32" s="525"/>
      <c r="E32" s="526">
        <v>49.85</v>
      </c>
      <c r="F32" s="527"/>
      <c r="G32" s="528">
        <v>55.33</v>
      </c>
      <c r="H32" s="525"/>
      <c r="I32" s="529">
        <v>70.64</v>
      </c>
      <c r="J32" s="527"/>
      <c r="K32" s="528">
        <v>79.92</v>
      </c>
      <c r="L32" s="525"/>
      <c r="M32" s="529">
        <v>127.04</v>
      </c>
      <c r="N32" s="527"/>
      <c r="O32" s="530"/>
      <c r="P32" s="535"/>
      <c r="Q32" s="531"/>
      <c r="R32" s="532">
        <f t="shared" si="1"/>
        <v>0</v>
      </c>
    </row>
    <row r="33" spans="2:18" ht="15" x14ac:dyDescent="0.2">
      <c r="B33" s="523" t="s">
        <v>687</v>
      </c>
      <c r="C33" s="524">
        <v>33.130000000000003</v>
      </c>
      <c r="D33" s="525"/>
      <c r="E33" s="526">
        <v>36.159999999999997</v>
      </c>
      <c r="F33" s="527"/>
      <c r="G33" s="528">
        <v>37.51</v>
      </c>
      <c r="H33" s="525"/>
      <c r="I33" s="529">
        <v>41.3</v>
      </c>
      <c r="J33" s="527"/>
      <c r="K33" s="528">
        <v>50.2</v>
      </c>
      <c r="L33" s="525"/>
      <c r="M33" s="529">
        <v>71.010000000000005</v>
      </c>
      <c r="N33" s="527"/>
      <c r="O33" s="530"/>
      <c r="P33" s="535"/>
      <c r="Q33" s="531"/>
      <c r="R33" s="532">
        <f t="shared" si="1"/>
        <v>0</v>
      </c>
    </row>
    <row r="34" spans="2:18" ht="15" x14ac:dyDescent="0.2">
      <c r="B34" s="523" t="s">
        <v>872</v>
      </c>
      <c r="C34" s="524">
        <v>58.09</v>
      </c>
      <c r="D34" s="525"/>
      <c r="E34" s="526">
        <v>64.98</v>
      </c>
      <c r="F34" s="527"/>
      <c r="G34" s="528">
        <v>90.01</v>
      </c>
      <c r="H34" s="525"/>
      <c r="I34" s="529">
        <v>96.26</v>
      </c>
      <c r="J34" s="527"/>
      <c r="K34" s="528">
        <v>144.76</v>
      </c>
      <c r="L34" s="525"/>
      <c r="M34" s="529">
        <v>159.58000000000001</v>
      </c>
      <c r="N34" s="527"/>
      <c r="O34" s="530"/>
      <c r="P34" s="535"/>
      <c r="Q34" s="531"/>
      <c r="R34" s="532">
        <f t="shared" si="1"/>
        <v>0</v>
      </c>
    </row>
    <row r="35" spans="2:18" ht="15" x14ac:dyDescent="0.2">
      <c r="B35" s="523" t="s">
        <v>770</v>
      </c>
      <c r="C35" s="524">
        <v>9.33</v>
      </c>
      <c r="D35" s="525"/>
      <c r="E35" s="526">
        <v>9.69</v>
      </c>
      <c r="F35" s="527"/>
      <c r="G35" s="528">
        <v>12.8</v>
      </c>
      <c r="H35" s="525"/>
      <c r="I35" s="529">
        <v>12.8</v>
      </c>
      <c r="J35" s="527"/>
      <c r="K35" s="621">
        <v>13.86</v>
      </c>
      <c r="L35" s="525"/>
      <c r="M35" s="529">
        <v>14.53</v>
      </c>
      <c r="N35" s="527"/>
      <c r="O35" s="530"/>
      <c r="P35" s="535"/>
      <c r="Q35" s="531"/>
      <c r="R35" s="532">
        <f t="shared" si="1"/>
        <v>0</v>
      </c>
    </row>
    <row r="36" spans="2:18" ht="15" x14ac:dyDescent="0.2">
      <c r="B36" s="523" t="s">
        <v>873</v>
      </c>
      <c r="C36" s="524">
        <v>17</v>
      </c>
      <c r="D36" s="525"/>
      <c r="E36" s="526">
        <v>26.24</v>
      </c>
      <c r="F36" s="527"/>
      <c r="G36" s="528">
        <v>26.88</v>
      </c>
      <c r="H36" s="525"/>
      <c r="I36" s="529">
        <v>32.94</v>
      </c>
      <c r="J36" s="527"/>
      <c r="K36" s="528">
        <v>33.729999999999997</v>
      </c>
      <c r="L36" s="525"/>
      <c r="M36" s="529">
        <v>33.729999999999997</v>
      </c>
      <c r="N36" s="527"/>
      <c r="O36" s="530"/>
      <c r="P36" s="535"/>
      <c r="Q36" s="531"/>
      <c r="R36" s="532">
        <f t="shared" si="1"/>
        <v>0</v>
      </c>
    </row>
    <row r="37" spans="2:18" ht="15" x14ac:dyDescent="0.2">
      <c r="B37" s="523" t="s">
        <v>874</v>
      </c>
      <c r="C37" s="524">
        <v>13.94</v>
      </c>
      <c r="D37" s="525"/>
      <c r="E37" s="526">
        <v>14.66</v>
      </c>
      <c r="F37" s="527"/>
      <c r="G37" s="528">
        <v>15.01</v>
      </c>
      <c r="H37" s="525"/>
      <c r="I37" s="529">
        <v>16.07</v>
      </c>
      <c r="J37" s="527"/>
      <c r="K37" s="528">
        <v>17.510000000000002</v>
      </c>
      <c r="L37" s="525"/>
      <c r="M37" s="529">
        <v>17.84</v>
      </c>
      <c r="N37" s="527"/>
      <c r="O37" s="530"/>
      <c r="P37" s="535"/>
      <c r="Q37" s="531"/>
      <c r="R37" s="532">
        <f t="shared" si="1"/>
        <v>0</v>
      </c>
    </row>
    <row r="38" spans="2:18" ht="15" x14ac:dyDescent="0.2">
      <c r="B38" s="523" t="s">
        <v>39</v>
      </c>
      <c r="C38" s="524">
        <v>49.11</v>
      </c>
      <c r="D38" s="525"/>
      <c r="E38" s="526">
        <v>51.86</v>
      </c>
      <c r="F38" s="527"/>
      <c r="G38" s="528">
        <v>66.39</v>
      </c>
      <c r="H38" s="525"/>
      <c r="I38" s="529">
        <v>70.56</v>
      </c>
      <c r="J38" s="527"/>
      <c r="K38" s="528">
        <v>96.15</v>
      </c>
      <c r="L38" s="525"/>
      <c r="M38" s="529">
        <v>96.15</v>
      </c>
      <c r="N38" s="527"/>
      <c r="O38" s="530"/>
      <c r="P38" s="535"/>
      <c r="Q38" s="531"/>
      <c r="R38" s="532">
        <f t="shared" si="1"/>
        <v>0</v>
      </c>
    </row>
    <row r="39" spans="2:18" ht="15" x14ac:dyDescent="0.2">
      <c r="B39" s="523" t="s">
        <v>986</v>
      </c>
      <c r="C39" s="524">
        <v>127.25</v>
      </c>
      <c r="D39" s="525"/>
      <c r="E39" s="622">
        <v>143.61000000000001</v>
      </c>
      <c r="F39" s="527"/>
      <c r="G39" s="528">
        <v>173.22</v>
      </c>
      <c r="H39" s="525"/>
      <c r="I39" s="529">
        <v>241.44</v>
      </c>
      <c r="J39" s="527"/>
      <c r="K39" s="528">
        <v>279.95999999999998</v>
      </c>
      <c r="L39" s="525"/>
      <c r="M39" s="529">
        <v>288.39</v>
      </c>
      <c r="N39" s="527"/>
      <c r="O39" s="530"/>
      <c r="P39" s="535"/>
      <c r="Q39" s="531"/>
      <c r="R39" s="532">
        <f t="shared" si="1"/>
        <v>0</v>
      </c>
    </row>
    <row r="40" spans="2:18" ht="15" x14ac:dyDescent="0.2">
      <c r="B40" s="523" t="s">
        <v>875</v>
      </c>
      <c r="C40" s="524">
        <v>44.24</v>
      </c>
      <c r="D40" s="525"/>
      <c r="E40" s="526">
        <v>49.86</v>
      </c>
      <c r="F40" s="527"/>
      <c r="G40" s="528">
        <v>55.32</v>
      </c>
      <c r="H40" s="525"/>
      <c r="I40" s="529">
        <v>57.61</v>
      </c>
      <c r="J40" s="527"/>
      <c r="K40" s="528">
        <v>71.63</v>
      </c>
      <c r="L40" s="525"/>
      <c r="M40" s="529">
        <v>78.150000000000006</v>
      </c>
      <c r="N40" s="527"/>
      <c r="O40" s="530"/>
      <c r="P40" s="535"/>
      <c r="Q40" s="531"/>
      <c r="R40" s="532">
        <f t="shared" si="1"/>
        <v>0</v>
      </c>
    </row>
    <row r="41" spans="2:18" ht="15" x14ac:dyDescent="0.2">
      <c r="B41" s="523" t="s">
        <v>876</v>
      </c>
      <c r="C41" s="524">
        <v>79.010000000000005</v>
      </c>
      <c r="D41" s="525"/>
      <c r="E41" s="526">
        <v>92.19</v>
      </c>
      <c r="F41" s="527"/>
      <c r="G41" s="528">
        <v>105.34</v>
      </c>
      <c r="H41" s="525"/>
      <c r="I41" s="529">
        <v>125.1</v>
      </c>
      <c r="J41" s="527"/>
      <c r="K41" s="528">
        <v>144.86000000000001</v>
      </c>
      <c r="L41" s="525"/>
      <c r="M41" s="529">
        <v>151.44</v>
      </c>
      <c r="N41" s="527"/>
      <c r="O41" s="530"/>
      <c r="P41" s="535"/>
      <c r="Q41" s="531"/>
      <c r="R41" s="532">
        <f t="shared" si="1"/>
        <v>0</v>
      </c>
    </row>
    <row r="42" spans="2:18" ht="15" x14ac:dyDescent="0.2">
      <c r="B42" s="523" t="s">
        <v>984</v>
      </c>
      <c r="C42" s="524">
        <v>136.65</v>
      </c>
      <c r="D42" s="525"/>
      <c r="E42" s="526">
        <v>158.36000000000001</v>
      </c>
      <c r="F42" s="527"/>
      <c r="G42" s="528">
        <v>180.11</v>
      </c>
      <c r="H42" s="525"/>
      <c r="I42" s="529">
        <v>224.26</v>
      </c>
      <c r="J42" s="527"/>
      <c r="K42" s="528">
        <v>0</v>
      </c>
      <c r="L42" s="525"/>
      <c r="M42" s="529">
        <v>0</v>
      </c>
      <c r="N42" s="527"/>
      <c r="O42" s="530"/>
      <c r="P42" s="535"/>
      <c r="Q42" s="531"/>
      <c r="R42" s="532">
        <f t="shared" si="1"/>
        <v>0</v>
      </c>
    </row>
    <row r="43" spans="2:18" ht="15" x14ac:dyDescent="0.2">
      <c r="B43" s="523" t="s">
        <v>985</v>
      </c>
      <c r="C43" s="524">
        <v>282.58</v>
      </c>
      <c r="D43" s="525"/>
      <c r="E43" s="526">
        <v>322.95999999999998</v>
      </c>
      <c r="F43" s="527"/>
      <c r="G43" s="528">
        <v>360.68</v>
      </c>
      <c r="H43" s="525"/>
      <c r="I43" s="529">
        <v>381.53</v>
      </c>
      <c r="J43" s="527"/>
      <c r="K43" s="528">
        <v>0</v>
      </c>
      <c r="L43" s="525"/>
      <c r="M43" s="529">
        <v>0</v>
      </c>
      <c r="N43" s="527"/>
      <c r="O43" s="530"/>
      <c r="P43" s="535"/>
      <c r="Q43" s="531"/>
      <c r="R43" s="532">
        <f t="shared" si="1"/>
        <v>0</v>
      </c>
    </row>
    <row r="44" spans="2:18" ht="15" x14ac:dyDescent="0.2">
      <c r="B44" s="523" t="s">
        <v>776</v>
      </c>
      <c r="C44" s="524">
        <v>14.49</v>
      </c>
      <c r="D44" s="525"/>
      <c r="E44" s="526">
        <v>14.49</v>
      </c>
      <c r="F44" s="527"/>
      <c r="G44" s="528">
        <v>14.49</v>
      </c>
      <c r="H44" s="525"/>
      <c r="I44" s="529">
        <v>27.8</v>
      </c>
      <c r="J44" s="527"/>
      <c r="K44" s="528">
        <v>27.8</v>
      </c>
      <c r="L44" s="525"/>
      <c r="M44" s="529">
        <v>27.8</v>
      </c>
      <c r="N44" s="527"/>
      <c r="O44" s="530"/>
      <c r="P44" s="535"/>
      <c r="Q44" s="531"/>
      <c r="R44" s="532">
        <f t="shared" si="1"/>
        <v>0</v>
      </c>
    </row>
    <row r="45" spans="2:18" ht="15" x14ac:dyDescent="0.2">
      <c r="B45" s="523"/>
      <c r="C45" s="524"/>
      <c r="D45" s="525"/>
      <c r="E45" s="526"/>
      <c r="F45" s="527"/>
      <c r="G45" s="528"/>
      <c r="H45" s="525"/>
      <c r="I45" s="529"/>
      <c r="J45" s="527"/>
      <c r="K45" s="528"/>
      <c r="L45" s="525"/>
      <c r="M45" s="529"/>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sheetData>
  <mergeCells count="4">
    <mergeCell ref="B2:E2"/>
    <mergeCell ref="H2:L2"/>
    <mergeCell ref="N2:O2"/>
    <mergeCell ref="B3:O3"/>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theme="0" tint="-0.249977111117893"/>
  </sheetPr>
  <dimension ref="B1:V94"/>
  <sheetViews>
    <sheetView zoomScale="90" zoomScaleNormal="90" workbookViewId="0">
      <selection activeCell="S131" sqref="S131"/>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5" customWidth="1"/>
    <col min="22" max="22" width="12.33203125" customWidth="1"/>
    <col min="23" max="23" width="11.5" customWidth="1"/>
  </cols>
  <sheetData>
    <row r="1" spans="2:22" ht="14" thickBot="1" x14ac:dyDescent="0.2"/>
    <row r="2" spans="2:22" ht="16" thickBot="1" x14ac:dyDescent="0.25">
      <c r="B2" s="1090" t="s">
        <v>696</v>
      </c>
      <c r="C2" s="1091"/>
      <c r="D2" s="1091"/>
      <c r="E2" s="1092"/>
      <c r="G2" s="568" t="s">
        <v>683</v>
      </c>
      <c r="H2" s="1090" t="e">
        <f>IF(#REF!="","",#REF!)</f>
        <v>#REF!</v>
      </c>
      <c r="I2" s="1091"/>
      <c r="J2" s="1091"/>
      <c r="K2" s="1091"/>
      <c r="L2" s="1092"/>
      <c r="M2" s="569" t="s">
        <v>684</v>
      </c>
      <c r="N2" s="1090" t="e">
        <f>IF(#REF!="","",#REF!)</f>
        <v>#REF!</v>
      </c>
      <c r="O2" s="1092"/>
      <c r="Q2" s="502"/>
      <c r="R2" s="555" t="s">
        <v>14</v>
      </c>
      <c r="T2" s="971" t="s">
        <v>1423</v>
      </c>
      <c r="U2" s="972"/>
      <c r="V2" s="973"/>
    </row>
    <row r="3" spans="2:22" ht="14" thickBot="1" x14ac:dyDescent="0.2">
      <c r="B3" s="1093" t="s">
        <v>855</v>
      </c>
      <c r="C3" s="1093"/>
      <c r="D3" s="1093"/>
      <c r="E3" s="1093"/>
      <c r="F3" s="1093"/>
      <c r="G3" s="1093"/>
      <c r="H3" s="1093"/>
      <c r="I3" s="1093"/>
      <c r="J3" s="1093"/>
      <c r="K3" s="1093"/>
      <c r="L3" s="1093"/>
      <c r="M3" s="1093"/>
      <c r="N3" s="1093"/>
      <c r="O3" s="1093"/>
      <c r="R3" s="556">
        <f>R25+R48+R71+R94</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theme="0" tint="-0.249977111117893"/>
  </sheetPr>
  <dimension ref="B1:V94"/>
  <sheetViews>
    <sheetView zoomScale="90" zoomScaleNormal="90" workbookViewId="0">
      <selection activeCell="S131" sqref="S131"/>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8.83203125" style="501"/>
    <col min="21" max="21" width="5.6640625" customWidth="1"/>
    <col min="22" max="22" width="12.33203125" customWidth="1"/>
    <col min="23" max="23" width="11.5" customWidth="1"/>
  </cols>
  <sheetData>
    <row r="1" spans="2:22" ht="14" thickBot="1" x14ac:dyDescent="0.2"/>
    <row r="2" spans="2:22" ht="16" thickBot="1" x14ac:dyDescent="0.25">
      <c r="B2" s="1090" t="s">
        <v>695</v>
      </c>
      <c r="C2" s="1091"/>
      <c r="D2" s="1091"/>
      <c r="E2" s="1092"/>
      <c r="G2" s="568" t="s">
        <v>683</v>
      </c>
      <c r="H2" s="1090" t="e">
        <f>IF(#REF!="","",#REF!)</f>
        <v>#REF!</v>
      </c>
      <c r="I2" s="1091"/>
      <c r="J2" s="1091"/>
      <c r="K2" s="1091"/>
      <c r="L2" s="1092"/>
      <c r="M2" s="569" t="s">
        <v>684</v>
      </c>
      <c r="N2" s="1090" t="e">
        <f>IF(#REF!="","",#REF!)</f>
        <v>#REF!</v>
      </c>
      <c r="O2" s="1092"/>
      <c r="Q2" s="502"/>
      <c r="R2" s="555" t="s">
        <v>14</v>
      </c>
      <c r="T2" s="955" t="s">
        <v>1423</v>
      </c>
      <c r="U2" s="956"/>
      <c r="V2" s="957"/>
    </row>
    <row r="3" spans="2:22" ht="14" thickBot="1" x14ac:dyDescent="0.2">
      <c r="B3" s="1093" t="s">
        <v>855</v>
      </c>
      <c r="C3" s="1093"/>
      <c r="D3" s="1093"/>
      <c r="E3" s="1093"/>
      <c r="F3" s="1093"/>
      <c r="G3" s="1093"/>
      <c r="H3" s="1093"/>
      <c r="I3" s="1093"/>
      <c r="J3" s="1093"/>
      <c r="K3" s="1093"/>
      <c r="L3" s="1093"/>
      <c r="M3" s="1093"/>
      <c r="N3" s="1093"/>
      <c r="O3" s="1093"/>
      <c r="R3" s="556">
        <f>R25+R48+R71+R94</f>
        <v>0</v>
      </c>
      <c r="T3" s="954" t="s">
        <v>736</v>
      </c>
      <c r="U3" s="954" t="s">
        <v>542</v>
      </c>
      <c r="V3" s="95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58">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79998168889431442"/>
    <pageSetUpPr fitToPage="1"/>
  </sheetPr>
  <dimension ref="B1:AB82"/>
  <sheetViews>
    <sheetView zoomScale="90" zoomScaleNormal="90" workbookViewId="0">
      <selection activeCell="S131" sqref="S131"/>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ol min="13" max="13" width="13.1640625" style="120"/>
    <col min="14" max="15" width="13.1640625" style="118"/>
    <col min="16" max="16" width="13.1640625" style="120"/>
    <col min="17" max="18" width="13.1640625" style="118"/>
    <col min="19" max="19" width="13.1640625" style="120"/>
    <col min="20" max="27" width="13.1640625" style="118"/>
    <col min="28" max="28" width="13.1640625" style="120"/>
    <col min="29" max="16384" width="13.1640625" style="118"/>
  </cols>
  <sheetData>
    <row r="1" spans="2:28" s="123" customFormat="1" ht="15" customHeight="1" thickBot="1" x14ac:dyDescent="0.2">
      <c r="B1" s="156" t="s">
        <v>1511</v>
      </c>
      <c r="C1" s="1098" t="s">
        <v>880</v>
      </c>
      <c r="D1" s="1099"/>
      <c r="E1" s="1099"/>
      <c r="F1" s="1099"/>
      <c r="G1" s="1099"/>
      <c r="H1" s="1099"/>
      <c r="I1" s="1099"/>
      <c r="J1" s="1100"/>
      <c r="K1" s="989" t="s">
        <v>1501</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735</v>
      </c>
      <c r="C3" s="1083" t="e">
        <f>IF(#REF!="","",#REF!)</f>
        <v>#REF!</v>
      </c>
      <c r="D3" s="1083"/>
      <c r="E3" s="108" t="s">
        <v>78</v>
      </c>
      <c r="F3" s="1084" t="e">
        <f>IF(#REF!="","",#REF!)</f>
        <v>#REF!</v>
      </c>
      <c r="G3" s="1084"/>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75</v>
      </c>
      <c r="C5" s="1083" t="e">
        <f>IF(#REF!="","",#REF!)</f>
        <v>#REF!</v>
      </c>
      <c r="D5" s="1083"/>
      <c r="E5" s="108" t="s">
        <v>77</v>
      </c>
      <c r="F5" s="1084" t="e">
        <f>IF(#REF!="","",#REF!)</f>
        <v>#REF!</v>
      </c>
      <c r="G5" s="1084"/>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734</v>
      </c>
      <c r="C7" s="1083" t="e">
        <f>IF(#REF!="","",#REF!)</f>
        <v>#REF!</v>
      </c>
      <c r="D7" s="1083"/>
      <c r="E7" s="108" t="s">
        <v>76</v>
      </c>
      <c r="F7" s="1086" t="e">
        <f>IF(#REF!="","",#REF!)</f>
        <v>#REF!</v>
      </c>
      <c r="G7" s="1086"/>
      <c r="H7" s="326"/>
      <c r="J7" s="321" t="s">
        <v>79</v>
      </c>
      <c r="K7" s="914" t="e">
        <f>IF(#REF!="","",#REF!)</f>
        <v>#REF!</v>
      </c>
      <c r="L7" s="110"/>
      <c r="M7" s="1094" t="s">
        <v>1411</v>
      </c>
      <c r="N7" s="1094"/>
      <c r="O7" s="1094"/>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353</v>
      </c>
      <c r="C9" s="962">
        <v>0</v>
      </c>
      <c r="D9" s="377">
        <f>IF(C9=0,0,(SUBTOTAL(9,I12:I66)/(1-C9))-I9)</f>
        <v>0</v>
      </c>
      <c r="G9" s="25">
        <f>SUBTOTAL(9,G13:G66)</f>
        <v>8103</v>
      </c>
      <c r="H9" s="981">
        <f>IF(K9=0,"-",K9/I9)</f>
        <v>0.30358248057792825</v>
      </c>
      <c r="I9" s="25">
        <f>SUBTOTAL(9,I13:I67)</f>
        <v>11635.2615694165</v>
      </c>
      <c r="J9" s="465">
        <f>SUBTOTAL(9,J13:J66)</f>
        <v>11635.2615694165</v>
      </c>
      <c r="K9" s="25">
        <f>SUBTOTAL(9,K13:K66)</f>
        <v>3532.2615694164992</v>
      </c>
    </row>
    <row r="10" spans="2:28" ht="15" customHeight="1" x14ac:dyDescent="0.2">
      <c r="B10" s="2" t="s">
        <v>353</v>
      </c>
      <c r="C10" s="2" t="s">
        <v>542</v>
      </c>
      <c r="D10" s="2" t="s">
        <v>541</v>
      </c>
      <c r="E10" s="317"/>
      <c r="F10" s="2" t="s">
        <v>209</v>
      </c>
      <c r="G10" s="2" t="s">
        <v>34</v>
      </c>
      <c r="H10" s="3" t="s">
        <v>146</v>
      </c>
      <c r="I10" s="4" t="s">
        <v>210</v>
      </c>
      <c r="J10" s="4" t="s">
        <v>210</v>
      </c>
      <c r="K10" s="318" t="s">
        <v>211</v>
      </c>
    </row>
    <row r="11" spans="2:28" ht="15" customHeight="1" x14ac:dyDescent="0.2">
      <c r="B11" s="16"/>
      <c r="C11" s="17"/>
      <c r="D11" s="17"/>
      <c r="E11" s="18"/>
      <c r="F11" s="17"/>
      <c r="G11" s="17"/>
      <c r="H11" s="19"/>
      <c r="I11" s="20"/>
      <c r="J11" s="20"/>
      <c r="K11" s="21"/>
    </row>
    <row r="12" spans="2:28" ht="15" customHeight="1" x14ac:dyDescent="0.2">
      <c r="B12" s="24" t="s">
        <v>993</v>
      </c>
      <c r="C12" s="188" t="s">
        <v>1006</v>
      </c>
      <c r="D12" s="188" t="s">
        <v>994</v>
      </c>
      <c r="E12" s="23"/>
      <c r="F12" s="22"/>
      <c r="G12" s="61">
        <f>SUBTOTAL(9,G13:G54)</f>
        <v>8103</v>
      </c>
      <c r="H12" s="39">
        <f>IF(G12=0,"-",K12/I12)</f>
        <v>0.30358248057792825</v>
      </c>
      <c r="I12" s="61">
        <f>SUBTOTAL(9,I13:I54)</f>
        <v>11635.2615694165</v>
      </c>
      <c r="J12" s="465">
        <f>SUBTOTAL(9,J13:J54)</f>
        <v>11635.2615694165</v>
      </c>
      <c r="K12" s="61">
        <f>SUBTOTAL(9,K13:K54)</f>
        <v>3532.2615694164992</v>
      </c>
    </row>
    <row r="13" spans="2:28" ht="15" customHeight="1" x14ac:dyDescent="0.2">
      <c r="B13" s="871" t="s">
        <v>1003</v>
      </c>
      <c r="C13" s="251"/>
      <c r="D13" s="867"/>
      <c r="E13" s="252"/>
      <c r="F13" s="385"/>
      <c r="G13" s="378">
        <f t="shared" ref="G13:G54" si="0">C13*F13</f>
        <v>0</v>
      </c>
      <c r="H13" s="381">
        <v>0.28999999999999998</v>
      </c>
      <c r="I13" s="311">
        <f>G13/(1-H13)*(1+$C$9)</f>
        <v>0</v>
      </c>
      <c r="J13" s="378">
        <f>I13*VLOOKUP($B$9,'Base Costs'!$A$32:$B$37,2,FALSE)</f>
        <v>0</v>
      </c>
      <c r="K13" s="379">
        <f t="shared" ref="K13:K54" si="1">I13-G13</f>
        <v>0</v>
      </c>
    </row>
    <row r="14" spans="2:28" ht="15" customHeight="1" x14ac:dyDescent="0.2">
      <c r="B14" s="584" t="s">
        <v>999</v>
      </c>
      <c r="C14" s="251">
        <v>1</v>
      </c>
      <c r="D14" s="867" t="s">
        <v>995</v>
      </c>
      <c r="E14" s="252"/>
      <c r="F14" s="385">
        <v>590</v>
      </c>
      <c r="G14" s="378">
        <f t="shared" si="0"/>
        <v>590</v>
      </c>
      <c r="H14" s="381">
        <v>0.28999999999999998</v>
      </c>
      <c r="I14" s="311">
        <f t="shared" ref="I14:I54" si="2">G14/(1-H14)*(1+$C$9)</f>
        <v>830.98591549295782</v>
      </c>
      <c r="J14" s="378">
        <f>I14*VLOOKUP($B$9,'Base Costs'!$A$32:$B$37,2,FALSE)</f>
        <v>830.98591549295782</v>
      </c>
      <c r="K14" s="379">
        <f t="shared" si="1"/>
        <v>240.98591549295782</v>
      </c>
    </row>
    <row r="15" spans="2:28" ht="15" customHeight="1" x14ac:dyDescent="0.2">
      <c r="B15" s="584" t="s">
        <v>996</v>
      </c>
      <c r="C15" s="251">
        <v>2</v>
      </c>
      <c r="D15" s="867" t="s">
        <v>995</v>
      </c>
      <c r="E15" s="252"/>
      <c r="F15" s="385">
        <v>360</v>
      </c>
      <c r="G15" s="378">
        <f t="shared" si="0"/>
        <v>720</v>
      </c>
      <c r="H15" s="381">
        <v>0.28999999999999998</v>
      </c>
      <c r="I15" s="311">
        <f t="shared" si="2"/>
        <v>1014.0845070422536</v>
      </c>
      <c r="J15" s="378">
        <f>I15*VLOOKUP($B$9,'Base Costs'!$A$32:$B$37,2,FALSE)</f>
        <v>1014.0845070422536</v>
      </c>
      <c r="K15" s="379">
        <f t="shared" si="1"/>
        <v>294.08450704225356</v>
      </c>
    </row>
    <row r="16" spans="2:28" ht="15" customHeight="1" x14ac:dyDescent="0.2">
      <c r="B16" s="584" t="s">
        <v>997</v>
      </c>
      <c r="C16" s="251">
        <v>1</v>
      </c>
      <c r="D16" s="867" t="s">
        <v>995</v>
      </c>
      <c r="E16" s="252"/>
      <c r="F16" s="385">
        <v>200</v>
      </c>
      <c r="G16" s="378">
        <f t="shared" si="0"/>
        <v>200</v>
      </c>
      <c r="H16" s="381">
        <v>0.28999999999999998</v>
      </c>
      <c r="I16" s="311">
        <f t="shared" si="2"/>
        <v>281.69014084507046</v>
      </c>
      <c r="J16" s="378">
        <f>I16*VLOOKUP($B$9,'Base Costs'!$A$32:$B$37,2,FALSE)</f>
        <v>281.69014084507046</v>
      </c>
      <c r="K16" s="379">
        <f t="shared" si="1"/>
        <v>81.690140845070459</v>
      </c>
    </row>
    <row r="17" spans="2:11" ht="15" customHeight="1" x14ac:dyDescent="0.2">
      <c r="B17" s="584" t="s">
        <v>998</v>
      </c>
      <c r="C17" s="251">
        <v>1</v>
      </c>
      <c r="D17" s="867" t="s">
        <v>995</v>
      </c>
      <c r="E17" s="252"/>
      <c r="F17" s="385">
        <v>250</v>
      </c>
      <c r="G17" s="378">
        <f t="shared" si="0"/>
        <v>250</v>
      </c>
      <c r="H17" s="381">
        <v>0.28999999999999998</v>
      </c>
      <c r="I17" s="311">
        <f t="shared" si="2"/>
        <v>352.11267605633805</v>
      </c>
      <c r="J17" s="378">
        <f>I17*VLOOKUP($B$9,'Base Costs'!$A$32:$B$37,2,FALSE)</f>
        <v>352.11267605633805</v>
      </c>
      <c r="K17" s="379">
        <f t="shared" si="1"/>
        <v>102.11267605633805</v>
      </c>
    </row>
    <row r="18" spans="2:11" ht="15" customHeight="1" x14ac:dyDescent="0.2">
      <c r="B18" s="584"/>
      <c r="C18" s="251"/>
      <c r="D18" s="253"/>
      <c r="E18" s="252"/>
      <c r="F18" s="385">
        <f>26*1.03</f>
        <v>26.78</v>
      </c>
      <c r="G18" s="378">
        <f t="shared" si="0"/>
        <v>0</v>
      </c>
      <c r="H18" s="381">
        <v>0.28999999999999998</v>
      </c>
      <c r="I18" s="311">
        <f t="shared" si="2"/>
        <v>0</v>
      </c>
      <c r="J18" s="378">
        <f>I18*VLOOKUP($B$9,'Base Costs'!$A$32:$B$37,2,FALSE)</f>
        <v>0</v>
      </c>
      <c r="K18" s="379">
        <f t="shared" si="1"/>
        <v>0</v>
      </c>
    </row>
    <row r="19" spans="2:11" ht="15" customHeight="1" x14ac:dyDescent="0.2">
      <c r="B19" s="868" t="s">
        <v>999</v>
      </c>
      <c r="C19" s="251">
        <v>1</v>
      </c>
      <c r="D19" s="867" t="s">
        <v>1000</v>
      </c>
      <c r="E19" s="252"/>
      <c r="F19" s="385">
        <v>590</v>
      </c>
      <c r="G19" s="378">
        <f t="shared" si="0"/>
        <v>590</v>
      </c>
      <c r="H19" s="381">
        <v>0.44</v>
      </c>
      <c r="I19" s="311">
        <f t="shared" si="2"/>
        <v>1053.5714285714284</v>
      </c>
      <c r="J19" s="378">
        <f>I19*VLOOKUP($B$9,'Base Costs'!$A$32:$B$37,2,FALSE)</f>
        <v>1053.5714285714284</v>
      </c>
      <c r="K19" s="379">
        <f t="shared" si="1"/>
        <v>463.57142857142844</v>
      </c>
    </row>
    <row r="20" spans="2:11" ht="15" customHeight="1" x14ac:dyDescent="0.2">
      <c r="B20" s="868" t="s">
        <v>996</v>
      </c>
      <c r="C20" s="251">
        <v>2</v>
      </c>
      <c r="D20" s="867" t="s">
        <v>1000</v>
      </c>
      <c r="E20" s="252"/>
      <c r="F20" s="385">
        <v>404</v>
      </c>
      <c r="G20" s="378">
        <f t="shared" si="0"/>
        <v>808</v>
      </c>
      <c r="H20" s="381">
        <v>0.28999999999999998</v>
      </c>
      <c r="I20" s="311">
        <f t="shared" si="2"/>
        <v>1138.0281690140846</v>
      </c>
      <c r="J20" s="378">
        <f>I20*VLOOKUP($B$9,'Base Costs'!$A$32:$B$37,2,FALSE)</f>
        <v>1138.0281690140846</v>
      </c>
      <c r="K20" s="379">
        <f t="shared" si="1"/>
        <v>330.0281690140846</v>
      </c>
    </row>
    <row r="21" spans="2:11"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1"/>
        <v>0</v>
      </c>
    </row>
    <row r="22" spans="2:11" ht="15" customHeight="1" x14ac:dyDescent="0.2">
      <c r="B22" s="582"/>
      <c r="C22" s="251"/>
      <c r="D22" s="253"/>
      <c r="E22" s="252"/>
      <c r="F22" s="385">
        <v>0</v>
      </c>
      <c r="G22" s="378">
        <f t="shared" si="0"/>
        <v>0</v>
      </c>
      <c r="H22" s="381">
        <v>0.28999999999999998</v>
      </c>
      <c r="I22" s="311">
        <f t="shared" si="2"/>
        <v>0</v>
      </c>
      <c r="J22" s="378">
        <f>I22*VLOOKUP($B$9,'Base Costs'!$A$32:$B$37,2,FALSE)</f>
        <v>0</v>
      </c>
      <c r="K22" s="379">
        <f t="shared" si="1"/>
        <v>0</v>
      </c>
    </row>
    <row r="23" spans="2:11" ht="15" customHeight="1" x14ac:dyDescent="0.2">
      <c r="B23" s="871" t="s">
        <v>1001</v>
      </c>
      <c r="C23" s="251"/>
      <c r="D23" s="253"/>
      <c r="E23" s="252"/>
      <c r="F23" s="385">
        <v>0</v>
      </c>
      <c r="G23" s="378">
        <f t="shared" si="0"/>
        <v>0</v>
      </c>
      <c r="H23" s="381">
        <v>0.28999999999999998</v>
      </c>
      <c r="I23" s="311">
        <f t="shared" si="2"/>
        <v>0</v>
      </c>
      <c r="J23" s="378">
        <f>I23*VLOOKUP($B$9,'Base Costs'!$A$32:$B$37,2,FALSE)</f>
        <v>0</v>
      </c>
      <c r="K23" s="379">
        <f t="shared" si="1"/>
        <v>0</v>
      </c>
    </row>
    <row r="24" spans="2:11" ht="15" customHeight="1" x14ac:dyDescent="0.2">
      <c r="B24" s="872" t="s">
        <v>999</v>
      </c>
      <c r="C24" s="251">
        <v>1</v>
      </c>
      <c r="D24" s="867" t="s">
        <v>995</v>
      </c>
      <c r="E24" s="252"/>
      <c r="F24" s="385">
        <v>250</v>
      </c>
      <c r="G24" s="378">
        <f t="shared" si="0"/>
        <v>250</v>
      </c>
      <c r="H24" s="381">
        <v>0.28999999999999998</v>
      </c>
      <c r="I24" s="311">
        <f t="shared" si="2"/>
        <v>352.11267605633805</v>
      </c>
      <c r="J24" s="378">
        <f>I24*VLOOKUP($B$9,'Base Costs'!$A$32:$B$37,2,FALSE)</f>
        <v>352.11267605633805</v>
      </c>
      <c r="K24" s="379">
        <f t="shared" si="1"/>
        <v>102.11267605633805</v>
      </c>
    </row>
    <row r="25" spans="2:11" ht="15" customHeight="1" x14ac:dyDescent="0.2">
      <c r="B25" s="870" t="s">
        <v>996</v>
      </c>
      <c r="C25" s="251">
        <v>0.5</v>
      </c>
      <c r="D25" s="867" t="s">
        <v>995</v>
      </c>
      <c r="E25" s="252"/>
      <c r="F25" s="385">
        <v>360</v>
      </c>
      <c r="G25" s="378">
        <f t="shared" si="0"/>
        <v>180</v>
      </c>
      <c r="H25" s="381">
        <v>0.28999999999999998</v>
      </c>
      <c r="I25" s="311">
        <f t="shared" si="2"/>
        <v>253.52112676056339</v>
      </c>
      <c r="J25" s="378">
        <f>I25*VLOOKUP($B$9,'Base Costs'!$A$32:$B$37,2,FALSE)</f>
        <v>253.52112676056339</v>
      </c>
      <c r="K25" s="379">
        <f t="shared" si="1"/>
        <v>73.521126760563391</v>
      </c>
    </row>
    <row r="26" spans="2:11" ht="15" customHeight="1" x14ac:dyDescent="0.2">
      <c r="B26" s="583"/>
      <c r="C26" s="251"/>
      <c r="D26" s="253"/>
      <c r="E26" s="252"/>
      <c r="F26" s="385"/>
      <c r="G26" s="378">
        <f t="shared" si="0"/>
        <v>0</v>
      </c>
      <c r="H26" s="381">
        <v>0.28999999999999998</v>
      </c>
      <c r="I26" s="311">
        <f t="shared" si="2"/>
        <v>0</v>
      </c>
      <c r="J26" s="378">
        <f>I26*VLOOKUP($B$9,'Base Costs'!$A$32:$B$37,2,FALSE)</f>
        <v>0</v>
      </c>
      <c r="K26" s="379">
        <f t="shared" si="1"/>
        <v>0</v>
      </c>
    </row>
    <row r="27" spans="2:11" ht="15" customHeight="1" x14ac:dyDescent="0.2">
      <c r="B27" s="873" t="s">
        <v>999</v>
      </c>
      <c r="C27" s="251">
        <v>1</v>
      </c>
      <c r="D27" s="867" t="s">
        <v>1000</v>
      </c>
      <c r="E27" s="252"/>
      <c r="F27" s="385">
        <v>250</v>
      </c>
      <c r="G27" s="378">
        <f t="shared" si="0"/>
        <v>250</v>
      </c>
      <c r="H27" s="381">
        <v>0.28999999999999998</v>
      </c>
      <c r="I27" s="311">
        <f t="shared" si="2"/>
        <v>352.11267605633805</v>
      </c>
      <c r="J27" s="378">
        <f>I27*VLOOKUP($B$9,'Base Costs'!$A$32:$B$37,2,FALSE)</f>
        <v>352.11267605633805</v>
      </c>
      <c r="K27" s="379">
        <f t="shared" si="1"/>
        <v>102.11267605633805</v>
      </c>
    </row>
    <row r="28" spans="2:11" ht="15" customHeight="1" x14ac:dyDescent="0.2">
      <c r="B28" s="873" t="s">
        <v>996</v>
      </c>
      <c r="C28" s="251">
        <v>0.5</v>
      </c>
      <c r="D28" s="867" t="s">
        <v>1000</v>
      </c>
      <c r="E28" s="252"/>
      <c r="F28" s="385">
        <v>404</v>
      </c>
      <c r="G28" s="378">
        <f t="shared" si="0"/>
        <v>202</v>
      </c>
      <c r="H28" s="381">
        <v>0.28999999999999998</v>
      </c>
      <c r="I28" s="311">
        <f t="shared" si="2"/>
        <v>284.50704225352115</v>
      </c>
      <c r="J28" s="378">
        <f>I28*VLOOKUP($B$9,'Base Costs'!$A$32:$B$37,2,FALSE)</f>
        <v>284.50704225352115</v>
      </c>
      <c r="K28" s="379">
        <f t="shared" si="1"/>
        <v>82.507042253521149</v>
      </c>
    </row>
    <row r="29" spans="2:11" ht="15" customHeight="1" x14ac:dyDescent="0.2">
      <c r="B29" s="583"/>
      <c r="C29" s="251"/>
      <c r="D29" s="253"/>
      <c r="E29" s="252"/>
      <c r="F29" s="385">
        <v>0</v>
      </c>
      <c r="G29" s="378">
        <f t="shared" si="0"/>
        <v>0</v>
      </c>
      <c r="H29" s="381">
        <v>0.28999999999999998</v>
      </c>
      <c r="I29" s="311">
        <f t="shared" si="2"/>
        <v>0</v>
      </c>
      <c r="J29" s="378">
        <f>I29*VLOOKUP($B$9,'Base Costs'!$A$32:$B$37,2,FALSE)</f>
        <v>0</v>
      </c>
      <c r="K29" s="379">
        <f>I29-G29</f>
        <v>0</v>
      </c>
    </row>
    <row r="30" spans="2:11" ht="15" customHeight="1" x14ac:dyDescent="0.2">
      <c r="B30" s="583"/>
      <c r="C30" s="251"/>
      <c r="D30" s="253"/>
      <c r="E30" s="252"/>
      <c r="F30" s="385">
        <v>0</v>
      </c>
      <c r="G30" s="378">
        <f t="shared" si="0"/>
        <v>0</v>
      </c>
      <c r="H30" s="381">
        <v>0.28999999999999998</v>
      </c>
      <c r="I30" s="311">
        <f t="shared" si="2"/>
        <v>0</v>
      </c>
      <c r="J30" s="378">
        <f>I30*VLOOKUP($B$9,'Base Costs'!$A$32:$B$37,2,FALSE)</f>
        <v>0</v>
      </c>
      <c r="K30" s="379">
        <f t="shared" si="1"/>
        <v>0</v>
      </c>
    </row>
    <row r="31" spans="2:11" ht="15" customHeight="1" x14ac:dyDescent="0.2">
      <c r="B31" s="874" t="s">
        <v>1004</v>
      </c>
      <c r="C31" s="251"/>
      <c r="D31" s="253"/>
      <c r="E31" s="252"/>
      <c r="F31" s="385">
        <v>0</v>
      </c>
      <c r="G31" s="378">
        <f t="shared" si="0"/>
        <v>0</v>
      </c>
      <c r="H31" s="381">
        <v>0.28999999999999998</v>
      </c>
      <c r="I31" s="311">
        <f t="shared" si="2"/>
        <v>0</v>
      </c>
      <c r="J31" s="378">
        <f>I31*VLOOKUP($B$9,'Base Costs'!$A$32:$B$37,2,FALSE)</f>
        <v>0</v>
      </c>
      <c r="K31" s="379">
        <f t="shared" si="1"/>
        <v>0</v>
      </c>
    </row>
    <row r="32" spans="2:11" ht="15" customHeight="1" x14ac:dyDescent="0.2">
      <c r="B32" s="873" t="s">
        <v>999</v>
      </c>
      <c r="C32" s="251">
        <v>1</v>
      </c>
      <c r="D32" s="867" t="s">
        <v>995</v>
      </c>
      <c r="E32" s="252"/>
      <c r="F32" s="385">
        <v>555</v>
      </c>
      <c r="G32" s="378">
        <f t="shared" si="0"/>
        <v>555</v>
      </c>
      <c r="H32" s="381">
        <v>0.28999999999999998</v>
      </c>
      <c r="I32" s="311">
        <f t="shared" si="2"/>
        <v>781.69014084507046</v>
      </c>
      <c r="J32" s="378">
        <f>I32*VLOOKUP($B$9,'Base Costs'!$A$32:$B$37,2,FALSE)</f>
        <v>781.69014084507046</v>
      </c>
      <c r="K32" s="379">
        <f t="shared" si="1"/>
        <v>226.69014084507046</v>
      </c>
    </row>
    <row r="33" spans="2:11" ht="15" customHeight="1" x14ac:dyDescent="0.2">
      <c r="B33" s="583" t="s">
        <v>996</v>
      </c>
      <c r="C33" s="251">
        <v>1</v>
      </c>
      <c r="D33" s="867" t="s">
        <v>995</v>
      </c>
      <c r="E33" s="252"/>
      <c r="F33" s="385">
        <v>360</v>
      </c>
      <c r="G33" s="378">
        <f t="shared" si="0"/>
        <v>360</v>
      </c>
      <c r="H33" s="381">
        <v>0.28999999999999998</v>
      </c>
      <c r="I33" s="311">
        <f t="shared" si="2"/>
        <v>507.04225352112678</v>
      </c>
      <c r="J33" s="378">
        <f>I33*VLOOKUP($B$9,'Base Costs'!$A$32:$B$37,2,FALSE)</f>
        <v>507.04225352112678</v>
      </c>
      <c r="K33" s="379">
        <f t="shared" si="1"/>
        <v>147.04225352112678</v>
      </c>
    </row>
    <row r="34" spans="2:11" ht="15" customHeight="1" x14ac:dyDescent="0.2">
      <c r="B34" s="583" t="s">
        <v>1002</v>
      </c>
      <c r="C34" s="251">
        <v>2</v>
      </c>
      <c r="D34" s="867" t="s">
        <v>995</v>
      </c>
      <c r="E34" s="252"/>
      <c r="F34" s="385">
        <v>75</v>
      </c>
      <c r="G34" s="378">
        <f t="shared" si="0"/>
        <v>150</v>
      </c>
      <c r="H34" s="381">
        <v>0.28999999999999998</v>
      </c>
      <c r="I34" s="311">
        <f t="shared" si="2"/>
        <v>211.26760563380282</v>
      </c>
      <c r="J34" s="378">
        <f>I34*VLOOKUP($B$9,'Base Costs'!$A$32:$B$37,2,FALSE)</f>
        <v>211.26760563380282</v>
      </c>
      <c r="K34" s="379">
        <f t="shared" si="1"/>
        <v>61.267605633802816</v>
      </c>
    </row>
    <row r="35" spans="2:11" ht="15" customHeight="1" x14ac:dyDescent="0.2">
      <c r="B35" s="583" t="s">
        <v>998</v>
      </c>
      <c r="C35" s="251">
        <v>1</v>
      </c>
      <c r="D35" s="867" t="s">
        <v>995</v>
      </c>
      <c r="E35" s="252"/>
      <c r="F35" s="385">
        <v>250</v>
      </c>
      <c r="G35" s="378">
        <f t="shared" si="0"/>
        <v>250</v>
      </c>
      <c r="H35" s="381">
        <v>0.28999999999999998</v>
      </c>
      <c r="I35" s="311">
        <f t="shared" si="2"/>
        <v>352.11267605633805</v>
      </c>
      <c r="J35" s="378">
        <f>I35*VLOOKUP($B$9,'Base Costs'!$A$32:$B$37,2,FALSE)</f>
        <v>352.11267605633805</v>
      </c>
      <c r="K35" s="379">
        <f t="shared" si="1"/>
        <v>102.11267605633805</v>
      </c>
    </row>
    <row r="36" spans="2:11" ht="15" customHeight="1" x14ac:dyDescent="0.2">
      <c r="B36" s="583"/>
      <c r="C36" s="251"/>
      <c r="D36" s="253"/>
      <c r="E36" s="252"/>
      <c r="F36" s="385">
        <f>26*1.03</f>
        <v>26.78</v>
      </c>
      <c r="G36" s="378">
        <f t="shared" si="0"/>
        <v>0</v>
      </c>
      <c r="H36" s="381">
        <v>0.28999999999999998</v>
      </c>
      <c r="I36" s="311">
        <f t="shared" si="2"/>
        <v>0</v>
      </c>
      <c r="J36" s="378">
        <f>I36*VLOOKUP($B$9,'Base Costs'!$A$32:$B$37,2,FALSE)</f>
        <v>0</v>
      </c>
      <c r="K36" s="379">
        <f t="shared" si="1"/>
        <v>0</v>
      </c>
    </row>
    <row r="37" spans="2:11" ht="15" customHeight="1" x14ac:dyDescent="0.2">
      <c r="B37" s="873" t="s">
        <v>999</v>
      </c>
      <c r="C37" s="251">
        <v>1</v>
      </c>
      <c r="D37" s="867" t="s">
        <v>1000</v>
      </c>
      <c r="E37" s="252"/>
      <c r="F37" s="385">
        <v>555</v>
      </c>
      <c r="G37" s="378">
        <f t="shared" si="0"/>
        <v>555</v>
      </c>
      <c r="H37" s="381">
        <v>0.28999999999999998</v>
      </c>
      <c r="I37" s="311">
        <f t="shared" si="2"/>
        <v>781.69014084507046</v>
      </c>
      <c r="J37" s="378">
        <f>I37*VLOOKUP($B$9,'Base Costs'!$A$32:$B$37,2,FALSE)</f>
        <v>781.69014084507046</v>
      </c>
      <c r="K37" s="379">
        <f t="shared" si="1"/>
        <v>226.69014084507046</v>
      </c>
    </row>
    <row r="38" spans="2:11" ht="15" customHeight="1" x14ac:dyDescent="0.2">
      <c r="B38" s="583" t="s">
        <v>996</v>
      </c>
      <c r="C38" s="251">
        <v>1</v>
      </c>
      <c r="D38" s="867" t="s">
        <v>1000</v>
      </c>
      <c r="E38" s="252"/>
      <c r="F38" s="385">
        <v>404</v>
      </c>
      <c r="G38" s="378">
        <f t="shared" si="0"/>
        <v>404</v>
      </c>
      <c r="H38" s="381">
        <v>0.28999999999999998</v>
      </c>
      <c r="I38" s="311">
        <f t="shared" si="2"/>
        <v>569.0140845070423</v>
      </c>
      <c r="J38" s="378">
        <f>I38*VLOOKUP($B$9,'Base Costs'!$A$32:$B$37,2,FALSE)</f>
        <v>569.0140845070423</v>
      </c>
      <c r="K38" s="379">
        <f t="shared" si="1"/>
        <v>165.0140845070423</v>
      </c>
    </row>
    <row r="39" spans="2:11" ht="15" customHeight="1" x14ac:dyDescent="0.2">
      <c r="B39" s="583" t="s">
        <v>1002</v>
      </c>
      <c r="C39" s="251">
        <v>2</v>
      </c>
      <c r="D39" s="867" t="s">
        <v>1000</v>
      </c>
      <c r="E39" s="252"/>
      <c r="F39" s="385">
        <v>75</v>
      </c>
      <c r="G39" s="378">
        <f t="shared" si="0"/>
        <v>150</v>
      </c>
      <c r="H39" s="381">
        <v>0.28999999999999998</v>
      </c>
      <c r="I39" s="311">
        <f t="shared" si="2"/>
        <v>211.26760563380282</v>
      </c>
      <c r="J39" s="378">
        <f>I39*VLOOKUP($B$9,'Base Costs'!$A$32:$B$37,2,FALSE)</f>
        <v>211.26760563380282</v>
      </c>
      <c r="K39" s="379">
        <f t="shared" si="1"/>
        <v>61.267605633802816</v>
      </c>
    </row>
    <row r="40" spans="2:11" ht="15" customHeight="1" x14ac:dyDescent="0.2">
      <c r="B40" s="584"/>
      <c r="C40" s="251"/>
      <c r="D40" s="793"/>
      <c r="E40" s="252"/>
      <c r="F40" s="385"/>
      <c r="G40" s="378">
        <f t="shared" si="0"/>
        <v>0</v>
      </c>
      <c r="H40" s="381">
        <v>0.28999999999999998</v>
      </c>
      <c r="I40" s="311">
        <f t="shared" si="2"/>
        <v>0</v>
      </c>
      <c r="J40" s="378">
        <f>I40*VLOOKUP($B$9,'Base Costs'!$A$32:$B$37,2,FALSE)</f>
        <v>0</v>
      </c>
      <c r="K40" s="379">
        <f t="shared" si="1"/>
        <v>0</v>
      </c>
    </row>
    <row r="41" spans="2:11" ht="15" customHeight="1" x14ac:dyDescent="0.2">
      <c r="B41" s="584"/>
      <c r="C41" s="251"/>
      <c r="D41" s="794"/>
      <c r="E41" s="252"/>
      <c r="F41" s="385"/>
      <c r="G41" s="378">
        <f t="shared" si="0"/>
        <v>0</v>
      </c>
      <c r="H41" s="381">
        <v>0.28999999999999998</v>
      </c>
      <c r="I41" s="311">
        <f t="shared" si="2"/>
        <v>0</v>
      </c>
      <c r="J41" s="378">
        <f>I41*VLOOKUP($B$9,'Base Costs'!$A$32:$B$37,2,FALSE)</f>
        <v>0</v>
      </c>
      <c r="K41" s="379">
        <f t="shared" si="1"/>
        <v>0</v>
      </c>
    </row>
    <row r="42" spans="2:11" ht="15" customHeight="1" x14ac:dyDescent="0.2">
      <c r="B42" s="874" t="s">
        <v>1005</v>
      </c>
      <c r="C42" s="251"/>
      <c r="D42" s="794"/>
      <c r="E42" s="252"/>
      <c r="F42" s="385"/>
      <c r="G42" s="378">
        <f t="shared" si="0"/>
        <v>0</v>
      </c>
      <c r="H42" s="381">
        <v>0.28999999999999998</v>
      </c>
      <c r="I42" s="311">
        <f t="shared" si="2"/>
        <v>0</v>
      </c>
      <c r="J42" s="378">
        <f>I42*VLOOKUP($B$9,'Base Costs'!$A$32:$B$37,2,FALSE)</f>
        <v>0</v>
      </c>
      <c r="K42" s="379">
        <f t="shared" si="1"/>
        <v>0</v>
      </c>
    </row>
    <row r="43" spans="2:11" ht="15" customHeight="1" x14ac:dyDescent="0.2">
      <c r="B43" s="869" t="s">
        <v>999</v>
      </c>
      <c r="C43" s="251">
        <v>1</v>
      </c>
      <c r="D43" s="867" t="s">
        <v>995</v>
      </c>
      <c r="E43" s="252"/>
      <c r="F43" s="385">
        <v>250</v>
      </c>
      <c r="G43" s="378">
        <f t="shared" si="0"/>
        <v>250</v>
      </c>
      <c r="H43" s="381">
        <v>0.28999999999999998</v>
      </c>
      <c r="I43" s="311">
        <f t="shared" si="2"/>
        <v>352.11267605633805</v>
      </c>
      <c r="J43" s="378">
        <f>I43*VLOOKUP($B$9,'Base Costs'!$A$32:$B$37,2,FALSE)</f>
        <v>352.11267605633805</v>
      </c>
      <c r="K43" s="379">
        <f t="shared" si="1"/>
        <v>102.11267605633805</v>
      </c>
    </row>
    <row r="44" spans="2:11" ht="15" customHeight="1" x14ac:dyDescent="0.2">
      <c r="B44" s="869" t="s">
        <v>996</v>
      </c>
      <c r="C44" s="251">
        <v>1</v>
      </c>
      <c r="D44" s="867" t="s">
        <v>995</v>
      </c>
      <c r="E44" s="252"/>
      <c r="F44" s="385">
        <v>360</v>
      </c>
      <c r="G44" s="378">
        <f t="shared" si="0"/>
        <v>360</v>
      </c>
      <c r="H44" s="381">
        <v>0.28999999999999998</v>
      </c>
      <c r="I44" s="311">
        <f t="shared" si="2"/>
        <v>507.04225352112678</v>
      </c>
      <c r="J44" s="378">
        <f>I44*VLOOKUP($B$9,'Base Costs'!$A$32:$B$37,2,FALSE)</f>
        <v>507.04225352112678</v>
      </c>
      <c r="K44" s="379">
        <f t="shared" si="1"/>
        <v>147.04225352112678</v>
      </c>
    </row>
    <row r="45" spans="2:11" ht="15" customHeight="1" x14ac:dyDescent="0.2">
      <c r="B45" s="869" t="s">
        <v>1002</v>
      </c>
      <c r="C45" s="251">
        <v>2</v>
      </c>
      <c r="D45" s="867" t="s">
        <v>995</v>
      </c>
      <c r="E45" s="252"/>
      <c r="F45" s="385">
        <v>75</v>
      </c>
      <c r="G45" s="378">
        <f t="shared" si="0"/>
        <v>150</v>
      </c>
      <c r="H45" s="381">
        <v>0.28999999999999998</v>
      </c>
      <c r="I45" s="311">
        <f t="shared" si="2"/>
        <v>211.26760563380282</v>
      </c>
      <c r="J45" s="378">
        <f>I45*VLOOKUP($B$9,'Base Costs'!$A$32:$B$37,2,FALSE)</f>
        <v>211.26760563380282</v>
      </c>
      <c r="K45" s="379">
        <f t="shared" si="1"/>
        <v>61.267605633802816</v>
      </c>
    </row>
    <row r="46" spans="2:11" ht="15" customHeight="1" x14ac:dyDescent="0.2">
      <c r="B46" s="869" t="s">
        <v>998</v>
      </c>
      <c r="C46" s="251">
        <v>1</v>
      </c>
      <c r="D46" s="867" t="s">
        <v>995</v>
      </c>
      <c r="E46" s="252"/>
      <c r="F46" s="385">
        <v>250</v>
      </c>
      <c r="G46" s="378">
        <f t="shared" si="0"/>
        <v>250</v>
      </c>
      <c r="H46" s="381">
        <v>0.28999999999999998</v>
      </c>
      <c r="I46" s="311">
        <f t="shared" si="2"/>
        <v>352.11267605633805</v>
      </c>
      <c r="J46" s="378">
        <f>I46*VLOOKUP($B$9,'Base Costs'!$A$32:$B$37,2,FALSE)</f>
        <v>352.11267605633805</v>
      </c>
      <c r="K46" s="379">
        <f t="shared" si="1"/>
        <v>102.11267605633805</v>
      </c>
    </row>
    <row r="47" spans="2:11" ht="15" customHeight="1" x14ac:dyDescent="0.2">
      <c r="B47" s="869"/>
      <c r="C47" s="251"/>
      <c r="D47" s="1095"/>
      <c r="E47" s="1096"/>
      <c r="F47" s="385">
        <v>550</v>
      </c>
      <c r="G47" s="378">
        <f t="shared" si="0"/>
        <v>0</v>
      </c>
      <c r="H47" s="381">
        <v>0.28999999999999998</v>
      </c>
      <c r="I47" s="311">
        <f t="shared" si="2"/>
        <v>0</v>
      </c>
      <c r="J47" s="378">
        <f>I47*VLOOKUP($B$9,'Base Costs'!$A$32:$B$37,2,FALSE)</f>
        <v>0</v>
      </c>
      <c r="K47" s="379">
        <f t="shared" si="1"/>
        <v>0</v>
      </c>
    </row>
    <row r="48" spans="2:11" ht="15" customHeight="1" x14ac:dyDescent="0.2">
      <c r="B48" s="869" t="s">
        <v>999</v>
      </c>
      <c r="C48" s="251">
        <v>1</v>
      </c>
      <c r="D48" s="867" t="s">
        <v>1000</v>
      </c>
      <c r="E48" s="252"/>
      <c r="F48" s="385">
        <v>75</v>
      </c>
      <c r="G48" s="378">
        <f t="shared" si="0"/>
        <v>75</v>
      </c>
      <c r="H48" s="381">
        <v>0.28999999999999998</v>
      </c>
      <c r="I48" s="311">
        <f t="shared" si="2"/>
        <v>105.63380281690141</v>
      </c>
      <c r="J48" s="378">
        <f>I48*VLOOKUP($B$9,'Base Costs'!$A$32:$B$37,2,FALSE)</f>
        <v>105.63380281690141</v>
      </c>
      <c r="K48" s="379">
        <f t="shared" si="1"/>
        <v>30.633802816901408</v>
      </c>
    </row>
    <row r="49" spans="2:21" ht="15" customHeight="1" x14ac:dyDescent="0.2">
      <c r="B49" s="869" t="s">
        <v>996</v>
      </c>
      <c r="C49" s="251">
        <v>1</v>
      </c>
      <c r="D49" s="867" t="s">
        <v>1000</v>
      </c>
      <c r="E49" s="252"/>
      <c r="F49" s="385">
        <v>404</v>
      </c>
      <c r="G49" s="378">
        <f t="shared" si="0"/>
        <v>404</v>
      </c>
      <c r="H49" s="381">
        <v>0.28999999999999998</v>
      </c>
      <c r="I49" s="311">
        <f t="shared" si="2"/>
        <v>569.0140845070423</v>
      </c>
      <c r="J49" s="378">
        <f>I49*VLOOKUP($B$9,'Base Costs'!$A$32:$B$37,2,FALSE)</f>
        <v>569.0140845070423</v>
      </c>
      <c r="K49" s="379">
        <f t="shared" si="1"/>
        <v>165.0140845070423</v>
      </c>
    </row>
    <row r="50" spans="2:21" ht="15" customHeight="1" x14ac:dyDescent="0.2">
      <c r="B50" s="869" t="s">
        <v>1002</v>
      </c>
      <c r="C50" s="251">
        <v>2</v>
      </c>
      <c r="D50" s="867" t="s">
        <v>1000</v>
      </c>
      <c r="E50" s="252"/>
      <c r="F50" s="385">
        <v>75</v>
      </c>
      <c r="G50" s="378">
        <f t="shared" si="0"/>
        <v>150</v>
      </c>
      <c r="H50" s="381">
        <v>0.28999999999999998</v>
      </c>
      <c r="I50" s="311">
        <f t="shared" si="2"/>
        <v>211.26760563380282</v>
      </c>
      <c r="J50" s="378">
        <f>I50*VLOOKUP($B$9,'Base Costs'!$A$32:$B$37,2,FALSE)</f>
        <v>211.26760563380282</v>
      </c>
      <c r="K50" s="379">
        <f t="shared" si="1"/>
        <v>61.267605633802816</v>
      </c>
    </row>
    <row r="51" spans="2:21" ht="15" customHeight="1" x14ac:dyDescent="0.2">
      <c r="B51" s="585"/>
      <c r="C51" s="251"/>
      <c r="D51" s="255"/>
      <c r="E51" s="252"/>
      <c r="F51" s="385">
        <v>0</v>
      </c>
      <c r="G51" s="378">
        <f t="shared" si="0"/>
        <v>0</v>
      </c>
      <c r="H51" s="381">
        <v>0.28999999999999998</v>
      </c>
      <c r="I51" s="311">
        <f t="shared" si="2"/>
        <v>0</v>
      </c>
      <c r="J51" s="378">
        <f>I51*VLOOKUP($B$9,'Base Costs'!$A$32:$B$37,2,FALSE)</f>
        <v>0</v>
      </c>
      <c r="K51" s="379">
        <f t="shared" si="1"/>
        <v>0</v>
      </c>
    </row>
    <row r="52" spans="2:21" ht="15" customHeight="1" x14ac:dyDescent="0.2">
      <c r="B52" s="585"/>
      <c r="C52" s="251"/>
      <c r="D52" s="253"/>
      <c r="E52" s="252"/>
      <c r="F52" s="385">
        <v>0</v>
      </c>
      <c r="G52" s="378">
        <f t="shared" si="0"/>
        <v>0</v>
      </c>
      <c r="H52" s="381">
        <v>0.28999999999999998</v>
      </c>
      <c r="I52" s="311">
        <f t="shared" si="2"/>
        <v>0</v>
      </c>
      <c r="J52" s="378">
        <f>I52*VLOOKUP($B$9,'Base Costs'!$A$32:$B$37,2,FALSE)</f>
        <v>0</v>
      </c>
      <c r="K52" s="379">
        <f t="shared" si="1"/>
        <v>0</v>
      </c>
    </row>
    <row r="53" spans="2:21" ht="15" customHeight="1" x14ac:dyDescent="0.2">
      <c r="B53" s="585"/>
      <c r="C53" s="251"/>
      <c r="D53" s="253"/>
      <c r="E53" s="252"/>
      <c r="F53" s="385">
        <v>0</v>
      </c>
      <c r="G53" s="378">
        <f t="shared" si="0"/>
        <v>0</v>
      </c>
      <c r="H53" s="381">
        <v>0.28999999999999998</v>
      </c>
      <c r="I53" s="311">
        <f t="shared" si="2"/>
        <v>0</v>
      </c>
      <c r="J53" s="378">
        <f>I53*VLOOKUP($B$9,'Base Costs'!$A$32:$B$37,2,FALSE)</f>
        <v>0</v>
      </c>
      <c r="K53" s="379">
        <f t="shared" si="1"/>
        <v>0</v>
      </c>
    </row>
    <row r="54" spans="2:21" ht="15" customHeight="1" x14ac:dyDescent="0.2">
      <c r="B54" s="585"/>
      <c r="C54" s="251"/>
      <c r="D54" s="253"/>
      <c r="E54" s="252"/>
      <c r="F54" s="385">
        <v>0</v>
      </c>
      <c r="G54" s="378">
        <f t="shared" si="0"/>
        <v>0</v>
      </c>
      <c r="H54" s="381">
        <v>0.28999999999999998</v>
      </c>
      <c r="I54" s="311">
        <f t="shared" si="2"/>
        <v>0</v>
      </c>
      <c r="J54" s="378">
        <f>I54*VLOOKUP($B$9,'Base Costs'!$A$32:$B$37,2,FALSE)</f>
        <v>0</v>
      </c>
      <c r="K54" s="379">
        <f t="shared" si="1"/>
        <v>0</v>
      </c>
    </row>
    <row r="55" spans="2:21" ht="15" customHeight="1" x14ac:dyDescent="0.2">
      <c r="B55" s="115"/>
      <c r="C55" s="121"/>
      <c r="D55" s="113"/>
      <c r="F55" s="323"/>
      <c r="G55" s="323"/>
      <c r="H55" s="328"/>
      <c r="I55" s="323"/>
      <c r="J55" s="323"/>
      <c r="K55" s="329"/>
    </row>
    <row r="56" spans="2:21" s="97" customFormat="1" ht="15" customHeight="1" x14ac:dyDescent="0.15">
      <c r="B56" s="1097" t="s">
        <v>50</v>
      </c>
      <c r="C56" s="1097"/>
      <c r="D56" s="1097"/>
      <c r="E56" s="1097"/>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9" t="s">
        <v>731</v>
      </c>
      <c r="C57" s="33"/>
      <c r="D57" s="309" t="s">
        <v>48</v>
      </c>
      <c r="E57" s="28"/>
      <c r="F57" s="385">
        <f>VLOOKUP(D57,'Base Costs'!E4:G221,2,FALSE)</f>
        <v>0</v>
      </c>
      <c r="G57" s="378">
        <f t="shared" ref="G57:G66" si="3">C57*F57</f>
        <v>0</v>
      </c>
      <c r="H57" s="381">
        <v>0.33</v>
      </c>
      <c r="I57" s="311">
        <f t="shared" ref="I57:I66" si="4">G57/(1-H57)*(1+$C$9)</f>
        <v>0</v>
      </c>
      <c r="J57" s="378">
        <f>I57*VLOOKUP($B$9,'Base Costs'!$A$32:$B$37,2,FALSE)</f>
        <v>0</v>
      </c>
      <c r="K57" s="379">
        <f>I57-G57</f>
        <v>0</v>
      </c>
      <c r="R57" s="100"/>
      <c r="U57" s="101"/>
    </row>
    <row r="58" spans="2:21" s="97" customFormat="1" ht="15" customHeight="1" x14ac:dyDescent="0.15">
      <c r="B58" s="584" t="s">
        <v>36</v>
      </c>
      <c r="C58" s="33"/>
      <c r="D58" s="309" t="s">
        <v>525</v>
      </c>
      <c r="E58" s="28"/>
      <c r="F58" s="385">
        <f>VLOOKUP(D58,'Base Costs'!A4:B28,2,FALSE)</f>
        <v>275.60000000000002</v>
      </c>
      <c r="G58" s="378">
        <f t="shared" si="3"/>
        <v>0</v>
      </c>
      <c r="H58" s="386">
        <v>0.33</v>
      </c>
      <c r="I58" s="311">
        <f t="shared" si="4"/>
        <v>0</v>
      </c>
      <c r="J58" s="378">
        <f>I58*VLOOKUP($B$9,'Base Costs'!$A$32:$B$37,2,FALSE)</f>
        <v>0</v>
      </c>
      <c r="K58" s="379">
        <f>I58-G58</f>
        <v>0</v>
      </c>
      <c r="R58" s="100"/>
      <c r="U58" s="101"/>
    </row>
    <row r="59" spans="2:21" s="97" customFormat="1" ht="15" customHeight="1" x14ac:dyDescent="0.15">
      <c r="B59" s="584" t="s">
        <v>16</v>
      </c>
      <c r="C59" s="33"/>
      <c r="D59" s="28" t="s">
        <v>142</v>
      </c>
      <c r="E59" s="28"/>
      <c r="F59" s="385">
        <f>375*1.03</f>
        <v>386.25</v>
      </c>
      <c r="G59" s="378">
        <f t="shared" si="3"/>
        <v>0</v>
      </c>
      <c r="H59" s="386">
        <v>0.33</v>
      </c>
      <c r="I59" s="311">
        <f t="shared" si="4"/>
        <v>0</v>
      </c>
      <c r="J59" s="378">
        <f>I59*VLOOKUP($B$9,'Base Costs'!$A$32:$B$37,2,FALSE)</f>
        <v>0</v>
      </c>
      <c r="K59" s="379">
        <f>I59-G59</f>
        <v>0</v>
      </c>
      <c r="R59" s="100"/>
      <c r="U59" s="101"/>
    </row>
    <row r="60" spans="2:21" s="97" customFormat="1" ht="15" customHeight="1" x14ac:dyDescent="0.15">
      <c r="B60" s="584" t="s">
        <v>13</v>
      </c>
      <c r="C60" s="33"/>
      <c r="D60" s="28"/>
      <c r="E60" s="28"/>
      <c r="F60" s="385">
        <v>0</v>
      </c>
      <c r="G60" s="378">
        <f t="shared" si="3"/>
        <v>0</v>
      </c>
      <c r="H60" s="386">
        <v>0.33</v>
      </c>
      <c r="I60" s="311">
        <f t="shared" si="4"/>
        <v>0</v>
      </c>
      <c r="J60" s="378">
        <f>I60*VLOOKUP($B$9,'Base Costs'!$A$32:$B$37,2,FALSE)</f>
        <v>0</v>
      </c>
      <c r="K60" s="379">
        <f>I60-G60</f>
        <v>0</v>
      </c>
      <c r="R60" s="100"/>
      <c r="U60" s="101"/>
    </row>
    <row r="61" spans="2:21" s="97" customFormat="1" ht="15" customHeight="1" x14ac:dyDescent="0.15">
      <c r="B61" s="584" t="s">
        <v>140</v>
      </c>
      <c r="C61" s="33"/>
      <c r="D61" s="28" t="s">
        <v>143</v>
      </c>
      <c r="E61" s="28"/>
      <c r="F61" s="385">
        <v>610</v>
      </c>
      <c r="G61" s="378">
        <f t="shared" si="3"/>
        <v>0</v>
      </c>
      <c r="H61" s="386">
        <v>0.4</v>
      </c>
      <c r="I61" s="311">
        <f t="shared" si="4"/>
        <v>0</v>
      </c>
      <c r="J61" s="378">
        <f>I61*VLOOKUP($B$9,'Base Costs'!$A$32:$B$37,2,FALSE)</f>
        <v>0</v>
      </c>
      <c r="K61" s="379">
        <f t="shared" ref="K61:K66" si="5">I61-G61</f>
        <v>0</v>
      </c>
      <c r="R61" s="100"/>
      <c r="U61" s="101"/>
    </row>
    <row r="62" spans="2:21" s="97" customFormat="1" ht="15" customHeight="1" x14ac:dyDescent="0.15">
      <c r="B62" s="584" t="s">
        <v>141</v>
      </c>
      <c r="C62" s="33"/>
      <c r="D62" s="28" t="s">
        <v>143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4" t="s">
        <v>139</v>
      </c>
      <c r="C63" s="33"/>
      <c r="D63" s="28" t="s">
        <v>144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4" t="s">
        <v>12</v>
      </c>
      <c r="C64" s="33"/>
      <c r="D64" s="28" t="s">
        <v>144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4" t="s">
        <v>69</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4" t="s">
        <v>32</v>
      </c>
      <c r="C66" s="33"/>
      <c r="D66" s="28" t="s">
        <v>721</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126</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0">
    <mergeCell ref="M7:O7"/>
    <mergeCell ref="D47:E47"/>
    <mergeCell ref="B56:E56"/>
    <mergeCell ref="C1:J1"/>
    <mergeCell ref="C3:D3"/>
    <mergeCell ref="F3:G3"/>
    <mergeCell ref="C5:D5"/>
    <mergeCell ref="F5:G5"/>
    <mergeCell ref="C7:D7"/>
    <mergeCell ref="F7:G7"/>
  </mergeCells>
  <conditionalFormatting sqref="B9">
    <cfRule type="containsText" dxfId="12956" priority="56" operator="containsText" text="SELECT">
      <formula>NOT(ISERROR(SEARCH("SELECT",B9)))</formula>
    </cfRule>
    <cfRule type="expression" dxfId="12955" priority="57">
      <formula>B9="CURRENCY"</formula>
    </cfRule>
  </conditionalFormatting>
  <conditionalFormatting sqref="B13:B24">
    <cfRule type="expression" dxfId="12954" priority="7">
      <formula>$C13&gt;0</formula>
    </cfRule>
  </conditionalFormatting>
  <conditionalFormatting sqref="B25:B39">
    <cfRule type="expression" dxfId="12953" priority="6">
      <formula>$C25&gt;0</formula>
    </cfRule>
  </conditionalFormatting>
  <conditionalFormatting sqref="B40:B42">
    <cfRule type="expression" dxfId="12952" priority="5">
      <formula>$C40&gt;0</formula>
    </cfRule>
  </conditionalFormatting>
  <conditionalFormatting sqref="B43:B50">
    <cfRule type="expression" dxfId="12951" priority="1">
      <formula>$C43&gt;0</formula>
    </cfRule>
  </conditionalFormatting>
  <conditionalFormatting sqref="B51:B54">
    <cfRule type="expression" dxfId="12950" priority="4">
      <formula>$C51&gt;0</formula>
    </cfRule>
  </conditionalFormatting>
  <conditionalFormatting sqref="B57:B66">
    <cfRule type="expression" dxfId="12949" priority="2">
      <formula>$C57&gt;0</formula>
    </cfRule>
  </conditionalFormatting>
  <conditionalFormatting sqref="C13:C54">
    <cfRule type="cellIs" dxfId="12948" priority="21" operator="lessThan">
      <formula>1</formula>
    </cfRule>
  </conditionalFormatting>
  <conditionalFormatting sqref="C57:C66">
    <cfRule type="cellIs" dxfId="12947" priority="59" operator="equal">
      <formula>0</formula>
    </cfRule>
  </conditionalFormatting>
  <conditionalFormatting sqref="C9:D9">
    <cfRule type="cellIs" dxfId="12946" priority="51" operator="lessThan">
      <formula>0</formula>
    </cfRule>
    <cfRule type="cellIs" dxfId="12945" priority="52" operator="greaterThan">
      <formula>0</formula>
    </cfRule>
  </conditionalFormatting>
  <conditionalFormatting sqref="F13:F54">
    <cfRule type="expression" dxfId="12944" priority="20">
      <formula>C13&gt;0</formula>
    </cfRule>
  </conditionalFormatting>
  <conditionalFormatting sqref="F57:F66">
    <cfRule type="expression" dxfId="12943" priority="50">
      <formula>C57&gt;0</formula>
    </cfRule>
  </conditionalFormatting>
  <conditionalFormatting sqref="F58:F66">
    <cfRule type="expression" dxfId="12942" priority="58">
      <formula>C58&lt;1</formula>
    </cfRule>
  </conditionalFormatting>
  <conditionalFormatting sqref="G13:G54">
    <cfRule type="cellIs" dxfId="12941" priority="19" operator="greaterThan">
      <formula>0</formula>
    </cfRule>
  </conditionalFormatting>
  <conditionalFormatting sqref="G57:G66">
    <cfRule type="cellIs" dxfId="12940" priority="48" operator="greaterThan">
      <formula>0</formula>
    </cfRule>
  </conditionalFormatting>
  <conditionalFormatting sqref="H13:H54">
    <cfRule type="expression" dxfId="12939" priority="26">
      <formula>$C$9&gt;0</formula>
    </cfRule>
    <cfRule type="expression" dxfId="12938" priority="27">
      <formula>$C$9&lt;0</formula>
    </cfRule>
  </conditionalFormatting>
  <conditionalFormatting sqref="H57:H66">
    <cfRule type="expression" dxfId="12937" priority="66">
      <formula>$C$9&gt;0</formula>
    </cfRule>
    <cfRule type="expression" dxfId="12936" priority="67">
      <formula>$C$9&lt;0</formula>
    </cfRule>
  </conditionalFormatting>
  <conditionalFormatting sqref="J2:J6 J75:J1048576">
    <cfRule type="expression" dxfId="12935" priority="61">
      <formula>$B$9="EURO"</formula>
    </cfRule>
  </conditionalFormatting>
  <conditionalFormatting sqref="J8:J67">
    <cfRule type="expression" dxfId="12934" priority="22">
      <formula>$B$9="EURO"</formula>
    </cfRule>
  </conditionalFormatting>
  <conditionalFormatting sqref="J9 J56:J66">
    <cfRule type="expression" dxfId="12933" priority="63">
      <formula>$B$9="USD"</formula>
    </cfRule>
    <cfRule type="expression" dxfId="12932" priority="64">
      <formula>$B$9="PLN"</formula>
    </cfRule>
    <cfRule type="expression" dxfId="12931" priority="65">
      <formula>$B$9="CZK"</formula>
    </cfRule>
  </conditionalFormatting>
  <conditionalFormatting sqref="J12:J54">
    <cfRule type="expression" dxfId="12930" priority="23">
      <formula>$B$9="USD"</formula>
    </cfRule>
    <cfRule type="expression" dxfId="12929" priority="24">
      <formula>$B$9="PLN"</formula>
    </cfRule>
    <cfRule type="expression" dxfId="12928" priority="25">
      <formula>$B$9="CZK"</formula>
    </cfRule>
  </conditionalFormatting>
  <conditionalFormatting sqref="J68:J74">
    <cfRule type="expression" dxfId="12927" priority="55">
      <formula>$F$10="EURO"</formula>
    </cfRule>
  </conditionalFormatting>
  <conditionalFormatting sqref="J13:K54">
    <cfRule type="cellIs" dxfId="12926" priority="18" operator="greaterThan">
      <formula>0</formula>
    </cfRule>
  </conditionalFormatting>
  <conditionalFormatting sqref="J57:K66">
    <cfRule type="cellIs" dxfId="12925" priority="47" operator="greaterThan">
      <formula>0</formula>
    </cfRule>
  </conditionalFormatting>
  <dataValidations count="1">
    <dataValidation type="list" allowBlank="1" showInputMessage="1" showErrorMessage="1" sqref="D55" xr:uid="{00000000-0002-0000-0500-000000000000}">
      <formula1>$B$3:$B$15</formula1>
    </dataValidation>
  </dataValidations>
  <printOptions horizontalCentered="1"/>
  <pageMargins left="0.23622047244094491" right="0.35433070866141736" top="0.39370078740157483" bottom="0.39370078740157483" header="0.31496062992125984" footer="0.11811023622047245"/>
  <pageSetup paperSize="8" scale="9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1000000}">
          <x14:formula1>
            <xm:f>'Base Costs'!$A$32:$A$37</xm:f>
          </x14:formula1>
          <xm:sqref>B9</xm:sqref>
        </x14:dataValidation>
        <x14:dataValidation type="list" allowBlank="1" showInputMessage="1" showErrorMessage="1" xr:uid="{00000000-0002-0000-0500-000002000000}">
          <x14:formula1>
            <xm:f>'Base Costs'!$E$4:$E$213</xm:f>
          </x14:formula1>
          <xm:sqref>D57</xm:sqref>
        </x14:dataValidation>
        <x14:dataValidation type="list" allowBlank="1" showInputMessage="1" showErrorMessage="1" xr:uid="{00000000-0002-0000-0500-000003000000}">
          <x14:formula1>
            <xm:f>'Base Costs'!$A$4:$A$16</xm:f>
          </x14:formula1>
          <xm:sqref>D58</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tabColor theme="8" tint="0.79998168889431442"/>
    <pageSetUpPr fitToPage="1"/>
  </sheetPr>
  <dimension ref="B1:AF82"/>
  <sheetViews>
    <sheetView zoomScale="80" zoomScaleNormal="80" workbookViewId="0">
      <selection activeCell="S131" sqref="S131"/>
    </sheetView>
  </sheetViews>
  <sheetFormatPr baseColWidth="10" defaultColWidth="51.832031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1" width="13.1640625" style="119" customWidth="1"/>
    <col min="12" max="12" width="4.5" style="118" customWidth="1"/>
    <col min="13" max="13" width="15.5" style="322" customWidth="1"/>
    <col min="14" max="14" width="14.6640625" style="322" customWidth="1"/>
    <col min="15" max="15" width="12.33203125" style="322" customWidth="1"/>
    <col min="16" max="16" width="14.6640625" style="322" customWidth="1"/>
    <col min="17" max="17" width="3.6640625" style="120" customWidth="1"/>
    <col min="18" max="18" width="18.5" style="118" customWidth="1"/>
    <col min="19" max="19" width="23" style="118" customWidth="1"/>
    <col min="20" max="20" width="22.5" style="120" customWidth="1"/>
    <col min="21" max="22" width="51.83203125" style="118"/>
    <col min="23" max="23" width="51.83203125" style="120"/>
    <col min="24" max="31" width="51.83203125" style="118"/>
    <col min="32" max="32" width="51.83203125" style="120"/>
    <col min="33" max="16384" width="51.83203125" style="118"/>
  </cols>
  <sheetData>
    <row r="1" spans="2:32" s="123" customFormat="1" ht="15" customHeight="1" thickBot="1" x14ac:dyDescent="0.2">
      <c r="B1" s="156" t="s">
        <v>1512</v>
      </c>
      <c r="C1" s="1098" t="s">
        <v>828</v>
      </c>
      <c r="D1" s="1099"/>
      <c r="E1" s="1099"/>
      <c r="F1" s="1099"/>
      <c r="G1" s="1099"/>
      <c r="H1" s="1099"/>
      <c r="I1" s="1099"/>
      <c r="J1" s="1100"/>
      <c r="K1" s="989" t="s">
        <v>1501</v>
      </c>
      <c r="M1" s="494"/>
      <c r="N1" s="494"/>
      <c r="O1" s="495"/>
      <c r="P1" s="495"/>
      <c r="V1" s="124"/>
      <c r="Y1" s="125"/>
    </row>
    <row r="2" spans="2:32" s="97" customFormat="1" ht="15" customHeight="1" x14ac:dyDescent="0.15">
      <c r="B2" s="102"/>
      <c r="C2" s="103"/>
      <c r="E2" s="66"/>
      <c r="F2" s="324"/>
      <c r="G2" s="325"/>
      <c r="H2" s="326"/>
      <c r="I2" s="320"/>
      <c r="J2" s="320"/>
      <c r="K2" s="148"/>
      <c r="M2" s="284"/>
      <c r="N2" s="284"/>
      <c r="O2" s="496"/>
      <c r="P2" s="496"/>
      <c r="T2" s="106"/>
      <c r="V2" s="100"/>
      <c r="Y2" s="101"/>
    </row>
    <row r="3" spans="2:32" s="97" customFormat="1" ht="15" customHeight="1" x14ac:dyDescent="0.15">
      <c r="B3" s="107" t="s">
        <v>735</v>
      </c>
      <c r="C3" s="1083" t="e">
        <f>IF(#REF!="","",#REF!)</f>
        <v>#REF!</v>
      </c>
      <c r="D3" s="1083"/>
      <c r="E3" s="108" t="s">
        <v>78</v>
      </c>
      <c r="F3" s="1084" t="e">
        <f>IF(#REF!="","",#REF!)</f>
        <v>#REF!</v>
      </c>
      <c r="G3" s="1084"/>
      <c r="H3" s="326"/>
      <c r="I3" s="320"/>
      <c r="J3" s="320"/>
      <c r="K3" s="148"/>
      <c r="M3" s="795"/>
      <c r="N3" s="284"/>
      <c r="O3" s="496"/>
      <c r="P3" s="496"/>
      <c r="V3" s="100"/>
      <c r="Y3" s="101"/>
    </row>
    <row r="4" spans="2:32" s="97" customFormat="1" ht="15" customHeight="1" x14ac:dyDescent="0.15">
      <c r="B4" s="102"/>
      <c r="C4" s="102"/>
      <c r="E4" s="109"/>
      <c r="F4" s="332"/>
      <c r="G4" s="333"/>
      <c r="H4" s="326"/>
      <c r="I4" s="320"/>
      <c r="J4" s="320"/>
      <c r="K4" s="148"/>
      <c r="M4" s="284"/>
      <c r="N4" s="284"/>
      <c r="O4" s="496"/>
      <c r="P4" s="496"/>
      <c r="V4" s="100"/>
      <c r="Y4" s="101"/>
    </row>
    <row r="5" spans="2:32" s="97" customFormat="1" ht="15" customHeight="1" x14ac:dyDescent="0.15">
      <c r="B5" s="107" t="s">
        <v>75</v>
      </c>
      <c r="C5" s="1083" t="e">
        <f>IF(#REF!="","",#REF!)</f>
        <v>#REF!</v>
      </c>
      <c r="D5" s="1083"/>
      <c r="E5" s="108" t="s">
        <v>77</v>
      </c>
      <c r="F5" s="1084" t="e">
        <f>IF(#REF!="","",#REF!)</f>
        <v>#REF!</v>
      </c>
      <c r="G5" s="1084"/>
      <c r="H5" s="326"/>
      <c r="I5" s="320"/>
      <c r="J5" s="320"/>
      <c r="K5" s="148"/>
      <c r="L5" s="110"/>
      <c r="M5" s="497"/>
      <c r="N5" s="284"/>
      <c r="O5" s="496"/>
      <c r="P5" s="496"/>
      <c r="V5" s="100"/>
      <c r="Y5" s="101"/>
    </row>
    <row r="6" spans="2:32" s="97" customFormat="1" ht="15" customHeight="1" x14ac:dyDescent="0.15">
      <c r="B6" s="107"/>
      <c r="C6" s="102"/>
      <c r="E6" s="108"/>
      <c r="F6" s="334"/>
      <c r="G6" s="335"/>
      <c r="H6" s="326"/>
      <c r="I6" s="320"/>
      <c r="J6" s="320"/>
      <c r="K6" s="148"/>
      <c r="L6" s="110"/>
      <c r="M6" s="497"/>
      <c r="N6" s="284"/>
      <c r="O6" s="496"/>
      <c r="P6" s="496"/>
      <c r="V6" s="111"/>
      <c r="Y6" s="101"/>
    </row>
    <row r="7" spans="2:32" s="97" customFormat="1" ht="15" customHeight="1" x14ac:dyDescent="0.15">
      <c r="B7" s="80" t="s">
        <v>734</v>
      </c>
      <c r="C7" s="1083" t="e">
        <f>IF(#REF!="","",#REF!)</f>
        <v>#REF!</v>
      </c>
      <c r="D7" s="1083"/>
      <c r="E7" s="108" t="s">
        <v>76</v>
      </c>
      <c r="F7" s="1086" t="e">
        <f>IF(#REF!="","",#REF!)</f>
        <v>#REF!</v>
      </c>
      <c r="G7" s="1086"/>
      <c r="H7" s="326"/>
      <c r="J7" s="321" t="s">
        <v>79</v>
      </c>
      <c r="K7" s="914" t="e">
        <f>IF(#REF!="","",#REF!)</f>
        <v>#REF!</v>
      </c>
      <c r="L7" s="110"/>
      <c r="M7" s="1094" t="s">
        <v>1411</v>
      </c>
      <c r="N7" s="1094"/>
      <c r="O7" s="1094"/>
      <c r="V7" s="111"/>
      <c r="Y7" s="101"/>
    </row>
    <row r="8" spans="2:32" s="116" customFormat="1" ht="15" customHeight="1" x14ac:dyDescent="0.2">
      <c r="B8" s="113"/>
      <c r="D8" s="102"/>
      <c r="E8" s="115"/>
      <c r="F8" s="327"/>
      <c r="G8" s="114"/>
      <c r="H8" s="322"/>
      <c r="I8" s="322"/>
      <c r="J8" s="322"/>
      <c r="K8" s="322"/>
      <c r="M8" s="322"/>
      <c r="N8" s="322"/>
      <c r="O8" s="322"/>
      <c r="P8" s="322"/>
      <c r="Q8" s="117"/>
      <c r="T8" s="117"/>
      <c r="W8" s="117"/>
      <c r="AF8" s="117"/>
    </row>
    <row r="9" spans="2:32" ht="15" customHeight="1" thickBot="1" x14ac:dyDescent="0.25">
      <c r="B9" s="38" t="s">
        <v>353</v>
      </c>
      <c r="C9" s="962">
        <v>0</v>
      </c>
      <c r="D9" s="377">
        <f>IF(C9=0,0,(SUBTOTAL(9,I12:I66)/(1-C9))-I9)</f>
        <v>0</v>
      </c>
      <c r="G9" s="25">
        <f>SUBTOTAL(9,G13:G66)</f>
        <v>0</v>
      </c>
      <c r="H9" s="981" t="str">
        <f>IF(K9=0,"-",K9/I9)</f>
        <v>-</v>
      </c>
      <c r="I9" s="25">
        <f>SUBTOTAL(9,I13:I67)</f>
        <v>0</v>
      </c>
      <c r="J9" s="465">
        <f>SUBTOTAL(9,J13:J67)</f>
        <v>0</v>
      </c>
      <c r="K9" s="25">
        <f>SUBTOTAL(9,K13:K67)</f>
        <v>0</v>
      </c>
    </row>
    <row r="10" spans="2:32" ht="15" customHeight="1" thickBot="1" x14ac:dyDescent="0.25">
      <c r="B10" s="2" t="s">
        <v>353</v>
      </c>
      <c r="C10" s="2" t="s">
        <v>542</v>
      </c>
      <c r="D10" s="2" t="s">
        <v>541</v>
      </c>
      <c r="E10" s="317"/>
      <c r="F10" s="2" t="s">
        <v>209</v>
      </c>
      <c r="G10" s="2" t="s">
        <v>34</v>
      </c>
      <c r="H10" s="3" t="s">
        <v>146</v>
      </c>
      <c r="I10" s="4" t="s">
        <v>210</v>
      </c>
      <c r="J10" s="4" t="s">
        <v>210</v>
      </c>
      <c r="K10" s="318" t="s">
        <v>211</v>
      </c>
      <c r="M10" s="557" t="s">
        <v>679</v>
      </c>
      <c r="N10" s="558" t="s">
        <v>680</v>
      </c>
      <c r="O10" s="562" t="s">
        <v>5</v>
      </c>
      <c r="P10" s="559" t="s">
        <v>11</v>
      </c>
      <c r="R10" s="1101"/>
      <c r="S10" s="1102"/>
      <c r="T10" s="1103"/>
    </row>
    <row r="11" spans="2:32" ht="15" customHeight="1" x14ac:dyDescent="0.2">
      <c r="B11" s="16"/>
      <c r="C11" s="17"/>
      <c r="D11" s="17"/>
      <c r="E11" s="18"/>
      <c r="F11" s="17"/>
      <c r="G11" s="17"/>
      <c r="H11" s="19"/>
      <c r="I11" s="20"/>
      <c r="J11" s="20"/>
      <c r="K11" s="21"/>
      <c r="M11" s="560" t="s">
        <v>14</v>
      </c>
      <c r="N11" s="561" t="s">
        <v>14</v>
      </c>
      <c r="O11" s="563" t="s">
        <v>14</v>
      </c>
      <c r="P11" s="500" t="s">
        <v>14</v>
      </c>
    </row>
    <row r="12" spans="2:32" ht="15" customHeight="1" x14ac:dyDescent="0.2">
      <c r="B12" s="24" t="s">
        <v>242</v>
      </c>
      <c r="C12" s="188" t="s">
        <v>2</v>
      </c>
      <c r="D12" s="188" t="s">
        <v>1</v>
      </c>
      <c r="E12" s="23"/>
      <c r="F12" s="22"/>
      <c r="G12" s="61">
        <f>SUBTOTAL(9,G13:G54)</f>
        <v>0</v>
      </c>
      <c r="H12" s="39" t="str">
        <f>IF(G13=0,"-",K12/I12)</f>
        <v>-</v>
      </c>
      <c r="I12" s="61">
        <f>SUBTOTAL(9,I13:I54)</f>
        <v>0</v>
      </c>
      <c r="J12" s="465">
        <f>SUBTOTAL(9,J13:J54)</f>
        <v>0</v>
      </c>
      <c r="K12" s="61">
        <f>SUBTOTAL(9,K13:K54)</f>
        <v>0</v>
      </c>
      <c r="M12" s="465">
        <f>SUM(M13:M54)</f>
        <v>0</v>
      </c>
      <c r="N12" s="465">
        <f>SUM(N13:N54)</f>
        <v>0</v>
      </c>
      <c r="O12" s="465">
        <f>SUM(O13:O54)</f>
        <v>0</v>
      </c>
      <c r="P12" s="465">
        <f>SUM(P13:P54)</f>
        <v>0</v>
      </c>
      <c r="R12" s="875"/>
      <c r="S12" s="875"/>
      <c r="T12" s="876"/>
    </row>
    <row r="13" spans="2:32" ht="15" customHeight="1" x14ac:dyDescent="0.2">
      <c r="B13" s="582" t="s">
        <v>705</v>
      </c>
      <c r="C13" s="251"/>
      <c r="D13" s="387" t="s">
        <v>81</v>
      </c>
      <c r="E13" s="252"/>
      <c r="F13" s="385">
        <f>VLOOKUP(D13,'Base Costs'!I4:J10,2,FALSE)</f>
        <v>0</v>
      </c>
      <c r="G13" s="378">
        <f t="shared" ref="G13:G54" si="0">C13*F13</f>
        <v>0</v>
      </c>
      <c r="H13" s="381">
        <v>0.28999999999999998</v>
      </c>
      <c r="I13" s="311">
        <f>G13/(1-H13)*(1+$C$9)</f>
        <v>0</v>
      </c>
      <c r="J13" s="378">
        <f>I13*VLOOKUP($B$9,'Base Costs'!$A$32:$B$37,2,FALSE)</f>
        <v>0</v>
      </c>
      <c r="K13" s="379">
        <f t="shared" ref="K13" si="1">I13-G13</f>
        <v>0</v>
      </c>
      <c r="M13" s="378">
        <f>J13</f>
        <v>0</v>
      </c>
      <c r="N13" s="378"/>
      <c r="O13" s="378"/>
      <c r="P13" s="378"/>
      <c r="R13" s="875"/>
      <c r="S13" s="875"/>
      <c r="T13" s="876"/>
    </row>
    <row r="14" spans="2:32" ht="15" customHeight="1" x14ac:dyDescent="0.2">
      <c r="B14" s="582" t="s">
        <v>5</v>
      </c>
      <c r="C14" s="251"/>
      <c r="D14" s="388" t="s">
        <v>5</v>
      </c>
      <c r="E14" s="252"/>
      <c r="F14" s="385">
        <f>VLOOKUP(D14,'Base Costs'!I19:J23,2,FALSE)</f>
        <v>0</v>
      </c>
      <c r="G14" s="378">
        <f t="shared" si="0"/>
        <v>0</v>
      </c>
      <c r="H14" s="381">
        <v>0.28999999999999998</v>
      </c>
      <c r="I14" s="311">
        <f t="shared" ref="I14:I54" si="2">G14/(1-H14)*(1+$C$9)</f>
        <v>0</v>
      </c>
      <c r="J14" s="378">
        <f>I14*VLOOKUP($B$9,'Base Costs'!$A$32:$B$37,2,FALSE)</f>
        <v>0</v>
      </c>
      <c r="K14" s="379">
        <f t="shared" ref="K14:K54" si="3">I14-G14</f>
        <v>0</v>
      </c>
      <c r="M14" s="378">
        <f>J14</f>
        <v>0</v>
      </c>
      <c r="N14" s="378"/>
      <c r="O14" s="378"/>
      <c r="P14" s="378"/>
      <c r="R14" s="875"/>
      <c r="S14" s="875"/>
      <c r="T14" s="876"/>
    </row>
    <row r="15" spans="2:32" ht="15" customHeight="1" x14ac:dyDescent="0.2">
      <c r="B15" s="582" t="s">
        <v>1086</v>
      </c>
      <c r="C15" s="251"/>
      <c r="D15" s="389" t="s">
        <v>82</v>
      </c>
      <c r="E15" s="252"/>
      <c r="F15" s="385">
        <f>VLOOKUP(D15,'Base Costs'!I12:J16,2,FALSE)</f>
        <v>0</v>
      </c>
      <c r="G15" s="378">
        <f t="shared" si="0"/>
        <v>0</v>
      </c>
      <c r="H15" s="381">
        <v>0.28999999999999998</v>
      </c>
      <c r="I15" s="311">
        <f t="shared" si="2"/>
        <v>0</v>
      </c>
      <c r="J15" s="378">
        <f>I15*VLOOKUP($B$9,'Base Costs'!$A$32:$B$37,2,FALSE)</f>
        <v>0</v>
      </c>
      <c r="K15" s="379">
        <f t="shared" si="3"/>
        <v>0</v>
      </c>
      <c r="M15" s="378">
        <f>J15</f>
        <v>0</v>
      </c>
      <c r="N15" s="378"/>
      <c r="O15" s="378"/>
      <c r="P15" s="378"/>
      <c r="R15" s="875"/>
      <c r="S15" s="875"/>
      <c r="T15" s="876"/>
    </row>
    <row r="16" spans="2:32" ht="15" customHeight="1" x14ac:dyDescent="0.2">
      <c r="B16" s="582" t="s">
        <v>29</v>
      </c>
      <c r="C16" s="251"/>
      <c r="D16" s="253"/>
      <c r="E16" s="252"/>
      <c r="F16" s="385"/>
      <c r="G16" s="378">
        <f t="shared" si="0"/>
        <v>0</v>
      </c>
      <c r="H16" s="381">
        <v>0.28999999999999998</v>
      </c>
      <c r="I16" s="311">
        <f t="shared" si="2"/>
        <v>0</v>
      </c>
      <c r="J16" s="378">
        <f>I16*VLOOKUP($B$9,'Base Costs'!$A$32:$B$37,2,FALSE)</f>
        <v>0</v>
      </c>
      <c r="K16" s="379">
        <f t="shared" si="3"/>
        <v>0</v>
      </c>
      <c r="M16" s="378">
        <f t="shared" ref="M16:M24" si="4">J16</f>
        <v>0</v>
      </c>
      <c r="N16" s="378"/>
      <c r="O16" s="378"/>
      <c r="P16" s="378"/>
      <c r="R16" s="875"/>
      <c r="S16" s="875"/>
      <c r="T16" s="876"/>
    </row>
    <row r="17" spans="2:20" ht="15" customHeight="1" x14ac:dyDescent="0.2">
      <c r="B17" s="582" t="s">
        <v>212</v>
      </c>
      <c r="C17" s="251"/>
      <c r="D17" s="253"/>
      <c r="E17" s="252"/>
      <c r="F17" s="385"/>
      <c r="G17" s="378">
        <f t="shared" si="0"/>
        <v>0</v>
      </c>
      <c r="H17" s="381">
        <v>0.28999999999999998</v>
      </c>
      <c r="I17" s="311">
        <f t="shared" si="2"/>
        <v>0</v>
      </c>
      <c r="J17" s="378">
        <f>I17*VLOOKUP($B$9,'Base Costs'!$A$32:$B$37,2,FALSE)</f>
        <v>0</v>
      </c>
      <c r="K17" s="379">
        <f t="shared" si="3"/>
        <v>0</v>
      </c>
      <c r="M17" s="378">
        <f t="shared" si="4"/>
        <v>0</v>
      </c>
      <c r="N17" s="378"/>
      <c r="O17" s="378"/>
      <c r="P17" s="378"/>
      <c r="R17" s="875"/>
      <c r="S17" s="875"/>
      <c r="T17" s="876"/>
    </row>
    <row r="18" spans="2:20" ht="15" customHeight="1" x14ac:dyDescent="0.2">
      <c r="B18" s="582" t="s">
        <v>41</v>
      </c>
      <c r="C18" s="251"/>
      <c r="D18" s="253"/>
      <c r="E18" s="252"/>
      <c r="F18" s="385">
        <f>26*1.03</f>
        <v>26.78</v>
      </c>
      <c r="G18" s="378">
        <f t="shared" si="0"/>
        <v>0</v>
      </c>
      <c r="H18" s="381">
        <v>0.28999999999999998</v>
      </c>
      <c r="I18" s="311">
        <f t="shared" si="2"/>
        <v>0</v>
      </c>
      <c r="J18" s="378">
        <f>I18*VLOOKUP($B$9,'Base Costs'!$A$32:$B$37,2,FALSE)</f>
        <v>0</v>
      </c>
      <c r="K18" s="379">
        <f t="shared" si="3"/>
        <v>0</v>
      </c>
      <c r="M18" s="378">
        <f t="shared" si="4"/>
        <v>0</v>
      </c>
      <c r="N18" s="378"/>
      <c r="O18" s="378"/>
      <c r="P18" s="378"/>
      <c r="R18" s="875"/>
      <c r="S18" s="875"/>
      <c r="T18" s="876"/>
    </row>
    <row r="19" spans="2:20" ht="15" customHeight="1" x14ac:dyDescent="0.2">
      <c r="B19" s="582" t="s">
        <v>39</v>
      </c>
      <c r="C19" s="251"/>
      <c r="D19" s="253"/>
      <c r="E19" s="252"/>
      <c r="F19" s="385">
        <f>1300*1.03</f>
        <v>1339</v>
      </c>
      <c r="G19" s="378">
        <f t="shared" si="0"/>
        <v>0</v>
      </c>
      <c r="H19" s="381">
        <v>0.28999999999999998</v>
      </c>
      <c r="I19" s="311">
        <f t="shared" si="2"/>
        <v>0</v>
      </c>
      <c r="J19" s="378">
        <f>I19*VLOOKUP($B$9,'Base Costs'!$A$32:$B$37,2,FALSE)</f>
        <v>0</v>
      </c>
      <c r="K19" s="379">
        <f t="shared" si="3"/>
        <v>0</v>
      </c>
      <c r="M19" s="378">
        <f t="shared" si="4"/>
        <v>0</v>
      </c>
      <c r="N19" s="378"/>
      <c r="O19" s="378"/>
      <c r="P19" s="378"/>
      <c r="R19" s="875"/>
      <c r="S19" s="875"/>
      <c r="T19" s="876"/>
    </row>
    <row r="20" spans="2:20" ht="15" customHeight="1" x14ac:dyDescent="0.2">
      <c r="B20" s="582" t="s">
        <v>38</v>
      </c>
      <c r="C20" s="251"/>
      <c r="D20" s="253"/>
      <c r="E20" s="252"/>
      <c r="F20" s="385">
        <v>0</v>
      </c>
      <c r="G20" s="378">
        <f t="shared" si="0"/>
        <v>0</v>
      </c>
      <c r="H20" s="381">
        <v>0.28999999999999998</v>
      </c>
      <c r="I20" s="311">
        <f t="shared" si="2"/>
        <v>0</v>
      </c>
      <c r="J20" s="378">
        <f>I20*VLOOKUP($B$9,'Base Costs'!$A$32:$B$37,2,FALSE)</f>
        <v>0</v>
      </c>
      <c r="K20" s="379">
        <f t="shared" si="3"/>
        <v>0</v>
      </c>
      <c r="M20" s="378">
        <f t="shared" si="4"/>
        <v>0</v>
      </c>
      <c r="N20" s="378"/>
      <c r="O20" s="378"/>
      <c r="P20" s="378"/>
      <c r="R20" s="875"/>
      <c r="S20" s="875"/>
      <c r="T20" s="876"/>
    </row>
    <row r="21" spans="2:20"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3"/>
        <v>0</v>
      </c>
      <c r="M21" s="378">
        <f t="shared" si="4"/>
        <v>0</v>
      </c>
      <c r="N21" s="378"/>
      <c r="O21" s="378"/>
      <c r="P21" s="378"/>
      <c r="R21" s="875"/>
      <c r="S21" s="875"/>
      <c r="T21" s="876"/>
    </row>
    <row r="22" spans="2:20" ht="15" customHeight="1" x14ac:dyDescent="0.2">
      <c r="B22" s="582" t="s">
        <v>1085</v>
      </c>
      <c r="C22" s="251"/>
      <c r="D22" s="253"/>
      <c r="E22" s="252"/>
      <c r="F22" s="385">
        <v>17895</v>
      </c>
      <c r="G22" s="378">
        <f t="shared" si="0"/>
        <v>0</v>
      </c>
      <c r="H22" s="381">
        <v>0.28999999999999998</v>
      </c>
      <c r="I22" s="311">
        <f t="shared" si="2"/>
        <v>0</v>
      </c>
      <c r="J22" s="378">
        <f>I22*VLOOKUP($B$9,'Base Costs'!$A$32:$B$37,2,FALSE)</f>
        <v>0</v>
      </c>
      <c r="K22" s="379">
        <f t="shared" si="3"/>
        <v>0</v>
      </c>
      <c r="M22" s="378">
        <f t="shared" si="4"/>
        <v>0</v>
      </c>
      <c r="N22" s="378"/>
      <c r="O22" s="378"/>
      <c r="P22" s="378"/>
      <c r="R22" s="875"/>
      <c r="S22" s="875"/>
      <c r="T22" s="876"/>
    </row>
    <row r="23" spans="2:20" ht="15" customHeight="1" x14ac:dyDescent="0.2">
      <c r="B23" s="582" t="s">
        <v>214</v>
      </c>
      <c r="C23" s="251"/>
      <c r="D23" s="253"/>
      <c r="E23" s="252"/>
      <c r="F23" s="385">
        <v>0</v>
      </c>
      <c r="G23" s="378">
        <f t="shared" si="0"/>
        <v>0</v>
      </c>
      <c r="H23" s="381">
        <v>0.28999999999999998</v>
      </c>
      <c r="I23" s="311">
        <f t="shared" si="2"/>
        <v>0</v>
      </c>
      <c r="J23" s="378">
        <f>I23*VLOOKUP($B$9,'Base Costs'!$A$32:$B$37,2,FALSE)</f>
        <v>0</v>
      </c>
      <c r="K23" s="379">
        <f t="shared" si="3"/>
        <v>0</v>
      </c>
      <c r="M23" s="378">
        <f t="shared" si="4"/>
        <v>0</v>
      </c>
      <c r="N23" s="378"/>
      <c r="O23" s="378"/>
      <c r="P23" s="378"/>
      <c r="R23" s="875"/>
      <c r="S23" s="875"/>
      <c r="T23" s="876"/>
    </row>
    <row r="24" spans="2:20" ht="15" customHeight="1" x14ac:dyDescent="0.2">
      <c r="B24" s="582" t="s">
        <v>214</v>
      </c>
      <c r="C24" s="251"/>
      <c r="D24" s="253"/>
      <c r="E24" s="252"/>
      <c r="F24" s="385">
        <v>0</v>
      </c>
      <c r="G24" s="378">
        <f t="shared" si="0"/>
        <v>0</v>
      </c>
      <c r="H24" s="381">
        <v>0.28999999999999998</v>
      </c>
      <c r="I24" s="311">
        <f t="shared" si="2"/>
        <v>0</v>
      </c>
      <c r="J24" s="378">
        <f>I24*VLOOKUP($B$9,'Base Costs'!$A$32:$B$37,2,FALSE)</f>
        <v>0</v>
      </c>
      <c r="K24" s="379">
        <f t="shared" si="3"/>
        <v>0</v>
      </c>
      <c r="M24" s="378">
        <f t="shared" si="4"/>
        <v>0</v>
      </c>
      <c r="N24" s="378"/>
      <c r="O24" s="378"/>
      <c r="P24" s="378"/>
      <c r="R24" s="875"/>
      <c r="S24" s="875"/>
      <c r="T24" s="876"/>
    </row>
    <row r="25" spans="2:20" ht="15" customHeight="1" x14ac:dyDescent="0.2">
      <c r="B25" s="583" t="s">
        <v>213</v>
      </c>
      <c r="C25" s="251"/>
      <c r="D25" s="388" t="s">
        <v>88</v>
      </c>
      <c r="E25" s="252"/>
      <c r="F25" s="385">
        <f>VLOOKUP(D25,'Base Costs'!I25:J31,2,FALSE)</f>
        <v>0</v>
      </c>
      <c r="G25" s="378">
        <f t="shared" si="0"/>
        <v>0</v>
      </c>
      <c r="H25" s="381">
        <v>0.28999999999999998</v>
      </c>
      <c r="I25" s="311">
        <f t="shared" si="2"/>
        <v>0</v>
      </c>
      <c r="J25" s="378">
        <f>I25*VLOOKUP($B$9,'Base Costs'!$A$32:$B$37,2,FALSE)</f>
        <v>0</v>
      </c>
      <c r="K25" s="379">
        <f t="shared" si="3"/>
        <v>0</v>
      </c>
      <c r="M25" s="378"/>
      <c r="N25" s="378">
        <f>J25</f>
        <v>0</v>
      </c>
      <c r="O25" s="378"/>
      <c r="P25" s="378"/>
      <c r="R25" s="875"/>
      <c r="S25" s="875"/>
      <c r="T25" s="876"/>
    </row>
    <row r="26" spans="2:20" ht="15" customHeight="1" x14ac:dyDescent="0.2">
      <c r="B26" s="583" t="s">
        <v>5</v>
      </c>
      <c r="C26" s="251"/>
      <c r="D26" s="388" t="s">
        <v>5</v>
      </c>
      <c r="E26" s="252"/>
      <c r="F26" s="385">
        <f>VLOOKUP(D26,'Base Costs'!I19:J23,2,FALSE)</f>
        <v>0</v>
      </c>
      <c r="G26" s="378">
        <f t="shared" si="0"/>
        <v>0</v>
      </c>
      <c r="H26" s="381">
        <v>0.28999999999999998</v>
      </c>
      <c r="I26" s="311">
        <f t="shared" si="2"/>
        <v>0</v>
      </c>
      <c r="J26" s="378">
        <f>I26*VLOOKUP($B$9,'Base Costs'!$A$32:$B$37,2,FALSE)</f>
        <v>0</v>
      </c>
      <c r="K26" s="379">
        <f t="shared" si="3"/>
        <v>0</v>
      </c>
      <c r="M26" s="378"/>
      <c r="N26" s="378">
        <f t="shared" ref="N26:N39" si="5">J26</f>
        <v>0</v>
      </c>
      <c r="O26" s="378"/>
      <c r="P26" s="378"/>
      <c r="R26" s="875"/>
      <c r="S26" s="875"/>
      <c r="T26" s="876"/>
    </row>
    <row r="27" spans="2:20" ht="15" customHeight="1" x14ac:dyDescent="0.2">
      <c r="B27" s="583" t="s">
        <v>33</v>
      </c>
      <c r="C27" s="251"/>
      <c r="D27" s="388" t="s">
        <v>87</v>
      </c>
      <c r="E27" s="252"/>
      <c r="F27" s="385">
        <f>VLOOKUP(D27,'Base Costs'!I33:J37,2,FALSE)</f>
        <v>0</v>
      </c>
      <c r="G27" s="378">
        <f t="shared" si="0"/>
        <v>0</v>
      </c>
      <c r="H27" s="381">
        <v>0.28999999999999998</v>
      </c>
      <c r="I27" s="311">
        <f t="shared" si="2"/>
        <v>0</v>
      </c>
      <c r="J27" s="378">
        <f>I27*VLOOKUP($B$9,'Base Costs'!$A$32:$B$37,2,FALSE)</f>
        <v>0</v>
      </c>
      <c r="K27" s="379">
        <f t="shared" si="3"/>
        <v>0</v>
      </c>
      <c r="M27" s="378"/>
      <c r="N27" s="378">
        <f t="shared" si="5"/>
        <v>0</v>
      </c>
      <c r="O27" s="378"/>
      <c r="P27" s="378"/>
      <c r="R27" s="875"/>
      <c r="S27" s="875"/>
      <c r="T27" s="876"/>
    </row>
    <row r="28" spans="2:20" ht="15" customHeight="1" x14ac:dyDescent="0.2">
      <c r="B28" s="583" t="s">
        <v>37</v>
      </c>
      <c r="C28" s="251"/>
      <c r="D28" s="388" t="s">
        <v>712</v>
      </c>
      <c r="E28" s="252"/>
      <c r="F28" s="385">
        <f>VLOOKUP(D28,'Base Costs'!I39:J44,2,FALSE)</f>
        <v>0</v>
      </c>
      <c r="G28" s="378">
        <f t="shared" si="0"/>
        <v>0</v>
      </c>
      <c r="H28" s="381">
        <v>0.28999999999999998</v>
      </c>
      <c r="I28" s="311">
        <f t="shared" si="2"/>
        <v>0</v>
      </c>
      <c r="J28" s="378">
        <f>I28*VLOOKUP($B$9,'Base Costs'!$A$32:$B$37,2,FALSE)</f>
        <v>0</v>
      </c>
      <c r="K28" s="379">
        <f t="shared" si="3"/>
        <v>0</v>
      </c>
      <c r="M28" s="378"/>
      <c r="N28" s="378">
        <f t="shared" si="5"/>
        <v>0</v>
      </c>
      <c r="O28" s="378"/>
      <c r="P28" s="378"/>
      <c r="R28" s="875"/>
      <c r="S28" s="875"/>
      <c r="T28" s="876"/>
    </row>
    <row r="29" spans="2:20" ht="15" customHeight="1" x14ac:dyDescent="0.2">
      <c r="B29" s="583" t="s">
        <v>45</v>
      </c>
      <c r="C29" s="251"/>
      <c r="D29" s="253"/>
      <c r="E29" s="252"/>
      <c r="F29" s="385">
        <v>0</v>
      </c>
      <c r="G29" s="378">
        <f t="shared" si="0"/>
        <v>0</v>
      </c>
      <c r="H29" s="381">
        <v>0.28999999999999998</v>
      </c>
      <c r="I29" s="311">
        <f t="shared" si="2"/>
        <v>0</v>
      </c>
      <c r="J29" s="378">
        <f>I29*VLOOKUP($B$9,'Base Costs'!$A$32:$B$37,2,FALSE)</f>
        <v>0</v>
      </c>
      <c r="K29" s="379">
        <f>I29-G29</f>
        <v>0</v>
      </c>
      <c r="M29" s="378"/>
      <c r="N29" s="378">
        <f t="shared" si="5"/>
        <v>0</v>
      </c>
      <c r="O29" s="378"/>
      <c r="P29" s="378"/>
      <c r="R29" s="875"/>
      <c r="S29" s="875"/>
      <c r="T29" s="876"/>
    </row>
    <row r="30" spans="2:20" ht="15" customHeight="1" x14ac:dyDescent="0.2">
      <c r="B30" s="583" t="s">
        <v>71</v>
      </c>
      <c r="C30" s="251"/>
      <c r="D30" s="253"/>
      <c r="E30" s="252"/>
      <c r="F30" s="385"/>
      <c r="G30" s="378">
        <f t="shared" si="0"/>
        <v>0</v>
      </c>
      <c r="H30" s="381">
        <v>0.28999999999999998</v>
      </c>
      <c r="I30" s="311">
        <f t="shared" si="2"/>
        <v>0</v>
      </c>
      <c r="J30" s="378">
        <f>I30*VLOOKUP($B$9,'Base Costs'!$A$32:$B$37,2,FALSE)</f>
        <v>0</v>
      </c>
      <c r="K30" s="379">
        <f t="shared" si="3"/>
        <v>0</v>
      </c>
      <c r="M30" s="378"/>
      <c r="N30" s="378">
        <f t="shared" si="5"/>
        <v>0</v>
      </c>
      <c r="O30" s="378"/>
      <c r="P30" s="378"/>
      <c r="R30" s="875"/>
      <c r="S30" s="875"/>
      <c r="T30" s="876"/>
    </row>
    <row r="31" spans="2:20" ht="15" customHeight="1" x14ac:dyDescent="0.2">
      <c r="B31" s="583" t="s">
        <v>15</v>
      </c>
      <c r="C31" s="251"/>
      <c r="D31" s="253"/>
      <c r="E31" s="252"/>
      <c r="F31" s="385">
        <v>0</v>
      </c>
      <c r="G31" s="378">
        <f t="shared" si="0"/>
        <v>0</v>
      </c>
      <c r="H31" s="381">
        <v>0.28999999999999998</v>
      </c>
      <c r="I31" s="311">
        <f t="shared" si="2"/>
        <v>0</v>
      </c>
      <c r="J31" s="378">
        <f>I31*VLOOKUP($B$9,'Base Costs'!$A$32:$B$37,2,FALSE)</f>
        <v>0</v>
      </c>
      <c r="K31" s="379">
        <f t="shared" si="3"/>
        <v>0</v>
      </c>
      <c r="M31" s="378"/>
      <c r="N31" s="378">
        <f t="shared" si="5"/>
        <v>0</v>
      </c>
      <c r="O31" s="378"/>
      <c r="P31" s="378"/>
      <c r="R31" s="875"/>
      <c r="S31" s="875"/>
      <c r="T31" s="876"/>
    </row>
    <row r="32" spans="2:20" ht="15" customHeight="1" x14ac:dyDescent="0.2">
      <c r="B32" s="583" t="s">
        <v>72</v>
      </c>
      <c r="C32" s="251"/>
      <c r="D32" s="253"/>
      <c r="E32" s="252"/>
      <c r="F32" s="385">
        <v>87</v>
      </c>
      <c r="G32" s="378">
        <f t="shared" si="0"/>
        <v>0</v>
      </c>
      <c r="H32" s="381">
        <v>0.28999999999999998</v>
      </c>
      <c r="I32" s="311">
        <f t="shared" si="2"/>
        <v>0</v>
      </c>
      <c r="J32" s="378">
        <f>I32*VLOOKUP($B$9,'Base Costs'!$A$32:$B$37,2,FALSE)</f>
        <v>0</v>
      </c>
      <c r="K32" s="379">
        <f t="shared" si="3"/>
        <v>0</v>
      </c>
      <c r="M32" s="378"/>
      <c r="N32" s="378">
        <f t="shared" si="5"/>
        <v>0</v>
      </c>
      <c r="O32" s="378"/>
      <c r="P32" s="378"/>
      <c r="R32" s="875"/>
      <c r="S32" s="875"/>
      <c r="T32" s="876"/>
    </row>
    <row r="33" spans="2:20" ht="15" customHeight="1" x14ac:dyDescent="0.2">
      <c r="B33" s="583" t="s">
        <v>38</v>
      </c>
      <c r="C33" s="251"/>
      <c r="D33" s="253"/>
      <c r="E33" s="252"/>
      <c r="F33" s="385">
        <v>0</v>
      </c>
      <c r="G33" s="378">
        <f t="shared" si="0"/>
        <v>0</v>
      </c>
      <c r="H33" s="381">
        <v>0.28999999999999998</v>
      </c>
      <c r="I33" s="311">
        <f t="shared" si="2"/>
        <v>0</v>
      </c>
      <c r="J33" s="378">
        <f>I33*VLOOKUP($B$9,'Base Costs'!$A$32:$B$37,2,FALSE)</f>
        <v>0</v>
      </c>
      <c r="K33" s="379">
        <f t="shared" si="3"/>
        <v>0</v>
      </c>
      <c r="M33" s="378"/>
      <c r="N33" s="378">
        <f t="shared" si="5"/>
        <v>0</v>
      </c>
      <c r="O33" s="378"/>
      <c r="P33" s="378"/>
      <c r="R33" s="875"/>
      <c r="S33" s="875"/>
      <c r="T33" s="876"/>
    </row>
    <row r="34" spans="2:20" ht="15" customHeight="1" x14ac:dyDescent="0.2">
      <c r="B34" s="583" t="s">
        <v>40</v>
      </c>
      <c r="C34" s="251"/>
      <c r="D34" s="253"/>
      <c r="E34" s="252"/>
      <c r="F34" s="385">
        <v>88.28</v>
      </c>
      <c r="G34" s="378">
        <f t="shared" si="0"/>
        <v>0</v>
      </c>
      <c r="H34" s="381">
        <v>0.28999999999999998</v>
      </c>
      <c r="I34" s="311">
        <f t="shared" si="2"/>
        <v>0</v>
      </c>
      <c r="J34" s="378">
        <f>I34*VLOOKUP($B$9,'Base Costs'!$A$32:$B$37,2,FALSE)</f>
        <v>0</v>
      </c>
      <c r="K34" s="379">
        <f t="shared" si="3"/>
        <v>0</v>
      </c>
      <c r="M34" s="378"/>
      <c r="N34" s="378">
        <f t="shared" si="5"/>
        <v>0</v>
      </c>
      <c r="O34" s="378"/>
      <c r="P34" s="378"/>
      <c r="R34" s="875"/>
      <c r="S34" s="875"/>
      <c r="T34" s="876"/>
    </row>
    <row r="35" spans="2:20" ht="15" customHeight="1" x14ac:dyDescent="0.2">
      <c r="B35" s="583" t="s">
        <v>39</v>
      </c>
      <c r="C35" s="251"/>
      <c r="D35" s="253"/>
      <c r="E35" s="252"/>
      <c r="F35" s="385">
        <v>0</v>
      </c>
      <c r="G35" s="378">
        <f t="shared" si="0"/>
        <v>0</v>
      </c>
      <c r="H35" s="381">
        <v>0.28999999999999998</v>
      </c>
      <c r="I35" s="311">
        <f t="shared" si="2"/>
        <v>0</v>
      </c>
      <c r="J35" s="378">
        <f>I35*VLOOKUP($B$9,'Base Costs'!$A$32:$B$37,2,FALSE)</f>
        <v>0</v>
      </c>
      <c r="K35" s="379">
        <f t="shared" si="3"/>
        <v>0</v>
      </c>
      <c r="M35" s="378"/>
      <c r="N35" s="378">
        <f t="shared" si="5"/>
        <v>0</v>
      </c>
      <c r="O35" s="378"/>
      <c r="P35" s="378"/>
      <c r="R35" s="875"/>
      <c r="S35" s="875"/>
      <c r="T35" s="876"/>
    </row>
    <row r="36" spans="2:20" ht="15" customHeight="1" x14ac:dyDescent="0.2">
      <c r="B36" s="583" t="s">
        <v>41</v>
      </c>
      <c r="C36" s="251"/>
      <c r="D36" s="253"/>
      <c r="E36" s="252"/>
      <c r="F36" s="385">
        <f>26*1.03</f>
        <v>26.78</v>
      </c>
      <c r="G36" s="378">
        <f t="shared" si="0"/>
        <v>0</v>
      </c>
      <c r="H36" s="381">
        <v>0.28999999999999998</v>
      </c>
      <c r="I36" s="311">
        <f t="shared" si="2"/>
        <v>0</v>
      </c>
      <c r="J36" s="378">
        <f>I36*VLOOKUP($B$9,'Base Costs'!$A$32:$B$37,2,FALSE)</f>
        <v>0</v>
      </c>
      <c r="K36" s="379">
        <f t="shared" si="3"/>
        <v>0</v>
      </c>
      <c r="M36" s="378"/>
      <c r="N36" s="378">
        <f t="shared" si="5"/>
        <v>0</v>
      </c>
      <c r="O36" s="378"/>
      <c r="P36" s="378"/>
      <c r="R36" s="875"/>
      <c r="S36" s="875"/>
      <c r="T36" s="876"/>
    </row>
    <row r="37" spans="2:20" ht="15" customHeight="1" x14ac:dyDescent="0.2">
      <c r="B37" s="583" t="s">
        <v>889</v>
      </c>
      <c r="C37" s="251"/>
      <c r="D37" s="253"/>
      <c r="E37" s="252"/>
      <c r="F37" s="385">
        <v>444</v>
      </c>
      <c r="G37" s="378">
        <f t="shared" si="0"/>
        <v>0</v>
      </c>
      <c r="H37" s="381">
        <v>0.28999999999999998</v>
      </c>
      <c r="I37" s="311">
        <f t="shared" si="2"/>
        <v>0</v>
      </c>
      <c r="J37" s="378">
        <f>I37*VLOOKUP($B$9,'Base Costs'!$A$32:$B$37,2,FALSE)</f>
        <v>0</v>
      </c>
      <c r="K37" s="379">
        <f t="shared" si="3"/>
        <v>0</v>
      </c>
      <c r="M37" s="378"/>
      <c r="N37" s="378">
        <f t="shared" si="5"/>
        <v>0</v>
      </c>
      <c r="O37" s="378"/>
      <c r="P37" s="378"/>
      <c r="R37" s="875"/>
      <c r="S37" s="875"/>
      <c r="T37" s="876"/>
    </row>
    <row r="38" spans="2:20" ht="15" customHeight="1" x14ac:dyDescent="0.2">
      <c r="B38" s="583" t="s">
        <v>214</v>
      </c>
      <c r="C38" s="251"/>
      <c r="D38" s="253"/>
      <c r="E38" s="252"/>
      <c r="F38" s="385">
        <v>0</v>
      </c>
      <c r="G38" s="378">
        <f t="shared" si="0"/>
        <v>0</v>
      </c>
      <c r="H38" s="381">
        <v>0.28999999999999998</v>
      </c>
      <c r="I38" s="311">
        <f t="shared" si="2"/>
        <v>0</v>
      </c>
      <c r="J38" s="378">
        <f>I38*VLOOKUP($B$9,'Base Costs'!$A$32:$B$37,2,FALSE)</f>
        <v>0</v>
      </c>
      <c r="K38" s="379">
        <f t="shared" si="3"/>
        <v>0</v>
      </c>
      <c r="M38" s="378"/>
      <c r="N38" s="378">
        <f t="shared" si="5"/>
        <v>0</v>
      </c>
      <c r="O38" s="378"/>
      <c r="P38" s="378"/>
      <c r="R38" s="875"/>
      <c r="S38" s="875"/>
      <c r="T38" s="876"/>
    </row>
    <row r="39" spans="2:20" ht="15" customHeight="1" x14ac:dyDescent="0.2">
      <c r="B39" s="583" t="s">
        <v>214</v>
      </c>
      <c r="C39" s="251"/>
      <c r="D39" s="253"/>
      <c r="E39" s="252"/>
      <c r="F39" s="385">
        <v>0</v>
      </c>
      <c r="G39" s="378">
        <f t="shared" si="0"/>
        <v>0</v>
      </c>
      <c r="H39" s="381">
        <v>0.28999999999999998</v>
      </c>
      <c r="I39" s="311">
        <f t="shared" si="2"/>
        <v>0</v>
      </c>
      <c r="J39" s="378">
        <f>I39*VLOOKUP($B$9,'Base Costs'!$A$32:$B$37,2,FALSE)</f>
        <v>0</v>
      </c>
      <c r="K39" s="379">
        <f t="shared" si="3"/>
        <v>0</v>
      </c>
      <c r="M39" s="378"/>
      <c r="N39" s="378">
        <f t="shared" si="5"/>
        <v>0</v>
      </c>
      <c r="O39" s="378"/>
      <c r="P39" s="378"/>
      <c r="R39" s="875"/>
      <c r="S39" s="875"/>
      <c r="T39" s="876"/>
    </row>
    <row r="40" spans="2:20" ht="15" customHeight="1" x14ac:dyDescent="0.2">
      <c r="B40" s="584" t="s">
        <v>214</v>
      </c>
      <c r="C40" s="251"/>
      <c r="D40" s="793"/>
      <c r="E40" s="252"/>
      <c r="F40" s="385"/>
      <c r="G40" s="378">
        <f t="shared" si="0"/>
        <v>0</v>
      </c>
      <c r="H40" s="381">
        <v>0.28999999999999998</v>
      </c>
      <c r="I40" s="311">
        <f t="shared" si="2"/>
        <v>0</v>
      </c>
      <c r="J40" s="378">
        <f>I40*VLOOKUP($B$9,'Base Costs'!$A$32:$B$37,2,FALSE)</f>
        <v>0</v>
      </c>
      <c r="K40" s="379">
        <f t="shared" si="3"/>
        <v>0</v>
      </c>
      <c r="M40" s="378"/>
      <c r="N40" s="378"/>
      <c r="O40" s="378"/>
      <c r="P40" s="378">
        <f>J40</f>
        <v>0</v>
      </c>
      <c r="R40" s="875"/>
      <c r="S40" s="875"/>
      <c r="T40" s="876"/>
    </row>
    <row r="41" spans="2:20" ht="15" customHeight="1" x14ac:dyDescent="0.2">
      <c r="B41" s="584" t="s">
        <v>214</v>
      </c>
      <c r="C41" s="251"/>
      <c r="D41" s="794"/>
      <c r="E41" s="252"/>
      <c r="F41" s="385"/>
      <c r="G41" s="378">
        <f t="shared" ref="G41:G44" si="6">C41*F41</f>
        <v>0</v>
      </c>
      <c r="H41" s="381">
        <v>0.28999999999999998</v>
      </c>
      <c r="I41" s="311">
        <f t="shared" ref="I41:I44" si="7">G41/(1-H41)*(1+$C$9)</f>
        <v>0</v>
      </c>
      <c r="J41" s="378">
        <f>I41*VLOOKUP($B$9,'Base Costs'!$A$32:$B$37,2,FALSE)</f>
        <v>0</v>
      </c>
      <c r="K41" s="379">
        <f t="shared" ref="K41:K44" si="8">I41-G41</f>
        <v>0</v>
      </c>
      <c r="M41" s="378"/>
      <c r="N41" s="378"/>
      <c r="O41" s="378"/>
      <c r="P41" s="378">
        <f t="shared" ref="P41:P44" si="9">J41</f>
        <v>0</v>
      </c>
      <c r="R41" s="875"/>
      <c r="S41" s="875"/>
      <c r="T41" s="876"/>
    </row>
    <row r="42" spans="2:20" ht="15" customHeight="1" x14ac:dyDescent="0.2">
      <c r="B42" s="584" t="s">
        <v>214</v>
      </c>
      <c r="C42" s="251"/>
      <c r="D42" s="794"/>
      <c r="E42" s="252"/>
      <c r="F42" s="385"/>
      <c r="G42" s="378">
        <f t="shared" si="6"/>
        <v>0</v>
      </c>
      <c r="H42" s="381">
        <v>0.28999999999999998</v>
      </c>
      <c r="I42" s="311">
        <f t="shared" si="7"/>
        <v>0</v>
      </c>
      <c r="J42" s="378">
        <f>I42*VLOOKUP($B$9,'Base Costs'!$A$32:$B$37,2,FALSE)</f>
        <v>0</v>
      </c>
      <c r="K42" s="379">
        <f t="shared" si="8"/>
        <v>0</v>
      </c>
      <c r="M42" s="378"/>
      <c r="N42" s="378"/>
      <c r="O42" s="378"/>
      <c r="P42" s="378">
        <f t="shared" si="9"/>
        <v>0</v>
      </c>
      <c r="R42" s="875"/>
      <c r="S42" s="875"/>
      <c r="T42" s="876"/>
    </row>
    <row r="43" spans="2:20" ht="15" customHeight="1" x14ac:dyDescent="0.2">
      <c r="B43" s="584" t="s">
        <v>214</v>
      </c>
      <c r="C43" s="251"/>
      <c r="D43" s="253"/>
      <c r="E43" s="252"/>
      <c r="F43" s="385">
        <v>0</v>
      </c>
      <c r="G43" s="378">
        <f t="shared" si="6"/>
        <v>0</v>
      </c>
      <c r="H43" s="381">
        <v>0.28999999999999998</v>
      </c>
      <c r="I43" s="311">
        <f t="shared" si="7"/>
        <v>0</v>
      </c>
      <c r="J43" s="378">
        <f>I43*VLOOKUP($B$9,'Base Costs'!$A$32:$B$37,2,FALSE)</f>
        <v>0</v>
      </c>
      <c r="K43" s="379">
        <f t="shared" si="8"/>
        <v>0</v>
      </c>
      <c r="M43" s="378"/>
      <c r="N43" s="378"/>
      <c r="O43" s="378"/>
      <c r="P43" s="378">
        <f t="shared" si="9"/>
        <v>0</v>
      </c>
      <c r="R43" s="875"/>
      <c r="S43" s="875"/>
      <c r="T43" s="876"/>
    </row>
    <row r="44" spans="2:20" ht="15" customHeight="1" x14ac:dyDescent="0.2">
      <c r="B44" s="584" t="s">
        <v>214</v>
      </c>
      <c r="C44" s="251"/>
      <c r="D44" s="253"/>
      <c r="E44" s="252"/>
      <c r="F44" s="385">
        <v>0</v>
      </c>
      <c r="G44" s="378">
        <f t="shared" si="6"/>
        <v>0</v>
      </c>
      <c r="H44" s="381">
        <v>0.28999999999999998</v>
      </c>
      <c r="I44" s="311">
        <f t="shared" si="7"/>
        <v>0</v>
      </c>
      <c r="J44" s="378">
        <f>I44*VLOOKUP($B$9,'Base Costs'!$A$32:$B$37,2,FALSE)</f>
        <v>0</v>
      </c>
      <c r="K44" s="379">
        <f t="shared" si="8"/>
        <v>0</v>
      </c>
      <c r="M44" s="378"/>
      <c r="N44" s="378"/>
      <c r="O44" s="378"/>
      <c r="P44" s="378">
        <f t="shared" si="9"/>
        <v>0</v>
      </c>
      <c r="R44" s="875"/>
      <c r="S44" s="875"/>
      <c r="T44" s="876"/>
    </row>
    <row r="45" spans="2:20" ht="15" customHeight="1" x14ac:dyDescent="0.2">
      <c r="B45" s="584" t="s">
        <v>214</v>
      </c>
      <c r="C45" s="251"/>
      <c r="D45" s="253"/>
      <c r="E45" s="252"/>
      <c r="F45" s="385">
        <v>0</v>
      </c>
      <c r="G45" s="378">
        <f t="shared" si="0"/>
        <v>0</v>
      </c>
      <c r="H45" s="381">
        <v>0.28999999999999998</v>
      </c>
      <c r="I45" s="311">
        <f t="shared" si="2"/>
        <v>0</v>
      </c>
      <c r="J45" s="378">
        <f>I45*VLOOKUP($B$9,'Base Costs'!$A$32:$B$37,2,FALSE)</f>
        <v>0</v>
      </c>
      <c r="K45" s="379">
        <f t="shared" si="3"/>
        <v>0</v>
      </c>
      <c r="M45" s="378"/>
      <c r="N45" s="378"/>
      <c r="O45" s="378"/>
      <c r="P45" s="378">
        <f t="shared" ref="P45:P49" si="10">J45</f>
        <v>0</v>
      </c>
      <c r="R45" s="875"/>
      <c r="S45" s="875"/>
      <c r="T45" s="876"/>
    </row>
    <row r="46" spans="2:20" ht="15" customHeight="1" x14ac:dyDescent="0.2">
      <c r="B46" s="584" t="s">
        <v>214</v>
      </c>
      <c r="C46" s="251"/>
      <c r="D46" s="253"/>
      <c r="E46" s="252"/>
      <c r="F46" s="385">
        <v>0</v>
      </c>
      <c r="G46" s="378">
        <f t="shared" si="0"/>
        <v>0</v>
      </c>
      <c r="H46" s="381">
        <v>0.28999999999999998</v>
      </c>
      <c r="I46" s="311">
        <f t="shared" si="2"/>
        <v>0</v>
      </c>
      <c r="J46" s="378">
        <f>I46*VLOOKUP($B$9,'Base Costs'!$A$32:$B$37,2,FALSE)</f>
        <v>0</v>
      </c>
      <c r="K46" s="379">
        <f t="shared" si="3"/>
        <v>0</v>
      </c>
      <c r="M46" s="378"/>
      <c r="N46" s="378"/>
      <c r="O46" s="378"/>
      <c r="P46" s="378">
        <f t="shared" si="10"/>
        <v>0</v>
      </c>
      <c r="R46" s="875"/>
      <c r="S46" s="875"/>
      <c r="T46" s="876"/>
    </row>
    <row r="47" spans="2:20" ht="15" customHeight="1" x14ac:dyDescent="0.2">
      <c r="B47" s="584" t="s">
        <v>667</v>
      </c>
      <c r="C47" s="251"/>
      <c r="D47" s="1095" t="s">
        <v>827</v>
      </c>
      <c r="E47" s="1096"/>
      <c r="F47" s="385">
        <v>550</v>
      </c>
      <c r="G47" s="378">
        <f t="shared" si="0"/>
        <v>0</v>
      </c>
      <c r="H47" s="381">
        <v>0.28999999999999998</v>
      </c>
      <c r="I47" s="311">
        <f t="shared" si="2"/>
        <v>0</v>
      </c>
      <c r="J47" s="378">
        <f>I47*VLOOKUP($B$9,'Base Costs'!$A$32:$B$37,2,FALSE)</f>
        <v>0</v>
      </c>
      <c r="K47" s="379">
        <f t="shared" si="3"/>
        <v>0</v>
      </c>
      <c r="M47" s="378"/>
      <c r="N47" s="378"/>
      <c r="O47" s="378"/>
      <c r="P47" s="378">
        <f t="shared" si="10"/>
        <v>0</v>
      </c>
      <c r="R47" s="875"/>
      <c r="S47" s="875"/>
      <c r="T47" s="876"/>
    </row>
    <row r="48" spans="2:20" ht="15" customHeight="1" x14ac:dyDescent="0.2">
      <c r="B48" s="584" t="s">
        <v>822</v>
      </c>
      <c r="C48" s="251"/>
      <c r="D48" s="794" t="s">
        <v>824</v>
      </c>
      <c r="E48" s="252"/>
      <c r="F48" s="385">
        <v>75</v>
      </c>
      <c r="G48" s="378">
        <f t="shared" si="0"/>
        <v>0</v>
      </c>
      <c r="H48" s="381">
        <v>0.28999999999999998</v>
      </c>
      <c r="I48" s="311">
        <f t="shared" si="2"/>
        <v>0</v>
      </c>
      <c r="J48" s="378">
        <f>I48*VLOOKUP($B$9,'Base Costs'!$A$32:$B$37,2,FALSE)</f>
        <v>0</v>
      </c>
      <c r="K48" s="379">
        <f t="shared" si="3"/>
        <v>0</v>
      </c>
      <c r="M48" s="378"/>
      <c r="N48" s="378"/>
      <c r="O48" s="378"/>
      <c r="P48" s="378">
        <f t="shared" si="10"/>
        <v>0</v>
      </c>
      <c r="R48" s="875"/>
      <c r="S48" s="875"/>
      <c r="T48" s="876"/>
    </row>
    <row r="49" spans="2:25" ht="15" customHeight="1" x14ac:dyDescent="0.2">
      <c r="B49" s="584" t="s">
        <v>823</v>
      </c>
      <c r="C49" s="251"/>
      <c r="D49" s="794" t="s">
        <v>825</v>
      </c>
      <c r="E49" s="252"/>
      <c r="F49" s="385">
        <v>150</v>
      </c>
      <c r="G49" s="378">
        <f t="shared" si="0"/>
        <v>0</v>
      </c>
      <c r="H49" s="381">
        <v>0.28999999999999998</v>
      </c>
      <c r="I49" s="311">
        <f t="shared" si="2"/>
        <v>0</v>
      </c>
      <c r="J49" s="378">
        <f>I49*VLOOKUP($B$9,'Base Costs'!$A$32:$B$37,2,FALSE)</f>
        <v>0</v>
      </c>
      <c r="K49" s="379">
        <f t="shared" si="3"/>
        <v>0</v>
      </c>
      <c r="M49" s="378"/>
      <c r="N49" s="378"/>
      <c r="O49" s="378"/>
      <c r="P49" s="378">
        <f t="shared" si="10"/>
        <v>0</v>
      </c>
      <c r="R49" s="875"/>
      <c r="S49" s="875"/>
      <c r="T49" s="876"/>
    </row>
    <row r="50" spans="2:25" ht="15" customHeight="1" x14ac:dyDescent="0.2">
      <c r="B50" s="585" t="s">
        <v>8</v>
      </c>
      <c r="C50" s="251"/>
      <c r="D50" s="255"/>
      <c r="E50" s="252"/>
      <c r="F50" s="385">
        <v>0</v>
      </c>
      <c r="G50" s="378">
        <f t="shared" si="0"/>
        <v>0</v>
      </c>
      <c r="H50" s="381">
        <v>0.28999999999999998</v>
      </c>
      <c r="I50" s="311">
        <f t="shared" si="2"/>
        <v>0</v>
      </c>
      <c r="J50" s="378">
        <f>I50*VLOOKUP($B$9,'Base Costs'!$A$32:$B$37,2,FALSE)</f>
        <v>0</v>
      </c>
      <c r="K50" s="379">
        <f t="shared" si="3"/>
        <v>0</v>
      </c>
      <c r="M50" s="378"/>
      <c r="N50" s="378"/>
      <c r="O50" s="378">
        <f>J50</f>
        <v>0</v>
      </c>
      <c r="P50" s="378"/>
      <c r="R50" s="875"/>
      <c r="S50" s="875"/>
      <c r="T50" s="876"/>
    </row>
    <row r="51" spans="2:25" ht="15" customHeight="1" x14ac:dyDescent="0.2">
      <c r="B51" s="585" t="s">
        <v>5</v>
      </c>
      <c r="C51" s="251"/>
      <c r="D51" s="255"/>
      <c r="E51" s="252"/>
      <c r="F51" s="385">
        <v>0</v>
      </c>
      <c r="G51" s="378">
        <f t="shared" si="0"/>
        <v>0</v>
      </c>
      <c r="H51" s="381">
        <v>0.28999999999999998</v>
      </c>
      <c r="I51" s="311">
        <f t="shared" si="2"/>
        <v>0</v>
      </c>
      <c r="J51" s="378">
        <f>I51*VLOOKUP($B$9,'Base Costs'!$A$32:$B$37,2,FALSE)</f>
        <v>0</v>
      </c>
      <c r="K51" s="379">
        <f t="shared" si="3"/>
        <v>0</v>
      </c>
      <c r="M51" s="378"/>
      <c r="N51" s="378"/>
      <c r="O51" s="378">
        <f t="shared" ref="O51:O54" si="11">J51</f>
        <v>0</v>
      </c>
      <c r="P51" s="378"/>
      <c r="R51" s="875"/>
      <c r="S51" s="875"/>
      <c r="T51" s="876"/>
    </row>
    <row r="52" spans="2:25" ht="15" customHeight="1" x14ac:dyDescent="0.2">
      <c r="B52" s="585" t="s">
        <v>73</v>
      </c>
      <c r="C52" s="251"/>
      <c r="D52" s="253"/>
      <c r="E52" s="252"/>
      <c r="F52" s="385">
        <v>0</v>
      </c>
      <c r="G52" s="378">
        <f t="shared" si="0"/>
        <v>0</v>
      </c>
      <c r="H52" s="381">
        <v>0.28999999999999998</v>
      </c>
      <c r="I52" s="311">
        <f t="shared" si="2"/>
        <v>0</v>
      </c>
      <c r="J52" s="378">
        <f>I52*VLOOKUP($B$9,'Base Costs'!$A$32:$B$37,2,FALSE)</f>
        <v>0</v>
      </c>
      <c r="K52" s="379">
        <f t="shared" si="3"/>
        <v>0</v>
      </c>
      <c r="M52" s="378"/>
      <c r="N52" s="378"/>
      <c r="O52" s="378">
        <f t="shared" si="11"/>
        <v>0</v>
      </c>
      <c r="P52" s="378"/>
      <c r="R52" s="875"/>
      <c r="S52" s="875"/>
      <c r="T52" s="876"/>
    </row>
    <row r="53" spans="2:25" ht="15" customHeight="1" x14ac:dyDescent="0.2">
      <c r="B53" s="585" t="s">
        <v>214</v>
      </c>
      <c r="C53" s="251"/>
      <c r="D53" s="253"/>
      <c r="E53" s="252"/>
      <c r="F53" s="385">
        <v>0</v>
      </c>
      <c r="G53" s="378">
        <f t="shared" si="0"/>
        <v>0</v>
      </c>
      <c r="H53" s="381">
        <v>0.28999999999999998</v>
      </c>
      <c r="I53" s="311">
        <f t="shared" si="2"/>
        <v>0</v>
      </c>
      <c r="J53" s="378">
        <f>I53*VLOOKUP($B$9,'Base Costs'!$A$32:$B$37,2,FALSE)</f>
        <v>0</v>
      </c>
      <c r="K53" s="379">
        <f t="shared" si="3"/>
        <v>0</v>
      </c>
      <c r="M53" s="378"/>
      <c r="N53" s="378"/>
      <c r="O53" s="378">
        <f t="shared" si="11"/>
        <v>0</v>
      </c>
      <c r="P53" s="378"/>
      <c r="R53" s="875"/>
      <c r="S53" s="875"/>
      <c r="T53" s="876"/>
    </row>
    <row r="54" spans="2:25" ht="15" customHeight="1" x14ac:dyDescent="0.2">
      <c r="B54" s="585" t="s">
        <v>214</v>
      </c>
      <c r="C54" s="251"/>
      <c r="D54" s="253"/>
      <c r="E54" s="252"/>
      <c r="F54" s="385">
        <v>0</v>
      </c>
      <c r="G54" s="378">
        <f t="shared" si="0"/>
        <v>0</v>
      </c>
      <c r="H54" s="381">
        <v>0.28999999999999998</v>
      </c>
      <c r="I54" s="311">
        <f t="shared" si="2"/>
        <v>0</v>
      </c>
      <c r="J54" s="378">
        <f>I54*VLOOKUP($B$9,'Base Costs'!$A$32:$B$37,2,FALSE)</f>
        <v>0</v>
      </c>
      <c r="K54" s="379">
        <f t="shared" si="3"/>
        <v>0</v>
      </c>
      <c r="M54" s="378"/>
      <c r="N54" s="378"/>
      <c r="O54" s="378">
        <f t="shared" si="11"/>
        <v>0</v>
      </c>
      <c r="P54" s="378"/>
      <c r="R54" s="875"/>
      <c r="S54" s="875"/>
      <c r="T54" s="876"/>
    </row>
    <row r="55" spans="2:25" ht="15" customHeight="1" x14ac:dyDescent="0.2">
      <c r="B55" s="115"/>
      <c r="C55" s="121"/>
      <c r="D55" s="113"/>
      <c r="F55" s="323"/>
      <c r="G55" s="323"/>
      <c r="H55" s="328"/>
      <c r="I55" s="323"/>
      <c r="J55" s="323"/>
      <c r="K55" s="329"/>
      <c r="R55" s="875"/>
      <c r="S55" s="875"/>
      <c r="T55" s="876"/>
    </row>
    <row r="56" spans="2:25" s="97" customFormat="1" ht="15" customHeight="1" x14ac:dyDescent="0.15">
      <c r="B56" s="1097" t="s">
        <v>50</v>
      </c>
      <c r="C56" s="1097"/>
      <c r="D56" s="1097"/>
      <c r="E56" s="1097"/>
      <c r="F56" s="330"/>
      <c r="G56" s="154">
        <f>SUBTOTAL(9,G57:G66)</f>
        <v>0</v>
      </c>
      <c r="H56" s="15" t="str">
        <f>IF(G56=0,"-",K56/I56)</f>
        <v>-</v>
      </c>
      <c r="I56" s="154">
        <f>SUBTOTAL(9,I57:I66)</f>
        <v>0</v>
      </c>
      <c r="J56" s="465">
        <f>SUBTOTAL(9,J57:J66)</f>
        <v>0</v>
      </c>
      <c r="K56" s="154">
        <f>SUBTOTAL(9,K57:K66)</f>
        <v>0</v>
      </c>
      <c r="M56" s="284"/>
      <c r="N56" s="284"/>
      <c r="O56" s="284"/>
      <c r="P56" s="284"/>
      <c r="R56" s="877"/>
      <c r="S56" s="877"/>
      <c r="T56" s="877"/>
      <c r="V56" s="100"/>
      <c r="Y56" s="101"/>
    </row>
    <row r="57" spans="2:25" s="97" customFormat="1" ht="15" customHeight="1" x14ac:dyDescent="0.15">
      <c r="B57" s="589" t="s">
        <v>731</v>
      </c>
      <c r="C57" s="33"/>
      <c r="D57" s="309" t="s">
        <v>48</v>
      </c>
      <c r="E57" s="28"/>
      <c r="F57" s="385">
        <f>VLOOKUP(D57,'Base Costs'!E4:G221,2,FALSE)</f>
        <v>0</v>
      </c>
      <c r="G57" s="378">
        <f t="shared" ref="G57:G66" si="12">C57*F57</f>
        <v>0</v>
      </c>
      <c r="H57" s="381">
        <v>0.33</v>
      </c>
      <c r="I57" s="311">
        <f t="shared" ref="I57:I66" si="13">G57/(1-H57)*(1+$C$9)</f>
        <v>0</v>
      </c>
      <c r="J57" s="378">
        <f>I57*VLOOKUP($B$9,'Base Costs'!$A$32:$B$37,2,FALSE)</f>
        <v>0</v>
      </c>
      <c r="K57" s="379">
        <f>I57-G57</f>
        <v>0</v>
      </c>
      <c r="M57" s="284"/>
      <c r="N57" s="284"/>
      <c r="O57" s="284"/>
      <c r="P57" s="284"/>
      <c r="R57" s="877"/>
      <c r="S57" s="877"/>
      <c r="T57" s="877"/>
      <c r="V57" s="100"/>
      <c r="Y57" s="101"/>
    </row>
    <row r="58" spans="2:25" s="97" customFormat="1" ht="15" customHeight="1" x14ac:dyDescent="0.15">
      <c r="B58" s="584" t="s">
        <v>36</v>
      </c>
      <c r="C58" s="33"/>
      <c r="D58" s="309" t="s">
        <v>189</v>
      </c>
      <c r="E58" s="28"/>
      <c r="F58" s="385">
        <f>VLOOKUP(D58,'Base Costs'!A4:B28,2,FALSE)</f>
        <v>0</v>
      </c>
      <c r="G58" s="378">
        <f t="shared" si="12"/>
        <v>0</v>
      </c>
      <c r="H58" s="386">
        <v>0.33</v>
      </c>
      <c r="I58" s="311">
        <f t="shared" si="13"/>
        <v>0</v>
      </c>
      <c r="J58" s="378">
        <f>I58*VLOOKUP($B$9,'Base Costs'!$A$32:$B$37,2,FALSE)</f>
        <v>0</v>
      </c>
      <c r="K58" s="379">
        <f>I58-G58</f>
        <v>0</v>
      </c>
      <c r="M58" s="284"/>
      <c r="N58" s="284"/>
      <c r="O58" s="284"/>
      <c r="P58" s="284"/>
      <c r="R58" s="877"/>
      <c r="S58" s="877"/>
      <c r="T58" s="877"/>
      <c r="V58" s="100"/>
      <c r="Y58" s="101"/>
    </row>
    <row r="59" spans="2:25" s="97" customFormat="1" ht="15" customHeight="1" x14ac:dyDescent="0.15">
      <c r="B59" s="584" t="s">
        <v>16</v>
      </c>
      <c r="C59" s="33"/>
      <c r="D59" s="28" t="s">
        <v>142</v>
      </c>
      <c r="E59" s="28"/>
      <c r="F59" s="385">
        <v>610</v>
      </c>
      <c r="G59" s="378">
        <f t="shared" si="12"/>
        <v>0</v>
      </c>
      <c r="H59" s="386">
        <v>0.33</v>
      </c>
      <c r="I59" s="311">
        <f t="shared" si="13"/>
        <v>0</v>
      </c>
      <c r="J59" s="378">
        <f>I59*VLOOKUP($B$9,'Base Costs'!$A$32:$B$37,2,FALSE)</f>
        <v>0</v>
      </c>
      <c r="K59" s="379">
        <f>I59-G59</f>
        <v>0</v>
      </c>
      <c r="M59" s="284"/>
      <c r="N59" s="284"/>
      <c r="O59" s="284"/>
      <c r="P59" s="284"/>
      <c r="R59" s="877"/>
      <c r="S59" s="877"/>
      <c r="T59" s="877"/>
      <c r="V59" s="100"/>
      <c r="Y59" s="101"/>
    </row>
    <row r="60" spans="2:25" s="97" customFormat="1" ht="15" customHeight="1" x14ac:dyDescent="0.15">
      <c r="B60" s="584" t="s">
        <v>13</v>
      </c>
      <c r="C60" s="33"/>
      <c r="D60" s="28"/>
      <c r="E60" s="28"/>
      <c r="F60" s="385">
        <v>200</v>
      </c>
      <c r="G60" s="378">
        <f t="shared" si="12"/>
        <v>0</v>
      </c>
      <c r="H60" s="386">
        <v>0.33</v>
      </c>
      <c r="I60" s="311">
        <f t="shared" si="13"/>
        <v>0</v>
      </c>
      <c r="J60" s="378">
        <f>I60*VLOOKUP($B$9,'Base Costs'!$A$32:$B$37,2,FALSE)</f>
        <v>0</v>
      </c>
      <c r="K60" s="379">
        <f>I60-G60</f>
        <v>0</v>
      </c>
      <c r="M60" s="284"/>
      <c r="N60" s="284"/>
      <c r="O60" s="284"/>
      <c r="P60" s="284"/>
      <c r="R60" s="877"/>
      <c r="S60" s="877"/>
      <c r="T60" s="877"/>
      <c r="V60" s="100"/>
      <c r="Y60" s="101"/>
    </row>
    <row r="61" spans="2:25" s="97" customFormat="1" ht="15" customHeight="1" x14ac:dyDescent="0.15">
      <c r="B61" s="584" t="s">
        <v>140</v>
      </c>
      <c r="C61" s="33"/>
      <c r="D61" s="28" t="s">
        <v>896</v>
      </c>
      <c r="E61" s="28"/>
      <c r="F61" s="385">
        <v>610</v>
      </c>
      <c r="G61" s="378">
        <f t="shared" si="12"/>
        <v>0</v>
      </c>
      <c r="H61" s="386">
        <v>0.4</v>
      </c>
      <c r="I61" s="311">
        <f t="shared" si="13"/>
        <v>0</v>
      </c>
      <c r="J61" s="378">
        <f>I61*VLOOKUP($B$9,'Base Costs'!$A$32:$B$37,2,FALSE)</f>
        <v>0</v>
      </c>
      <c r="K61" s="379">
        <f t="shared" ref="K61:K66" si="14">I61-G61</f>
        <v>0</v>
      </c>
      <c r="M61" s="284"/>
      <c r="N61" s="284"/>
      <c r="O61" s="284"/>
      <c r="P61" s="284"/>
      <c r="R61" s="877"/>
      <c r="S61" s="877"/>
      <c r="T61" s="877"/>
      <c r="V61" s="100"/>
      <c r="Y61" s="101"/>
    </row>
    <row r="62" spans="2:25" s="97" customFormat="1" ht="15" customHeight="1" x14ac:dyDescent="0.15">
      <c r="B62" s="584" t="s">
        <v>141</v>
      </c>
      <c r="C62" s="33"/>
      <c r="D62" s="28" t="s">
        <v>896</v>
      </c>
      <c r="E62" s="28"/>
      <c r="F62" s="385">
        <v>1220</v>
      </c>
      <c r="G62" s="378">
        <f t="shared" si="12"/>
        <v>0</v>
      </c>
      <c r="H62" s="386">
        <v>0.4</v>
      </c>
      <c r="I62" s="311">
        <f t="shared" si="13"/>
        <v>0</v>
      </c>
      <c r="J62" s="378">
        <f>I62*VLOOKUP($B$9,'Base Costs'!$A$32:$B$37,2,FALSE)</f>
        <v>0</v>
      </c>
      <c r="K62" s="379">
        <f t="shared" si="14"/>
        <v>0</v>
      </c>
      <c r="M62" s="284"/>
      <c r="N62" s="284"/>
      <c r="O62" s="284"/>
      <c r="P62" s="284"/>
      <c r="R62" s="877"/>
      <c r="S62" s="877"/>
      <c r="T62" s="877"/>
      <c r="V62" s="100"/>
      <c r="Y62" s="101"/>
    </row>
    <row r="63" spans="2:25" s="97" customFormat="1" ht="15" customHeight="1" x14ac:dyDescent="0.15">
      <c r="B63" s="584" t="s">
        <v>139</v>
      </c>
      <c r="C63" s="33"/>
      <c r="D63" s="28" t="s">
        <v>144</v>
      </c>
      <c r="E63" s="28"/>
      <c r="F63" s="385"/>
      <c r="G63" s="378">
        <f t="shared" si="12"/>
        <v>0</v>
      </c>
      <c r="H63" s="386">
        <v>0.33</v>
      </c>
      <c r="I63" s="311">
        <f t="shared" si="13"/>
        <v>0</v>
      </c>
      <c r="J63" s="378">
        <f>I63*VLOOKUP($B$9,'Base Costs'!$A$32:$B$37,2,FALSE)</f>
        <v>0</v>
      </c>
      <c r="K63" s="379">
        <f t="shared" si="14"/>
        <v>0</v>
      </c>
      <c r="M63" s="284"/>
      <c r="N63" s="284"/>
      <c r="O63" s="284"/>
      <c r="P63" s="284"/>
      <c r="R63" s="877"/>
      <c r="S63" s="877"/>
      <c r="T63" s="877"/>
      <c r="V63" s="100"/>
      <c r="Y63" s="101"/>
    </row>
    <row r="64" spans="2:25" s="97" customFormat="1" ht="15" customHeight="1" x14ac:dyDescent="0.15">
      <c r="B64" s="584" t="s">
        <v>12</v>
      </c>
      <c r="C64" s="33"/>
      <c r="D64" s="28" t="s">
        <v>144</v>
      </c>
      <c r="E64" s="28"/>
      <c r="F64" s="385">
        <v>220</v>
      </c>
      <c r="G64" s="378">
        <f t="shared" si="12"/>
        <v>0</v>
      </c>
      <c r="H64" s="386">
        <v>0.33</v>
      </c>
      <c r="I64" s="311">
        <f t="shared" si="13"/>
        <v>0</v>
      </c>
      <c r="J64" s="378">
        <f>I64*VLOOKUP($B$9,'Base Costs'!$A$32:$B$37,2,FALSE)</f>
        <v>0</v>
      </c>
      <c r="K64" s="379">
        <f t="shared" si="14"/>
        <v>0</v>
      </c>
      <c r="M64" s="284"/>
      <c r="N64" s="284"/>
      <c r="O64" s="284"/>
      <c r="P64" s="284"/>
      <c r="R64" s="877"/>
      <c r="S64" s="877"/>
      <c r="T64" s="877"/>
      <c r="V64" s="100"/>
      <c r="Y64" s="101"/>
    </row>
    <row r="65" spans="2:25" s="97" customFormat="1" ht="15" customHeight="1" x14ac:dyDescent="0.15">
      <c r="B65" s="584" t="s">
        <v>69</v>
      </c>
      <c r="C65" s="33"/>
      <c r="D65" s="28"/>
      <c r="E65" s="28"/>
      <c r="F65" s="385">
        <v>150</v>
      </c>
      <c r="G65" s="378">
        <f t="shared" si="12"/>
        <v>0</v>
      </c>
      <c r="H65" s="386">
        <v>0.33</v>
      </c>
      <c r="I65" s="311">
        <f t="shared" si="13"/>
        <v>0</v>
      </c>
      <c r="J65" s="378">
        <f>I65*VLOOKUP($B$9,'Base Costs'!$A$32:$B$37,2,FALSE)</f>
        <v>0</v>
      </c>
      <c r="K65" s="379">
        <f t="shared" si="14"/>
        <v>0</v>
      </c>
      <c r="M65" s="284"/>
      <c r="N65" s="284"/>
      <c r="O65" s="284"/>
      <c r="P65" s="284"/>
      <c r="R65" s="877"/>
      <c r="S65" s="877"/>
      <c r="T65" s="877"/>
      <c r="V65" s="100"/>
      <c r="Y65" s="101"/>
    </row>
    <row r="66" spans="2:25" s="97" customFormat="1" ht="15" customHeight="1" x14ac:dyDescent="0.15">
      <c r="B66" s="584" t="s">
        <v>32</v>
      </c>
      <c r="C66" s="33"/>
      <c r="D66" s="28" t="s">
        <v>721</v>
      </c>
      <c r="E66" s="28"/>
      <c r="F66" s="385">
        <v>604</v>
      </c>
      <c r="G66" s="378">
        <f t="shared" si="12"/>
        <v>0</v>
      </c>
      <c r="H66" s="386">
        <v>0.33</v>
      </c>
      <c r="I66" s="311">
        <f t="shared" si="13"/>
        <v>0</v>
      </c>
      <c r="J66" s="378">
        <f>I66*VLOOKUP($B$9,'Base Costs'!$A$32:$B$37,2,FALSE)</f>
        <v>0</v>
      </c>
      <c r="K66" s="379">
        <f t="shared" si="14"/>
        <v>0</v>
      </c>
      <c r="M66" s="284"/>
      <c r="N66" s="284"/>
      <c r="O66" s="284"/>
      <c r="P66" s="284"/>
      <c r="R66" s="877"/>
      <c r="S66" s="877"/>
      <c r="T66" s="877"/>
      <c r="V66" s="100"/>
      <c r="Y66" s="101"/>
    </row>
    <row r="67" spans="2:25" ht="15" customHeight="1" x14ac:dyDescent="0.2">
      <c r="D67" s="120"/>
      <c r="R67" s="875"/>
      <c r="S67" s="875"/>
      <c r="T67" s="876"/>
    </row>
    <row r="68" spans="2:25" ht="15" customHeight="1" x14ac:dyDescent="0.2">
      <c r="B68" s="197" t="s">
        <v>126</v>
      </c>
      <c r="C68" s="198"/>
      <c r="D68" s="199"/>
      <c r="E68" s="199"/>
      <c r="F68" s="198"/>
      <c r="G68" s="200"/>
      <c r="H68" s="198"/>
      <c r="I68" s="198"/>
      <c r="J68" s="198"/>
      <c r="K68" s="198"/>
    </row>
    <row r="69" spans="2:25" ht="15" customHeight="1" x14ac:dyDescent="0.2">
      <c r="B69" s="498" t="s">
        <v>681</v>
      </c>
      <c r="C69" s="499">
        <f>M12</f>
        <v>0</v>
      </c>
      <c r="D69" s="202"/>
      <c r="E69" s="204"/>
      <c r="F69" s="209"/>
      <c r="G69" s="209"/>
      <c r="H69" s="203"/>
      <c r="I69" s="203"/>
      <c r="J69" s="203"/>
      <c r="K69" s="205"/>
    </row>
    <row r="70" spans="2:25" ht="15" customHeight="1" x14ac:dyDescent="0.2">
      <c r="B70" s="498" t="s">
        <v>682</v>
      </c>
      <c r="C70" s="499">
        <f>N12</f>
        <v>0</v>
      </c>
      <c r="D70" s="202"/>
      <c r="E70" s="204"/>
      <c r="F70" s="209"/>
      <c r="G70" s="209"/>
      <c r="H70" s="203"/>
      <c r="I70" s="203"/>
      <c r="J70" s="203"/>
      <c r="K70" s="205"/>
    </row>
    <row r="71" spans="2:25" ht="15" customHeight="1" x14ac:dyDescent="0.2">
      <c r="B71" s="498" t="s">
        <v>5</v>
      </c>
      <c r="C71" s="499">
        <f>O12</f>
        <v>0</v>
      </c>
      <c r="D71" s="202"/>
      <c r="E71" s="204"/>
      <c r="F71" s="209"/>
      <c r="G71" s="209"/>
      <c r="H71" s="203"/>
      <c r="I71" s="203"/>
      <c r="J71" s="203"/>
      <c r="K71" s="209"/>
    </row>
    <row r="72" spans="2:25" ht="15" customHeight="1" x14ac:dyDescent="0.2">
      <c r="B72" s="498" t="s">
        <v>11</v>
      </c>
      <c r="C72" s="499">
        <f>SUM(J57:J65)+P12</f>
        <v>0</v>
      </c>
      <c r="D72" s="202"/>
      <c r="E72" s="204"/>
      <c r="F72" s="209"/>
      <c r="G72" s="209"/>
      <c r="H72" s="206"/>
      <c r="I72" s="203"/>
      <c r="J72" s="203"/>
      <c r="K72" s="209"/>
    </row>
    <row r="73" spans="2:25" ht="15" customHeight="1" x14ac:dyDescent="0.2">
      <c r="B73" s="498" t="s">
        <v>32</v>
      </c>
      <c r="C73" s="499">
        <f>J66</f>
        <v>0</v>
      </c>
      <c r="D73" s="202"/>
      <c r="E73" s="202"/>
      <c r="F73" s="209"/>
      <c r="G73" s="207"/>
      <c r="H73" s="209"/>
      <c r="I73" s="203"/>
      <c r="J73" s="203"/>
      <c r="K73" s="205"/>
    </row>
    <row r="74" spans="2:25" ht="15" customHeight="1" x14ac:dyDescent="0.2">
      <c r="B74" s="202"/>
      <c r="C74" s="202"/>
      <c r="D74" s="202"/>
      <c r="E74" s="202"/>
      <c r="F74" s="209"/>
      <c r="G74" s="207"/>
      <c r="H74" s="209"/>
      <c r="I74" s="203"/>
      <c r="J74" s="203"/>
      <c r="K74" s="205"/>
    </row>
    <row r="75" spans="2:25" ht="15" customHeight="1" x14ac:dyDescent="0.2">
      <c r="D75" s="120"/>
    </row>
    <row r="76" spans="2:25" ht="15" customHeight="1" x14ac:dyDescent="0.2">
      <c r="D76" s="120"/>
    </row>
    <row r="77" spans="2:25" ht="15" customHeight="1" x14ac:dyDescent="0.2">
      <c r="D77" s="120"/>
    </row>
    <row r="78" spans="2:25" ht="15" customHeight="1" x14ac:dyDescent="0.2">
      <c r="D78" s="120"/>
    </row>
    <row r="79" spans="2:25" ht="15" customHeight="1" x14ac:dyDescent="0.2">
      <c r="D79" s="120"/>
    </row>
    <row r="80" spans="2:25"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M10"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1">
    <mergeCell ref="R10:T10"/>
    <mergeCell ref="C1:J1"/>
    <mergeCell ref="D47:E47"/>
    <mergeCell ref="B56:E56"/>
    <mergeCell ref="F3:G3"/>
    <mergeCell ref="F5:G5"/>
    <mergeCell ref="F7:G7"/>
    <mergeCell ref="C3:D3"/>
    <mergeCell ref="C5:D5"/>
    <mergeCell ref="C7:D7"/>
    <mergeCell ref="M7:O7"/>
  </mergeCells>
  <phoneticPr fontId="0" type="noConversion"/>
  <conditionalFormatting sqref="B9">
    <cfRule type="containsText" dxfId="12924" priority="99" operator="containsText" text="SELECT">
      <formula>NOT(ISERROR(SEARCH("SELECT",B9)))</formula>
    </cfRule>
    <cfRule type="expression" dxfId="12923" priority="100">
      <formula>B9="CURRENCY"</formula>
    </cfRule>
  </conditionalFormatting>
  <conditionalFormatting sqref="B13:B24">
    <cfRule type="expression" dxfId="12922" priority="6">
      <formula>$C13&gt;0</formula>
    </cfRule>
  </conditionalFormatting>
  <conditionalFormatting sqref="B25:B39">
    <cfRule type="expression" dxfId="12921" priority="5">
      <formula>$C25&gt;0</formula>
    </cfRule>
  </conditionalFormatting>
  <conditionalFormatting sqref="B40:B54">
    <cfRule type="expression" dxfId="12920" priority="3">
      <formula>$C40&gt;0</formula>
    </cfRule>
  </conditionalFormatting>
  <conditionalFormatting sqref="B57:B66">
    <cfRule type="expression" dxfId="12919" priority="1">
      <formula>$C57&gt;0</formula>
    </cfRule>
  </conditionalFormatting>
  <conditionalFormatting sqref="C13:C54">
    <cfRule type="cellIs" dxfId="12918" priority="20" operator="lessThan">
      <formula>1</formula>
    </cfRule>
  </conditionalFormatting>
  <conditionalFormatting sqref="C57:C66">
    <cfRule type="cellIs" dxfId="12917" priority="103" operator="equal">
      <formula>0</formula>
    </cfRule>
  </conditionalFormatting>
  <conditionalFormatting sqref="C9:D9">
    <cfRule type="cellIs" dxfId="12916" priority="65" operator="lessThan">
      <formula>0</formula>
    </cfRule>
    <cfRule type="cellIs" dxfId="12915" priority="66" operator="greaterThan">
      <formula>0</formula>
    </cfRule>
  </conditionalFormatting>
  <conditionalFormatting sqref="F13:F54">
    <cfRule type="expression" dxfId="12914" priority="19">
      <formula>C13&gt;0</formula>
    </cfRule>
  </conditionalFormatting>
  <conditionalFormatting sqref="F57:F66">
    <cfRule type="expression" dxfId="12913" priority="63">
      <formula>C57&gt;0</formula>
    </cfRule>
  </conditionalFormatting>
  <conditionalFormatting sqref="F58:F66">
    <cfRule type="expression" dxfId="12912" priority="101">
      <formula>C58&lt;1</formula>
    </cfRule>
  </conditionalFormatting>
  <conditionalFormatting sqref="G13:G54">
    <cfRule type="cellIs" dxfId="12911" priority="18" operator="greaterThan">
      <formula>0</formula>
    </cfRule>
  </conditionalFormatting>
  <conditionalFormatting sqref="G57:G66">
    <cfRule type="cellIs" dxfId="12910" priority="61" operator="greaterThan">
      <formula>0</formula>
    </cfRule>
  </conditionalFormatting>
  <conditionalFormatting sqref="H13:H54">
    <cfRule type="expression" dxfId="12909" priority="25">
      <formula>$C$9&gt;0</formula>
    </cfRule>
    <cfRule type="expression" dxfId="12908" priority="26">
      <formula>$C$9&lt;0</formula>
    </cfRule>
  </conditionalFormatting>
  <conditionalFormatting sqref="H57:H66">
    <cfRule type="expression" dxfId="12907" priority="313">
      <formula>$C$9&gt;0</formula>
    </cfRule>
    <cfRule type="expression" dxfId="12906" priority="314">
      <formula>$C$9&lt;0</formula>
    </cfRule>
  </conditionalFormatting>
  <conditionalFormatting sqref="J2:J6 J75:J1048576">
    <cfRule type="expression" dxfId="12905" priority="303">
      <formula>$B$9="EURO"</formula>
    </cfRule>
  </conditionalFormatting>
  <conditionalFormatting sqref="J8:J67">
    <cfRule type="expression" dxfId="12904" priority="21">
      <formula>$B$9="EURO"</formula>
    </cfRule>
  </conditionalFormatting>
  <conditionalFormatting sqref="J9 J56:J66">
    <cfRule type="expression" dxfId="12903" priority="310">
      <formula>$B$9="USD"</formula>
    </cfRule>
    <cfRule type="expression" dxfId="12902" priority="311">
      <formula>$B$9="PLN"</formula>
    </cfRule>
    <cfRule type="expression" dxfId="12901" priority="312">
      <formula>$B$9="CZK"</formula>
    </cfRule>
  </conditionalFormatting>
  <conditionalFormatting sqref="J12:J54">
    <cfRule type="expression" dxfId="12900" priority="22">
      <formula>$B$9="USD"</formula>
    </cfRule>
    <cfRule type="expression" dxfId="12899" priority="23">
      <formula>$B$9="PLN"</formula>
    </cfRule>
    <cfRule type="expression" dxfId="12898" priority="24">
      <formula>$B$9="CZK"</formula>
    </cfRule>
  </conditionalFormatting>
  <conditionalFormatting sqref="J68:J74">
    <cfRule type="expression" dxfId="12897" priority="93">
      <formula>$F$10="EURO"</formula>
    </cfRule>
  </conditionalFormatting>
  <conditionalFormatting sqref="J13:K54">
    <cfRule type="cellIs" dxfId="12896" priority="17" operator="greaterThan">
      <formula>0</formula>
    </cfRule>
  </conditionalFormatting>
  <conditionalFormatting sqref="J57:K66">
    <cfRule type="cellIs" dxfId="12895" priority="60" operator="greaterThan">
      <formula>0</formula>
    </cfRule>
  </conditionalFormatting>
  <conditionalFormatting sqref="M12:P54">
    <cfRule type="expression" dxfId="12894" priority="8">
      <formula>$B$9="EURO"</formula>
    </cfRule>
    <cfRule type="expression" dxfId="12893" priority="9">
      <formula>$B$9="USD"</formula>
    </cfRule>
    <cfRule type="expression" dxfId="12892" priority="10">
      <formula>$B$9="PLN"</formula>
    </cfRule>
    <cfRule type="expression" dxfId="12891" priority="11">
      <formula>$B$9="CZK"</formula>
    </cfRule>
  </conditionalFormatting>
  <conditionalFormatting sqref="M13:P54">
    <cfRule type="cellIs" dxfId="12890" priority="7" operator="greaterThan">
      <formula>0</formula>
    </cfRule>
  </conditionalFormatting>
  <dataValidations count="3">
    <dataValidation type="list" allowBlank="1" showInputMessage="1" showErrorMessage="1" sqref="D13" xr:uid="{00000000-0002-0000-0600-000000000000}">
      <formula1>FanSize</formula1>
    </dataValidation>
    <dataValidation type="list" allowBlank="1" showInputMessage="1" showErrorMessage="1" sqref="D55" xr:uid="{00000000-0002-0000-0600-000001000000}">
      <formula1>$B$3:$B$15</formula1>
    </dataValidation>
    <dataValidation type="list" allowBlank="1" showInputMessage="1" showErrorMessage="1" sqref="D26" xr:uid="{00000000-0002-0000-0600-000002000000}">
      <formula1>$H$17:$H$21</formula1>
    </dataValidation>
  </dataValidations>
  <printOptions horizontalCentered="1"/>
  <pageMargins left="0.23622047244094491" right="0.35433070866141736" top="0.39370078740157483" bottom="0.39370078740157483" header="0.31496062992125984" footer="0.11811023622047245"/>
  <pageSetup paperSize="9" scale="62" orientation="portrait" r:id="rId1"/>
  <headerFooter alignWithMargins="0">
    <oddFooter>&amp;L&amp;Z&amp;F</oddFooter>
  </headerFooter>
  <ignoredErrors>
    <ignoredError sqref="H56 H12" formula="1"/>
  </ignoredErrors>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600-000003000000}">
          <x14:formula1>
            <xm:f>'Base Costs'!$I$19:$I$23</xm:f>
          </x14:formula1>
          <xm:sqref>D14</xm:sqref>
        </x14:dataValidation>
        <x14:dataValidation type="list" allowBlank="1" showInputMessage="1" showErrorMessage="1" xr:uid="{00000000-0002-0000-0600-000004000000}">
          <x14:formula1>
            <xm:f>'Base Costs'!$I$25:$I$31</xm:f>
          </x14:formula1>
          <xm:sqref>D25</xm:sqref>
        </x14:dataValidation>
        <x14:dataValidation type="list" allowBlank="1" showInputMessage="1" showErrorMessage="1" xr:uid="{00000000-0002-0000-0600-000005000000}">
          <x14:formula1>
            <xm:f>'Base Costs'!$A$4:$A$16</xm:f>
          </x14:formula1>
          <xm:sqref>D58</xm:sqref>
        </x14:dataValidation>
        <x14:dataValidation type="list" allowBlank="1" showInputMessage="1" showErrorMessage="1" xr:uid="{00000000-0002-0000-0600-000006000000}">
          <x14:formula1>
            <xm:f>'Base Costs'!$E$4:$E$213</xm:f>
          </x14:formula1>
          <xm:sqref>D57</xm:sqref>
        </x14:dataValidation>
        <x14:dataValidation type="list" allowBlank="1" showInputMessage="1" showErrorMessage="1" xr:uid="{00000000-0002-0000-0600-000007000000}">
          <x14:formula1>
            <xm:f>'Base Costs'!$I$39:$I$44</xm:f>
          </x14:formula1>
          <xm:sqref>D28</xm:sqref>
        </x14:dataValidation>
        <x14:dataValidation type="list" allowBlank="1" showInputMessage="1" showErrorMessage="1" xr:uid="{00000000-0002-0000-0600-000008000000}">
          <x14:formula1>
            <xm:f>'Base Costs'!$I$12:$I$16</xm:f>
          </x14:formula1>
          <xm:sqref>D15</xm:sqref>
        </x14:dataValidation>
        <x14:dataValidation type="list" allowBlank="1" showInputMessage="1" showErrorMessage="1" xr:uid="{00000000-0002-0000-0600-000009000000}">
          <x14:formula1>
            <xm:f>'Base Costs'!$I$33:$I$37</xm:f>
          </x14:formula1>
          <xm:sqref>D27</xm:sqref>
        </x14:dataValidation>
        <x14:dataValidation type="list" allowBlank="1" showInputMessage="1" showErrorMessage="1" xr:uid="{00000000-0002-0000-0600-00000A000000}">
          <x14:formula1>
            <xm:f>'Base Costs'!$A$32:$A$37</xm:f>
          </x14:formula1>
          <xm:sqref>B9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F088E-8378-EB4F-8279-D21E687F3E9D}">
  <sheetPr>
    <tabColor theme="8" tint="0.79998168889431442"/>
    <pageSetUpPr fitToPage="1"/>
  </sheetPr>
  <dimension ref="A1:AB310"/>
  <sheetViews>
    <sheetView showGridLines="0" topLeftCell="A3" zoomScale="80" zoomScaleNormal="80" zoomScaleSheetLayoutView="50" workbookViewId="0"/>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13"/>
      <c r="F3" s="690" t="s">
        <v>78</v>
      </c>
      <c r="G3" s="1084"/>
      <c r="H3" s="1114"/>
      <c r="I3" s="1114"/>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13"/>
      <c r="F5" s="690" t="s">
        <v>77</v>
      </c>
      <c r="G5" s="1084"/>
      <c r="H5" s="1114"/>
      <c r="I5" s="1114"/>
      <c r="J5" s="1114"/>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13"/>
      <c r="F7" s="690" t="s">
        <v>76</v>
      </c>
      <c r="G7" s="1086"/>
      <c r="H7" s="1115"/>
      <c r="I7" s="1115"/>
      <c r="J7" s="1115"/>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2"/>
      <c r="F9" s="1112"/>
      <c r="G9" s="1125"/>
      <c r="H9" s="1126"/>
      <c r="I9" s="1126"/>
      <c r="J9" s="1126"/>
      <c r="K9" s="703">
        <f>SUBTOTAL(9,K12:K197)</f>
        <v>0</v>
      </c>
      <c r="L9" s="982" t="str">
        <f>IF(O9=0,"-",O9/M9)</f>
        <v>-</v>
      </c>
      <c r="M9" s="703">
        <f>SUBTOTAL(9,M12:M197)</f>
        <v>0</v>
      </c>
      <c r="N9" s="705">
        <f>SUBTOTAL(9,N12:N197)</f>
        <v>0</v>
      </c>
      <c r="O9" s="703">
        <f>SUBTOTAL(9,O12:O197)</f>
        <v>0</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344</v>
      </c>
      <c r="C16" s="752" t="s">
        <v>347</v>
      </c>
      <c r="D16" s="735"/>
      <c r="E16" s="753" t="str">
        <f>IF(C16="","",VLOOKUP(C16,CCBASE!$A$53:$D$73,4,FALSE))</f>
        <v/>
      </c>
      <c r="F16" s="754"/>
      <c r="G16" s="749"/>
      <c r="H16" s="750"/>
      <c r="I16" s="755"/>
      <c r="J16" s="736">
        <f>IF(C16="",0,VLOOKUP(C16,CCBASE!$A$53:$C$73,2,FALSE))</f>
        <v>0</v>
      </c>
      <c r="K16" s="737">
        <f>J16*D16</f>
        <v>0</v>
      </c>
      <c r="L16" s="738">
        <v>0.35</v>
      </c>
      <c r="M16" s="739">
        <f t="shared" si="0"/>
        <v>0</v>
      </c>
      <c r="N16" s="737">
        <f>M16*VLOOKUP($B$9,'Base Costs'!$A$32:$B$37,2,FALSE)</f>
        <v>0</v>
      </c>
      <c r="O16" s="740">
        <f t="shared" si="1"/>
        <v>0</v>
      </c>
      <c r="P16" s="745"/>
      <c r="Q16" s="940"/>
      <c r="S16" s="694"/>
      <c r="Y16" s="673"/>
    </row>
    <row r="17" spans="1:26" ht="15"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customHeight="1" outlineLevel="1" x14ac:dyDescent="0.15">
      <c r="B18" s="992" t="s">
        <v>344</v>
      </c>
      <c r="C18" s="993" t="s">
        <v>1404</v>
      </c>
      <c r="D18" s="994">
        <v>0</v>
      </c>
      <c r="E18" s="995" t="str">
        <f>IF(C18="","",VLOOKUP(C18,CCBASE!$A$53:$D$73,4,FALSE))</f>
        <v>SECTION(S) OF CANOPY</v>
      </c>
      <c r="F18" s="996"/>
      <c r="G18" s="991"/>
      <c r="H18" s="997"/>
      <c r="I18" s="998"/>
      <c r="J18" s="999">
        <f>IF(C18="",0,VLOOKUP(C18,CCBASE!$A$53:$C$73,2,FALSE))</f>
        <v>50</v>
      </c>
      <c r="K18" s="1000">
        <f>J18*D18</f>
        <v>0</v>
      </c>
      <c r="L18" s="1001">
        <v>0.44</v>
      </c>
      <c r="M18" s="1002">
        <f t="shared" si="0"/>
        <v>0</v>
      </c>
      <c r="N18" s="1000">
        <f>M18*VLOOKUP($B$9,'Base Costs'!$A$32:$B$37,2,FALSE)</f>
        <v>0</v>
      </c>
      <c r="O18" s="1003">
        <f t="shared" si="1"/>
        <v>0</v>
      </c>
      <c r="P18" s="1004" t="s">
        <v>1453</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P19" t="s">
        <v>1513</v>
      </c>
      <c r="Q19" t="s">
        <v>1514</v>
      </c>
      <c r="R19" s="217"/>
      <c r="S19" s="229" t="s">
        <v>1515</v>
      </c>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K32" si="2">J24*1</f>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344</v>
      </c>
      <c r="C33" s="752" t="s">
        <v>347</v>
      </c>
      <c r="D33" s="735"/>
      <c r="E33" s="753" t="str">
        <f>IF(C33="","",VLOOKUP(C33,CCBASE!$A$53:$D$73,4,FALSE))</f>
        <v/>
      </c>
      <c r="F33" s="754"/>
      <c r="G33" s="749"/>
      <c r="H33" s="750"/>
      <c r="I33" s="755"/>
      <c r="J33" s="736">
        <f>IF(C33="",0,VLOOKUP(C33,CCBASE!$A$53:$C$73,2,FALSE))</f>
        <v>0</v>
      </c>
      <c r="K33" s="737">
        <f>J33*D33</f>
        <v>0</v>
      </c>
      <c r="L33" s="738">
        <v>0.35</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8"/>
      <c r="F35" s="119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ROUNDUP($F31/1000,0)</f>
        <v>0</v>
      </c>
      <c r="E36" s="1110" t="s">
        <v>1092</v>
      </c>
      <c r="F36" s="1196"/>
      <c r="G36" s="754"/>
      <c r="H36" s="750"/>
      <c r="I36" s="755"/>
      <c r="J36" s="736">
        <f>IF(D36=0,0,VLOOKUP(C36,'Base Costs'!$A$19:$B$22,2,FALSE))</f>
        <v>0</v>
      </c>
      <c r="K36" s="737">
        <f>J36*D36</f>
        <v>0</v>
      </c>
      <c r="L36" s="738">
        <v>0.44</v>
      </c>
      <c r="M36" s="739">
        <f t="shared" si="3"/>
        <v>0</v>
      </c>
      <c r="N36" s="737">
        <f>M36*VLOOKUP($B$9,'Base Costs'!$A$32:$B$37,2,FALSE)</f>
        <v>0</v>
      </c>
      <c r="O36" s="740">
        <f>M36-K36</f>
        <v>0</v>
      </c>
      <c r="P36" t="s">
        <v>1513</v>
      </c>
      <c r="Q36" t="s">
        <v>1514</v>
      </c>
      <c r="R36" s="217"/>
      <c r="S36" s="229" t="s">
        <v>1515</v>
      </c>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269" t="s">
        <v>344</v>
      </c>
      <c r="C50" s="752" t="s">
        <v>347</v>
      </c>
      <c r="D50" s="735"/>
      <c r="E50" s="753" t="str">
        <f>IF(C50="","",VLOOKUP(C50,CCBASE!$A$53:$D$73,4,FALSE))</f>
        <v/>
      </c>
      <c r="F50" s="754"/>
      <c r="G50" s="749"/>
      <c r="H50" s="750"/>
      <c r="I50" s="755"/>
      <c r="J50" s="736">
        <f>IF(C50="",0,VLOOKUP(C50,CCBASE!$A$53:$C$73,2,FALSE))</f>
        <v>0</v>
      </c>
      <c r="K50" s="737">
        <f>J50*D50</f>
        <v>0</v>
      </c>
      <c r="L50" s="738">
        <v>0.35</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ROUNDUP($F48/1000,0)</f>
        <v>0</v>
      </c>
      <c r="E53" s="1110" t="s">
        <v>1092</v>
      </c>
      <c r="F53" s="1196"/>
      <c r="G53" s="754"/>
      <c r="H53" s="750"/>
      <c r="I53" s="755"/>
      <c r="J53" s="736">
        <f>IF(D53=0,0,VLOOKUP(C53,'Base Costs'!$A$19:$B$22,2,FALSE))</f>
        <v>0</v>
      </c>
      <c r="K53" s="737">
        <f>J53*D53</f>
        <v>0</v>
      </c>
      <c r="L53" s="738">
        <v>0.44</v>
      </c>
      <c r="M53" s="739">
        <f t="shared" si="7"/>
        <v>0</v>
      </c>
      <c r="N53" s="737">
        <f>M53*VLOOKUP($B$9,'Base Costs'!$A$32:$B$37,2,FALSE)</f>
        <v>0</v>
      </c>
      <c r="O53" s="740">
        <f>M53-K53</f>
        <v>0</v>
      </c>
      <c r="P53" t="s">
        <v>1513</v>
      </c>
      <c r="Q53" t="s">
        <v>1514</v>
      </c>
      <c r="R53" s="217"/>
      <c r="S53" s="229" t="s">
        <v>1515</v>
      </c>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269" t="s">
        <v>344</v>
      </c>
      <c r="C67" s="752" t="s">
        <v>347</v>
      </c>
      <c r="D67" s="735"/>
      <c r="E67" s="753" t="str">
        <f>IF(C67="","",VLOOKUP(C67,CCBASE!$A$53:$D$73,4,FALSE))</f>
        <v/>
      </c>
      <c r="F67" s="754"/>
      <c r="G67" s="749"/>
      <c r="H67" s="750"/>
      <c r="I67" s="755"/>
      <c r="J67" s="736">
        <f>IF(C67="",0,VLOOKUP(C67,CCBASE!$A$53:$C$73,2,FALSE))</f>
        <v>0</v>
      </c>
      <c r="K67" s="737">
        <f>J67*D67</f>
        <v>0</v>
      </c>
      <c r="L67" s="738">
        <v>0.35</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1"/>
        <v>0</v>
      </c>
      <c r="N70" s="737">
        <f>M70*VLOOKUP($B$9,'Base Costs'!$A$32:$B$37,2,FALSE)</f>
        <v>0</v>
      </c>
      <c r="O70" s="740">
        <f>M70-K70</f>
        <v>0</v>
      </c>
      <c r="P70" t="s">
        <v>1513</v>
      </c>
      <c r="Q70" t="s">
        <v>1514</v>
      </c>
      <c r="R70" s="217"/>
      <c r="S70" s="229" t="s">
        <v>1515</v>
      </c>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217"/>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269" t="s">
        <v>344</v>
      </c>
      <c r="C84" s="752" t="s">
        <v>347</v>
      </c>
      <c r="D84" s="735"/>
      <c r="E84" s="753" t="str">
        <f>IF(C84="","",VLOOKUP(C84,CCBASE!$A$53:$D$73,4,FALSE))</f>
        <v/>
      </c>
      <c r="F84" s="754"/>
      <c r="G84" s="749"/>
      <c r="H84" s="750"/>
      <c r="I84" s="755"/>
      <c r="J84" s="736">
        <f>IF(C84="",0,VLOOKUP(C84,CCBASE!$A$53:$C$73,2,FALSE))</f>
        <v>0</v>
      </c>
      <c r="K84" s="737">
        <f>J84*D84</f>
        <v>0</v>
      </c>
      <c r="L84" s="738">
        <v>0.35</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5"/>
        <v>0</v>
      </c>
      <c r="N87" s="737">
        <f>M87*VLOOKUP($B$9,'Base Costs'!$A$32:$B$37,2,FALSE)</f>
        <v>0</v>
      </c>
      <c r="O87" s="740">
        <f>M87-K87</f>
        <v>0</v>
      </c>
      <c r="P87" t="s">
        <v>1513</v>
      </c>
      <c r="Q87" t="s">
        <v>1514</v>
      </c>
      <c r="R87" s="217"/>
      <c r="S87" s="229" t="s">
        <v>1515</v>
      </c>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269" t="s">
        <v>344</v>
      </c>
      <c r="C101" s="752" t="s">
        <v>347</v>
      </c>
      <c r="D101" s="735"/>
      <c r="E101" s="753" t="str">
        <f>IF(C101="","",VLOOKUP(C101,CCBASE!$A$53:$D$73,4,FALSE))</f>
        <v/>
      </c>
      <c r="F101" s="754"/>
      <c r="G101" s="749"/>
      <c r="H101" s="750"/>
      <c r="I101" s="755"/>
      <c r="J101" s="736">
        <f>IF(C101="",0,VLOOKUP(C101,CCBASE!$A$53:$C$73,2,FALSE))</f>
        <v>0</v>
      </c>
      <c r="K101" s="737">
        <f>J101*D101</f>
        <v>0</v>
      </c>
      <c r="L101" s="738">
        <v>0.35</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19"/>
        <v>0</v>
      </c>
      <c r="N104" s="737">
        <f>M104*VLOOKUP($B$9,'Base Costs'!$A$32:$B$37,2,FALSE)</f>
        <v>0</v>
      </c>
      <c r="O104" s="740">
        <f>M104-K104</f>
        <v>0</v>
      </c>
      <c r="P104" t="s">
        <v>1513</v>
      </c>
      <c r="Q104" t="s">
        <v>1514</v>
      </c>
      <c r="R104" s="217"/>
      <c r="S104" s="229" t="s">
        <v>1515</v>
      </c>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269" t="s">
        <v>344</v>
      </c>
      <c r="C118" s="752" t="s">
        <v>347</v>
      </c>
      <c r="D118" s="735"/>
      <c r="E118" s="753" t="str">
        <f>IF(C118="","",VLOOKUP(C118,CCBASE!$A$53:$D$73,4,FALSE))</f>
        <v/>
      </c>
      <c r="F118" s="754"/>
      <c r="G118" s="749"/>
      <c r="H118" s="750"/>
      <c r="I118" s="755"/>
      <c r="J118" s="736">
        <f>IF(C118="",0,VLOOKUP(C118,CCBASE!$A$53:$C$73,2,FALSE))</f>
        <v>0</v>
      </c>
      <c r="K118" s="737">
        <f>J118*D118</f>
        <v>0</v>
      </c>
      <c r="L118" s="738">
        <v>0.35</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3"/>
        <v>0</v>
      </c>
      <c r="N121" s="737">
        <f>M121*VLOOKUP($B$9,'Base Costs'!$A$32:$B$37,2,FALSE)</f>
        <v>0</v>
      </c>
      <c r="O121" s="740">
        <f>M121-K121</f>
        <v>0</v>
      </c>
      <c r="P121" t="s">
        <v>1513</v>
      </c>
      <c r="Q121" t="s">
        <v>1514</v>
      </c>
      <c r="R121" s="217"/>
      <c r="S121" s="229" t="s">
        <v>1515</v>
      </c>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269" t="s">
        <v>344</v>
      </c>
      <c r="C135" s="752" t="s">
        <v>347</v>
      </c>
      <c r="D135" s="735"/>
      <c r="E135" s="753" t="str">
        <f>IF(C135="","",VLOOKUP(C135,CCBASE!$A$53:$D$73,4,FALSE))</f>
        <v/>
      </c>
      <c r="F135" s="754"/>
      <c r="G135" s="749"/>
      <c r="H135" s="750"/>
      <c r="I135" s="755"/>
      <c r="J135" s="736">
        <f>IF(C135="",0,VLOOKUP(C135,CCBASE!$A$53:$C$73,2,FALSE))</f>
        <v>0</v>
      </c>
      <c r="K135" s="737">
        <f>J135*D135</f>
        <v>0</v>
      </c>
      <c r="L135" s="738">
        <v>0.35</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ROUNDUP($F133/1000,0)</f>
        <v>0</v>
      </c>
      <c r="E138" s="1110" t="s">
        <v>1092</v>
      </c>
      <c r="F138" s="1108"/>
      <c r="G138" s="754"/>
      <c r="H138" s="750"/>
      <c r="I138" s="755"/>
      <c r="J138" s="736">
        <f>IF(D138=0,0,VLOOKUP(C138,'Base Costs'!$A$19:$B$22,2,FALSE))</f>
        <v>0</v>
      </c>
      <c r="K138" s="737">
        <f>J138*D138</f>
        <v>0</v>
      </c>
      <c r="L138" s="738">
        <v>0.44</v>
      </c>
      <c r="M138" s="739">
        <f t="shared" si="27"/>
        <v>0</v>
      </c>
      <c r="N138" s="737">
        <f>M138*VLOOKUP($B$9,'Base Costs'!$A$32:$B$37,2,FALSE)</f>
        <v>0</v>
      </c>
      <c r="O138" s="740">
        <f>M138-K138</f>
        <v>0</v>
      </c>
      <c r="P138" t="s">
        <v>1513</v>
      </c>
      <c r="Q138" t="s">
        <v>1514</v>
      </c>
      <c r="R138" s="217"/>
      <c r="S138" s="229" t="s">
        <v>1515</v>
      </c>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269" t="s">
        <v>344</v>
      </c>
      <c r="C152" s="752" t="s">
        <v>347</v>
      </c>
      <c r="D152" s="735"/>
      <c r="E152" s="753" t="str">
        <f>IF(C152="","",VLOOKUP(C152,CCBASE!$A$53:$D$73,4,FALSE))</f>
        <v/>
      </c>
      <c r="F152" s="754"/>
      <c r="G152" s="749"/>
      <c r="H152" s="750"/>
      <c r="I152" s="755"/>
      <c r="J152" s="736">
        <f>IF(C152="",0,VLOOKUP(C152,CCBASE!$A$53:$C$73,2,FALSE))</f>
        <v>0</v>
      </c>
      <c r="K152" s="737">
        <f>J152*D152</f>
        <v>0</v>
      </c>
      <c r="L152" s="738">
        <v>0.35</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1"/>
        <v>0</v>
      </c>
      <c r="N155" s="737">
        <f>M155*VLOOKUP($B$9,'Base Costs'!$A$32:$B$37,2,FALSE)</f>
        <v>0</v>
      </c>
      <c r="O155" s="740">
        <f>M155-K155</f>
        <v>0</v>
      </c>
      <c r="P155" t="s">
        <v>1513</v>
      </c>
      <c r="Q155" t="s">
        <v>1514</v>
      </c>
      <c r="R155" s="217"/>
      <c r="S155" s="229" t="s">
        <v>1515</v>
      </c>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269" t="s">
        <v>344</v>
      </c>
      <c r="C169" s="752" t="s">
        <v>347</v>
      </c>
      <c r="D169" s="735"/>
      <c r="E169" s="753" t="str">
        <f>IF(C169="","",VLOOKUP(C169,CCBASE!$A$53:$D$73,4,FALSE))</f>
        <v/>
      </c>
      <c r="F169" s="754"/>
      <c r="G169" s="749"/>
      <c r="H169" s="750"/>
      <c r="I169" s="755"/>
      <c r="J169" s="736">
        <f>IF(C169="",0,VLOOKUP(C169,CCBASE!$A$53:$C$73,2,FALSE))</f>
        <v>0</v>
      </c>
      <c r="K169" s="737">
        <f>J169*D169</f>
        <v>0</v>
      </c>
      <c r="L169" s="738">
        <v>0.35</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35"/>
        <v>0</v>
      </c>
      <c r="N172" s="737">
        <f>M172*VLOOKUP($B$9,'Base Costs'!$A$32:$B$37,2,FALSE)</f>
        <v>0</v>
      </c>
      <c r="O172" s="740">
        <f>M172-K172</f>
        <v>0</v>
      </c>
      <c r="P172" t="s">
        <v>1513</v>
      </c>
      <c r="Q172" t="s">
        <v>1514</v>
      </c>
      <c r="R172" s="217"/>
      <c r="S172" s="229" t="s">
        <v>1515</v>
      </c>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IF(K182=0,"-",O182/M182)</f>
        <v>-</v>
      </c>
      <c r="M182" s="723">
        <f>SUBTOTAL(9,M183:M197)</f>
        <v>0</v>
      </c>
      <c r="N182" s="705">
        <f>SUBTOTAL(9,N183:N197)</f>
        <v>0</v>
      </c>
      <c r="O182" s="703">
        <f>SUBTOTAL(9,O183:O197)</f>
        <v>0</v>
      </c>
      <c r="S182" s="694"/>
    </row>
    <row r="183" spans="1:25" ht="15" customHeight="1" x14ac:dyDescent="0.15">
      <c r="A183" s="666">
        <v>222</v>
      </c>
      <c r="B183" s="589" t="s">
        <v>1133</v>
      </c>
      <c r="C183" s="774"/>
      <c r="D183" s="775" t="s">
        <v>48</v>
      </c>
      <c r="E183" s="1118" t="s">
        <v>732</v>
      </c>
      <c r="F183" s="1119"/>
      <c r="G183" s="1109"/>
      <c r="H183" s="1109"/>
      <c r="I183" s="110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7"/>
      <c r="F186" s="1108"/>
      <c r="G186" s="1109"/>
      <c r="H186" s="1109"/>
      <c r="I186" s="110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6" t="s">
        <v>1495</v>
      </c>
      <c r="E193" s="1117"/>
      <c r="F193" s="111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10996" priority="687" operator="containsText" text="SELECT">
      <formula>NOT(ISERROR(SEARCH("SELECT",B9)))</formula>
    </cfRule>
    <cfRule type="expression" dxfId="10995" priority="688">
      <formula>B9="CURRENCY"</formula>
    </cfRule>
  </conditionalFormatting>
  <conditionalFormatting sqref="B11">
    <cfRule type="expression" dxfId="10994" priority="650">
      <formula>$B11&lt;&gt;""</formula>
    </cfRule>
  </conditionalFormatting>
  <conditionalFormatting sqref="B14:B23">
    <cfRule type="expression" dxfId="10993" priority="642">
      <formula>$J14&gt;0</formula>
    </cfRule>
  </conditionalFormatting>
  <conditionalFormatting sqref="B24">
    <cfRule type="expression" dxfId="10992" priority="639">
      <formula>ISNUMBER(SEARCH("UV",$D14))</formula>
    </cfRule>
    <cfRule type="expression" dxfId="10991" priority="640">
      <formula>($D14="CANOPY TYPE")</formula>
    </cfRule>
  </conditionalFormatting>
  <conditionalFormatting sqref="B25:B27">
    <cfRule type="expression" dxfId="10990" priority="455">
      <formula>$J25&gt;0</formula>
    </cfRule>
  </conditionalFormatting>
  <conditionalFormatting sqref="B28">
    <cfRule type="expression" dxfId="10989" priority="648">
      <formula>$B28&lt;&gt;""</formula>
    </cfRule>
  </conditionalFormatting>
  <conditionalFormatting sqref="B31:B32 B34:B40">
    <cfRule type="expression" dxfId="10988" priority="400">
      <formula>$J31&gt;0</formula>
    </cfRule>
  </conditionalFormatting>
  <conditionalFormatting sqref="B41">
    <cfRule type="expression" dxfId="10987" priority="607">
      <formula>ISNUMBER(SEARCH("UV",$D31))</formula>
    </cfRule>
    <cfRule type="expression" dxfId="10986" priority="608">
      <formula>($D31="CANOPY TYPE")</formula>
    </cfRule>
  </conditionalFormatting>
  <conditionalFormatting sqref="B42:B44">
    <cfRule type="expression" dxfId="10985" priority="609">
      <formula>$J42&gt;0</formula>
    </cfRule>
  </conditionalFormatting>
  <conditionalFormatting sqref="B45">
    <cfRule type="expression" dxfId="10984" priority="647">
      <formula>$B45&lt;&gt;""</formula>
    </cfRule>
  </conditionalFormatting>
  <conditionalFormatting sqref="B48:B49 B51:B57">
    <cfRule type="expression" dxfId="10983" priority="374">
      <formula>$J48&gt;0</formula>
    </cfRule>
  </conditionalFormatting>
  <conditionalFormatting sqref="B58">
    <cfRule type="expression" dxfId="10982" priority="577">
      <formula>ISNUMBER(SEARCH("UV",$D48))</formula>
    </cfRule>
    <cfRule type="expression" dxfId="10981" priority="578">
      <formula>($D48="CANOPY TYPE")</formula>
    </cfRule>
  </conditionalFormatting>
  <conditionalFormatting sqref="B59:B61">
    <cfRule type="expression" dxfId="10980" priority="454">
      <formula>$J59&gt;0</formula>
    </cfRule>
  </conditionalFormatting>
  <conditionalFormatting sqref="B62">
    <cfRule type="expression" dxfId="10979" priority="646">
      <formula>$B62&lt;&gt;""</formula>
    </cfRule>
  </conditionalFormatting>
  <conditionalFormatting sqref="B65:B66 B68:B74">
    <cfRule type="expression" dxfId="10978" priority="348">
      <formula>$J65&gt;0</formula>
    </cfRule>
  </conditionalFormatting>
  <conditionalFormatting sqref="B75">
    <cfRule type="expression" dxfId="10977" priority="546">
      <formula>ISNUMBER(SEARCH("UV",$D65))</formula>
    </cfRule>
    <cfRule type="expression" dxfId="10976" priority="547">
      <formula>($D65="CANOPY TYPE")</formula>
    </cfRule>
  </conditionalFormatting>
  <conditionalFormatting sqref="B76:B78">
    <cfRule type="expression" dxfId="10975" priority="453">
      <formula>$J76&gt;0</formula>
    </cfRule>
  </conditionalFormatting>
  <conditionalFormatting sqref="B79">
    <cfRule type="expression" dxfId="10974" priority="645">
      <formula>$B79&lt;&gt;""</formula>
    </cfRule>
  </conditionalFormatting>
  <conditionalFormatting sqref="B82:B83 B85:B91">
    <cfRule type="expression" dxfId="10973" priority="322">
      <formula>$J82&gt;0</formula>
    </cfRule>
  </conditionalFormatting>
  <conditionalFormatting sqref="B92">
    <cfRule type="expression" dxfId="10972" priority="514">
      <formula>ISNUMBER(SEARCH("UV",$D82))</formula>
    </cfRule>
    <cfRule type="expression" dxfId="10971" priority="515">
      <formula>($D82="CANOPY TYPE")</formula>
    </cfRule>
  </conditionalFormatting>
  <conditionalFormatting sqref="B93:B95">
    <cfRule type="expression" dxfId="10970" priority="452">
      <formula>$J93&gt;0</formula>
    </cfRule>
  </conditionalFormatting>
  <conditionalFormatting sqref="B96">
    <cfRule type="expression" dxfId="10969" priority="644">
      <formula>$B96&lt;&gt;""</formula>
    </cfRule>
  </conditionalFormatting>
  <conditionalFormatting sqref="B99:B100 B102:B108">
    <cfRule type="expression" dxfId="10968" priority="296">
      <formula>$J99&gt;0</formula>
    </cfRule>
  </conditionalFormatting>
  <conditionalFormatting sqref="B109">
    <cfRule type="expression" dxfId="10967" priority="483">
      <formula>ISNUMBER(SEARCH("UV",$D99))</formula>
    </cfRule>
    <cfRule type="expression" dxfId="10966" priority="484">
      <formula>($D99="CANOPY TYPE")</formula>
    </cfRule>
  </conditionalFormatting>
  <conditionalFormatting sqref="B110:B112 B127:B129 B144:B146 B161:B163 B178:B180">
    <cfRule type="expression" dxfId="10965" priority="451">
      <formula>$J110&gt;0</formula>
    </cfRule>
  </conditionalFormatting>
  <conditionalFormatting sqref="B113">
    <cfRule type="expression" dxfId="10964" priority="288">
      <formula>$B113&lt;&gt;""</formula>
    </cfRule>
  </conditionalFormatting>
  <conditionalFormatting sqref="B116:B117 B119:B125">
    <cfRule type="expression" dxfId="10963" priority="231">
      <formula>$J116&gt;0</formula>
    </cfRule>
  </conditionalFormatting>
  <conditionalFormatting sqref="B126">
    <cfRule type="expression" dxfId="10962" priority="260">
      <formula>ISNUMBER(SEARCH("UV",$D116))</formula>
    </cfRule>
    <cfRule type="expression" dxfId="10961" priority="261">
      <formula>($D116="CANOPY TYPE")</formula>
    </cfRule>
  </conditionalFormatting>
  <conditionalFormatting sqref="B130">
    <cfRule type="expression" dxfId="10960" priority="219">
      <formula>$B130&lt;&gt;""</formula>
    </cfRule>
  </conditionalFormatting>
  <conditionalFormatting sqref="B133:B134 B136:B142">
    <cfRule type="expression" dxfId="10959" priority="168">
      <formula>$J133&gt;0</formula>
    </cfRule>
  </conditionalFormatting>
  <conditionalFormatting sqref="B143">
    <cfRule type="expression" dxfId="10958" priority="191">
      <formula>ISNUMBER(SEARCH("UV",$D133))</formula>
    </cfRule>
    <cfRule type="expression" dxfId="10957" priority="192">
      <formula>($D133="CANOPY TYPE")</formula>
    </cfRule>
  </conditionalFormatting>
  <conditionalFormatting sqref="B147">
    <cfRule type="expression" dxfId="10956" priority="164">
      <formula>$B147&lt;&gt;""</formula>
    </cfRule>
  </conditionalFormatting>
  <conditionalFormatting sqref="B150:B151 B153:B159">
    <cfRule type="expression" dxfId="10955" priority="113">
      <formula>$J150&gt;0</formula>
    </cfRule>
  </conditionalFormatting>
  <conditionalFormatting sqref="B160">
    <cfRule type="expression" dxfId="10954" priority="136">
      <formula>ISNUMBER(SEARCH("UV",$D150))</formula>
    </cfRule>
    <cfRule type="expression" dxfId="10953" priority="137">
      <formula>($D150="CANOPY TYPE")</formula>
    </cfRule>
  </conditionalFormatting>
  <conditionalFormatting sqref="B164">
    <cfRule type="expression" dxfId="10952" priority="109">
      <formula>$B164&lt;&gt;""</formula>
    </cfRule>
  </conditionalFormatting>
  <conditionalFormatting sqref="B167:B168 B170:B176">
    <cfRule type="expression" dxfId="10951" priority="58">
      <formula>$J167&gt;0</formula>
    </cfRule>
  </conditionalFormatting>
  <conditionalFormatting sqref="B177">
    <cfRule type="expression" dxfId="10950" priority="81">
      <formula>ISNUMBER(SEARCH("UV",$D167))</formula>
    </cfRule>
    <cfRule type="expression" dxfId="10949" priority="82">
      <formula>($D167="CANOPY TYPE")</formula>
    </cfRule>
  </conditionalFormatting>
  <conditionalFormatting sqref="B183:B197">
    <cfRule type="expression" dxfId="10948" priority="641">
      <formula>$C183&gt;0</formula>
    </cfRule>
  </conditionalFormatting>
  <conditionalFormatting sqref="C14">
    <cfRule type="containsText" dxfId="10947" priority="441" operator="containsText" text="CONFIG">
      <formula>NOT(ISERROR(SEARCH("CONFIG",C14)))</formula>
    </cfRule>
  </conditionalFormatting>
  <conditionalFormatting sqref="C15">
    <cfRule type="containsText" dxfId="10946" priority="446" operator="containsText" text="LIGHT SELECTION">
      <formula>NOT(ISERROR(SEARCH("LIGHT SELECTION",C15)))</formula>
    </cfRule>
  </conditionalFormatting>
  <conditionalFormatting sqref="C20:C21">
    <cfRule type="cellIs" dxfId="10943" priority="693" operator="lessThan">
      <formula>1</formula>
    </cfRule>
  </conditionalFormatting>
  <conditionalFormatting sqref="C22:C23">
    <cfRule type="expression" dxfId="10942" priority="421">
      <formula>D22="WW PODS"</formula>
    </cfRule>
  </conditionalFormatting>
  <conditionalFormatting sqref="C24">
    <cfRule type="expression" dxfId="10941" priority="710">
      <formula>ISNUMBER(SEARCH("UV",D14))</formula>
    </cfRule>
  </conditionalFormatting>
  <conditionalFormatting sqref="C25">
    <cfRule type="expression" dxfId="10940" priority="675">
      <formula>(ISNUMBER(SEARCH("CMW",D14)))=TRUE</formula>
    </cfRule>
  </conditionalFormatting>
  <conditionalFormatting sqref="C26">
    <cfRule type="expression" dxfId="10939" priority="674">
      <formula>(ISNUMBER(SEARCH("CMW",D14)))=TRUE</formula>
    </cfRule>
  </conditionalFormatting>
  <conditionalFormatting sqref="C27">
    <cfRule type="expression" dxfId="10938" priority="643">
      <formula>(ISNUMBER(SEARCH("CMW",$D14)))=TRUE</formula>
    </cfRule>
  </conditionalFormatting>
  <conditionalFormatting sqref="C31">
    <cfRule type="containsText" dxfId="10937" priority="618" operator="containsText" text="CONFIG">
      <formula>NOT(ISERROR(SEARCH("CONFIG",C31)))</formula>
    </cfRule>
  </conditionalFormatting>
  <conditionalFormatting sqref="C32">
    <cfRule type="containsText" dxfId="10936" priority="448" operator="containsText" text="LIGHT SELECTION">
      <formula>NOT(ISERROR(SEARCH("LIGHT SELECTION",C32)))</formula>
    </cfRule>
  </conditionalFormatting>
  <conditionalFormatting sqref="C37:C38">
    <cfRule type="cellIs" dxfId="10933" priority="617" operator="lessThan">
      <formula>1</formula>
    </cfRule>
  </conditionalFormatting>
  <conditionalFormatting sqref="C39:C40">
    <cfRule type="expression" dxfId="10932" priority="399">
      <formula>D39="WW PODS"</formula>
    </cfRule>
  </conditionalFormatting>
  <conditionalFormatting sqref="C41">
    <cfRule type="expression" dxfId="10931" priority="632">
      <formula>ISNUMBER(SEARCH("UV",D31))</formula>
    </cfRule>
  </conditionalFormatting>
  <conditionalFormatting sqref="C42">
    <cfRule type="expression" dxfId="10930" priority="615">
      <formula>(ISNUMBER(SEARCH("CMW",D31)))=TRUE</formula>
    </cfRule>
  </conditionalFormatting>
  <conditionalFormatting sqref="C43">
    <cfRule type="expression" dxfId="10929" priority="480">
      <formula>(ISNUMBER(SEARCH("CMW",D31)))=TRUE</formula>
    </cfRule>
  </conditionalFormatting>
  <conditionalFormatting sqref="C44">
    <cfRule type="expression" dxfId="10928" priority="610">
      <formula>(ISNUMBER(SEARCH("CMW",$D31)))=TRUE</formula>
    </cfRule>
  </conditionalFormatting>
  <conditionalFormatting sqref="C48">
    <cfRule type="containsText" dxfId="10927" priority="587" operator="containsText" text="CONFIG">
      <formula>NOT(ISERROR(SEARCH("CONFIG",C48)))</formula>
    </cfRule>
  </conditionalFormatting>
  <conditionalFormatting sqref="C49">
    <cfRule type="containsText" dxfId="10926" priority="445" operator="containsText" text="LIGHT SELECTION">
      <formula>NOT(ISERROR(SEARCH("LIGHT SELECTION",C49)))</formula>
    </cfRule>
  </conditionalFormatting>
  <conditionalFormatting sqref="C54:C55">
    <cfRule type="cellIs" dxfId="10923" priority="586" operator="lessThan">
      <formula>1</formula>
    </cfRule>
  </conditionalFormatting>
  <conditionalFormatting sqref="C56:C57">
    <cfRule type="expression" dxfId="10922" priority="373">
      <formula>D56="WW PODS"</formula>
    </cfRule>
  </conditionalFormatting>
  <conditionalFormatting sqref="C58">
    <cfRule type="expression" dxfId="10921" priority="600">
      <formula>ISNUMBER(SEARCH("UV",D48))</formula>
    </cfRule>
  </conditionalFormatting>
  <conditionalFormatting sqref="C59">
    <cfRule type="expression" dxfId="10920" priority="584">
      <formula>(ISNUMBER(SEARCH("CMW",D48)))=TRUE</formula>
    </cfRule>
  </conditionalFormatting>
  <conditionalFormatting sqref="C60">
    <cfRule type="expression" dxfId="10919" priority="479">
      <formula>(ISNUMBER(SEARCH("CMW",D48)))=TRUE</formula>
    </cfRule>
  </conditionalFormatting>
  <conditionalFormatting sqref="C61">
    <cfRule type="expression" dxfId="10918" priority="579">
      <formula>(ISNUMBER(SEARCH("CMW",$D48)))=TRUE</formula>
    </cfRule>
  </conditionalFormatting>
  <conditionalFormatting sqref="C65">
    <cfRule type="containsText" dxfId="10917" priority="557" operator="containsText" text="CONFIG">
      <formula>NOT(ISERROR(SEARCH("CONFIG",C65)))</formula>
    </cfRule>
  </conditionalFormatting>
  <conditionalFormatting sqref="C66">
    <cfRule type="containsText" dxfId="10916" priority="444" operator="containsText" text="LIGHT SELECTION">
      <formula>NOT(ISERROR(SEARCH("LIGHT SELECTION",C66)))</formula>
    </cfRule>
  </conditionalFormatting>
  <conditionalFormatting sqref="C71:C72">
    <cfRule type="cellIs" dxfId="10913" priority="556" operator="lessThan">
      <formula>1</formula>
    </cfRule>
  </conditionalFormatting>
  <conditionalFormatting sqref="C73:C74">
    <cfRule type="expression" dxfId="10912" priority="347">
      <formula>D73="WW PODS"</formula>
    </cfRule>
  </conditionalFormatting>
  <conditionalFormatting sqref="C75">
    <cfRule type="expression" dxfId="10911" priority="570">
      <formula>ISNUMBER(SEARCH("UV",D65))</formula>
    </cfRule>
  </conditionalFormatting>
  <conditionalFormatting sqref="C76">
    <cfRule type="expression" dxfId="10910" priority="553">
      <formula>(ISNUMBER(SEARCH("CMW",D65)))=TRUE</formula>
    </cfRule>
  </conditionalFormatting>
  <conditionalFormatting sqref="C77">
    <cfRule type="expression" dxfId="10909" priority="478">
      <formula>(ISNUMBER(SEARCH("CMW",D65)))=TRUE</formula>
    </cfRule>
  </conditionalFormatting>
  <conditionalFormatting sqref="C78">
    <cfRule type="expression" dxfId="10908" priority="548">
      <formula>(ISNUMBER(SEARCH("CMW",$D65)))=TRUE</formula>
    </cfRule>
  </conditionalFormatting>
  <conditionalFormatting sqref="C82">
    <cfRule type="containsText" dxfId="10907" priority="525" operator="containsText" text="CONFIG">
      <formula>NOT(ISERROR(SEARCH("CONFIG",C82)))</formula>
    </cfRule>
  </conditionalFormatting>
  <conditionalFormatting sqref="C83">
    <cfRule type="containsText" dxfId="10906" priority="443" operator="containsText" text="LIGHT SELECTION">
      <formula>NOT(ISERROR(SEARCH("LIGHT SELECTION",C83)))</formula>
    </cfRule>
  </conditionalFormatting>
  <conditionalFormatting sqref="C88:C89">
    <cfRule type="cellIs" dxfId="10903" priority="524" operator="lessThan">
      <formula>1</formula>
    </cfRule>
  </conditionalFormatting>
  <conditionalFormatting sqref="C90:C91">
    <cfRule type="expression" dxfId="10902" priority="321">
      <formula>D90="WW PODS"</formula>
    </cfRule>
  </conditionalFormatting>
  <conditionalFormatting sqref="C92">
    <cfRule type="expression" dxfId="10901" priority="539">
      <formula>ISNUMBER(SEARCH("UV",D82))</formula>
    </cfRule>
  </conditionalFormatting>
  <conditionalFormatting sqref="C93">
    <cfRule type="expression" dxfId="10900" priority="521">
      <formula>(ISNUMBER(SEARCH("CMW",D82)))=TRUE</formula>
    </cfRule>
  </conditionalFormatting>
  <conditionalFormatting sqref="C94">
    <cfRule type="expression" dxfId="10899" priority="477">
      <formula>(ISNUMBER(SEARCH("CMW",D82)))=TRUE</formula>
    </cfRule>
  </conditionalFormatting>
  <conditionalFormatting sqref="C95">
    <cfRule type="expression" dxfId="10898" priority="516">
      <formula>(ISNUMBER(SEARCH("CMW",$D82)))=TRUE</formula>
    </cfRule>
  </conditionalFormatting>
  <conditionalFormatting sqref="C99">
    <cfRule type="containsText" dxfId="10897" priority="493" operator="containsText" text="CONFIG">
      <formula>NOT(ISERROR(SEARCH("CONFIG",C99)))</formula>
    </cfRule>
  </conditionalFormatting>
  <conditionalFormatting sqref="C100">
    <cfRule type="containsText" dxfId="10896" priority="442" operator="containsText" text="LIGHT SELECTION">
      <formula>NOT(ISERROR(SEARCH("LIGHT SELECTION",C100)))</formula>
    </cfRule>
  </conditionalFormatting>
  <conditionalFormatting sqref="C105:C106">
    <cfRule type="cellIs" dxfId="10893" priority="492" operator="lessThan">
      <formula>1</formula>
    </cfRule>
  </conditionalFormatting>
  <conditionalFormatting sqref="C107:C108">
    <cfRule type="expression" dxfId="10892" priority="295">
      <formula>D107="WW PODS"</formula>
    </cfRule>
  </conditionalFormatting>
  <conditionalFormatting sqref="C109">
    <cfRule type="expression" dxfId="10891" priority="507">
      <formula>ISNUMBER(SEARCH("UV",D99))</formula>
    </cfRule>
  </conditionalFormatting>
  <conditionalFormatting sqref="C110">
    <cfRule type="expression" dxfId="10890" priority="490">
      <formula>(ISNUMBER(SEARCH("CMW",D99)))=TRUE</formula>
    </cfRule>
  </conditionalFormatting>
  <conditionalFormatting sqref="C111">
    <cfRule type="expression" dxfId="10889" priority="476">
      <formula>(ISNUMBER(SEARCH("CMW",D99)))=TRUE</formula>
    </cfRule>
  </conditionalFormatting>
  <conditionalFormatting sqref="C112 C129 C146 C163 C180">
    <cfRule type="expression" dxfId="10888" priority="485">
      <formula>(ISNUMBER(SEARCH("CMW",$D99)))=TRUE</formula>
    </cfRule>
  </conditionalFormatting>
  <conditionalFormatting sqref="C116">
    <cfRule type="containsText" dxfId="10887" priority="269" operator="containsText" text="CONFIG">
      <formula>NOT(ISERROR(SEARCH("CONFIG",C116)))</formula>
    </cfRule>
  </conditionalFormatting>
  <conditionalFormatting sqref="C117">
    <cfRule type="containsText" dxfId="10886" priority="253" operator="containsText" text="LIGHT SELECTION">
      <formula>NOT(ISERROR(SEARCH("LIGHT SELECTION",C117)))</formula>
    </cfRule>
  </conditionalFormatting>
  <conditionalFormatting sqref="C122:C123">
    <cfRule type="cellIs" dxfId="10883" priority="268" operator="lessThan">
      <formula>1</formula>
    </cfRule>
  </conditionalFormatting>
  <conditionalFormatting sqref="C124:C125">
    <cfRule type="expression" dxfId="10882" priority="230">
      <formula>D124="WW PODS"</formula>
    </cfRule>
  </conditionalFormatting>
  <conditionalFormatting sqref="C126">
    <cfRule type="expression" dxfId="10881" priority="283">
      <formula>ISNUMBER(SEARCH("UV",D116))</formula>
    </cfRule>
  </conditionalFormatting>
  <conditionalFormatting sqref="C127">
    <cfRule type="expression" dxfId="10880" priority="266">
      <formula>(ISNUMBER(SEARCH("CMW",D116)))=TRUE</formula>
    </cfRule>
  </conditionalFormatting>
  <conditionalFormatting sqref="C128">
    <cfRule type="expression" dxfId="10879" priority="258">
      <formula>(ISNUMBER(SEARCH("CMW",D116)))=TRUE</formula>
    </cfRule>
  </conditionalFormatting>
  <conditionalFormatting sqref="C133">
    <cfRule type="containsText" dxfId="10878" priority="200" operator="containsText" text="CONFIG">
      <formula>NOT(ISERROR(SEARCH("CONFIG",C133)))</formula>
    </cfRule>
  </conditionalFormatting>
  <conditionalFormatting sqref="C134">
    <cfRule type="containsText" dxfId="10877" priority="184" operator="containsText" text="LIGHT SELECTION">
      <formula>NOT(ISERROR(SEARCH("LIGHT SELECTION",C134)))</formula>
    </cfRule>
  </conditionalFormatting>
  <conditionalFormatting sqref="C139:C140">
    <cfRule type="cellIs" dxfId="10874" priority="199" operator="lessThan">
      <formula>1</formula>
    </cfRule>
  </conditionalFormatting>
  <conditionalFormatting sqref="C141:C142">
    <cfRule type="expression" dxfId="10873" priority="167">
      <formula>D141="WW PODS"</formula>
    </cfRule>
  </conditionalFormatting>
  <conditionalFormatting sqref="C143">
    <cfRule type="expression" dxfId="10872" priority="214">
      <formula>ISNUMBER(SEARCH("UV",D133))</formula>
    </cfRule>
  </conditionalFormatting>
  <conditionalFormatting sqref="C144">
    <cfRule type="expression" dxfId="10871" priority="197">
      <formula>(ISNUMBER(SEARCH("CMW",D133)))=TRUE</formula>
    </cfRule>
  </conditionalFormatting>
  <conditionalFormatting sqref="C145">
    <cfRule type="expression" dxfId="10870" priority="189">
      <formula>(ISNUMBER(SEARCH("CMW",D133)))=TRUE</formula>
    </cfRule>
  </conditionalFormatting>
  <conditionalFormatting sqref="C150">
    <cfRule type="containsText" dxfId="10869" priority="145" operator="containsText" text="CONFIG">
      <formula>NOT(ISERROR(SEARCH("CONFIG",C150)))</formula>
    </cfRule>
  </conditionalFormatting>
  <conditionalFormatting sqref="C151">
    <cfRule type="containsText" dxfId="10868" priority="129" operator="containsText" text="LIGHT SELECTION">
      <formula>NOT(ISERROR(SEARCH("LIGHT SELECTION",C151)))</formula>
    </cfRule>
  </conditionalFormatting>
  <conditionalFormatting sqref="C156:C157">
    <cfRule type="cellIs" dxfId="10865" priority="144" operator="lessThan">
      <formula>1</formula>
    </cfRule>
  </conditionalFormatting>
  <conditionalFormatting sqref="C158:C159">
    <cfRule type="expression" dxfId="10864" priority="112">
      <formula>D158="WW PODS"</formula>
    </cfRule>
  </conditionalFormatting>
  <conditionalFormatting sqref="C160">
    <cfRule type="expression" dxfId="10863" priority="159">
      <formula>ISNUMBER(SEARCH("UV",D150))</formula>
    </cfRule>
  </conditionalFormatting>
  <conditionalFormatting sqref="C161">
    <cfRule type="expression" dxfId="10862" priority="142">
      <formula>(ISNUMBER(SEARCH("CMW",D150)))=TRUE</formula>
    </cfRule>
  </conditionalFormatting>
  <conditionalFormatting sqref="C162">
    <cfRule type="expression" dxfId="10861" priority="134">
      <formula>(ISNUMBER(SEARCH("CMW",D150)))=TRUE</formula>
    </cfRule>
  </conditionalFormatting>
  <conditionalFormatting sqref="C167">
    <cfRule type="containsText" dxfId="10860" priority="90" operator="containsText" text="CONFIG">
      <formula>NOT(ISERROR(SEARCH("CONFIG",C167)))</formula>
    </cfRule>
  </conditionalFormatting>
  <conditionalFormatting sqref="C168">
    <cfRule type="containsText" dxfId="10859" priority="74" operator="containsText" text="LIGHT SELECTION">
      <formula>NOT(ISERROR(SEARCH("LIGHT SELECTION",C168)))</formula>
    </cfRule>
  </conditionalFormatting>
  <conditionalFormatting sqref="C173:C174">
    <cfRule type="cellIs" dxfId="10856" priority="89" operator="lessThan">
      <formula>1</formula>
    </cfRule>
  </conditionalFormatting>
  <conditionalFormatting sqref="C175:C176">
    <cfRule type="expression" dxfId="10855" priority="57">
      <formula>D175="WW PODS"</formula>
    </cfRule>
  </conditionalFormatting>
  <conditionalFormatting sqref="C177">
    <cfRule type="expression" dxfId="10854" priority="104">
      <formula>ISNUMBER(SEARCH("UV",D167))</formula>
    </cfRule>
  </conditionalFormatting>
  <conditionalFormatting sqref="C178">
    <cfRule type="expression" dxfId="10853" priority="87">
      <formula>(ISNUMBER(SEARCH("CMW",D167)))=TRUE</formula>
    </cfRule>
  </conditionalFormatting>
  <conditionalFormatting sqref="C179">
    <cfRule type="expression" dxfId="10852" priority="79">
      <formula>(ISNUMBER(SEARCH("CMW",D167)))=TRUE</formula>
    </cfRule>
  </conditionalFormatting>
  <conditionalFormatting sqref="C183:C184">
    <cfRule type="cellIs" dxfId="10851" priority="695" operator="lessThan">
      <formula>1</formula>
    </cfRule>
  </conditionalFormatting>
  <conditionalFormatting sqref="C185">
    <cfRule type="cellIs" dxfId="10850" priority="684" operator="lessThan">
      <formula>1</formula>
    </cfRule>
  </conditionalFormatting>
  <conditionalFormatting sqref="C186:C197">
    <cfRule type="cellIs" dxfId="10849" priority="224" operator="lessThan">
      <formula>1</formula>
    </cfRule>
  </conditionalFormatting>
  <conditionalFormatting sqref="C9:D9">
    <cfRule type="cellIs" dxfId="10848" priority="685" operator="lessThan">
      <formula>0</formula>
    </cfRule>
    <cfRule type="cellIs" dxfId="10847" priority="686" operator="greaterThan">
      <formula>0</formula>
    </cfRule>
  </conditionalFormatting>
  <conditionalFormatting sqref="D14">
    <cfRule type="containsText" dxfId="10846" priority="696" operator="containsText" text="CANOPY TYPE">
      <formula>NOT(ISERROR(SEARCH("CANOPY TYPE",D14)))</formula>
    </cfRule>
  </conditionalFormatting>
  <conditionalFormatting sqref="D15">
    <cfRule type="expression" dxfId="10845" priority="437">
      <formula>(C15="LIGHT SELECTION")</formula>
    </cfRule>
  </conditionalFormatting>
  <conditionalFormatting sqref="D16:D18">
    <cfRule type="expression" dxfId="10844" priority="651">
      <formula>($C16="SELECT WORKS")</formula>
    </cfRule>
  </conditionalFormatting>
  <conditionalFormatting sqref="D19">
    <cfRule type="expression" dxfId="10843" priority="223">
      <formula>$C19="SELECT CLADDING"</formula>
    </cfRule>
  </conditionalFormatting>
  <conditionalFormatting sqref="D22:D23">
    <cfRule type="expression" dxfId="10842" priority="420">
      <formula>($D$14="CANOPY TYPE")</formula>
    </cfRule>
  </conditionalFormatting>
  <conditionalFormatting sqref="D24">
    <cfRule type="expression" dxfId="10841" priority="709">
      <formula>ISNUMBER(SEARCH("UV",D14))</formula>
    </cfRule>
  </conditionalFormatting>
  <conditionalFormatting sqref="D25">
    <cfRule type="expression" dxfId="10840" priority="637">
      <formula>($D$14="CANOPY TYPE")</formula>
    </cfRule>
  </conditionalFormatting>
  <conditionalFormatting sqref="D26">
    <cfRule type="expression" dxfId="10839" priority="659">
      <formula>(ISNUMBER(SEARCH("CMW",D14)))=TRUE</formula>
    </cfRule>
  </conditionalFormatting>
  <conditionalFormatting sqref="D31">
    <cfRule type="containsText" dxfId="10838" priority="619" operator="containsText" text="CANOPY TYPE">
      <formula>NOT(ISERROR(SEARCH("CANOPY TYPE",D31)))</formula>
    </cfRule>
  </conditionalFormatting>
  <conditionalFormatting sqref="D32">
    <cfRule type="expression" dxfId="10837" priority="450">
      <formula>(C32="LIGHT SELECTION")</formula>
    </cfRule>
  </conditionalFormatting>
  <conditionalFormatting sqref="D34:D35">
    <cfRule type="expression" dxfId="10836" priority="612">
      <formula>($C34="SELECT WORKS")</formula>
    </cfRule>
  </conditionalFormatting>
  <conditionalFormatting sqref="D36">
    <cfRule type="expression" dxfId="10835" priority="429">
      <formula>$C36="SELECT CLADDING"</formula>
    </cfRule>
  </conditionalFormatting>
  <conditionalFormatting sqref="D39:D40">
    <cfRule type="expression" dxfId="10834" priority="394">
      <formula>($D$14="CANOPY TYPE")</formula>
    </cfRule>
  </conditionalFormatting>
  <conditionalFormatting sqref="D41">
    <cfRule type="expression" dxfId="10833" priority="631">
      <formula>ISNUMBER(SEARCH("UV",D31))</formula>
    </cfRule>
  </conditionalFormatting>
  <conditionalFormatting sqref="D42">
    <cfRule type="expression" dxfId="10832" priority="605">
      <formula>($D$14="CANOPY TYPE")</formula>
    </cfRule>
  </conditionalFormatting>
  <conditionalFormatting sqref="D43">
    <cfRule type="expression" dxfId="10831" priority="614">
      <formula>(ISNUMBER(SEARCH("CMW",D31)))=TRUE</formula>
    </cfRule>
  </conditionalFormatting>
  <conditionalFormatting sqref="D48">
    <cfRule type="containsText" dxfId="10830" priority="432" operator="containsText" text="CANOPY TYPE">
      <formula>NOT(ISERROR(SEARCH("CANOPY TYPE",D48)))</formula>
    </cfRule>
  </conditionalFormatting>
  <conditionalFormatting sqref="D49">
    <cfRule type="expression" dxfId="10829" priority="447">
      <formula>(C15="LIGHT SELECTION")</formula>
    </cfRule>
  </conditionalFormatting>
  <conditionalFormatting sqref="D51:D52">
    <cfRule type="expression" dxfId="10828" priority="581">
      <formula>($C51="SELECT WORKS")</formula>
    </cfRule>
  </conditionalFormatting>
  <conditionalFormatting sqref="D53">
    <cfRule type="expression" dxfId="10827" priority="430">
      <formula>$C53="SELECT CLADDING"</formula>
    </cfRule>
  </conditionalFormatting>
  <conditionalFormatting sqref="D56:D57">
    <cfRule type="expression" dxfId="10826" priority="368">
      <formula>($D$14="CANOPY TYPE")</formula>
    </cfRule>
  </conditionalFormatting>
  <conditionalFormatting sqref="D58">
    <cfRule type="expression" dxfId="10825" priority="599">
      <formula>ISNUMBER(SEARCH("UV",D48))</formula>
    </cfRule>
  </conditionalFormatting>
  <conditionalFormatting sqref="D59">
    <cfRule type="expression" dxfId="10824" priority="575">
      <formula>($D$14="CANOPY TYPE")</formula>
    </cfRule>
  </conditionalFormatting>
  <conditionalFormatting sqref="D60">
    <cfRule type="expression" dxfId="10823" priority="583">
      <formula>(ISNUMBER(SEARCH("CMW",D48)))=TRUE</formula>
    </cfRule>
  </conditionalFormatting>
  <conditionalFormatting sqref="D65">
    <cfRule type="containsText" dxfId="10822" priority="431" operator="containsText" text="CANOPY TYPE">
      <formula>NOT(ISERROR(SEARCH("CANOPY TYPE",D65)))</formula>
    </cfRule>
  </conditionalFormatting>
  <conditionalFormatting sqref="D66">
    <cfRule type="expression" dxfId="10821" priority="440">
      <formula>(C66="LIGHT SELECTION")</formula>
    </cfRule>
  </conditionalFormatting>
  <conditionalFormatting sqref="D68:D69">
    <cfRule type="expression" dxfId="10820" priority="550">
      <formula>($C68="SELECT WORKS")</formula>
    </cfRule>
  </conditionalFormatting>
  <conditionalFormatting sqref="D70">
    <cfRule type="expression" dxfId="10819" priority="554">
      <formula>$C70="SELECT CLADDING"</formula>
    </cfRule>
  </conditionalFormatting>
  <conditionalFormatting sqref="D73:D74">
    <cfRule type="expression" dxfId="10818" priority="342">
      <formula>($D$14="CANOPY TYPE")</formula>
    </cfRule>
  </conditionalFormatting>
  <conditionalFormatting sqref="D75">
    <cfRule type="expression" dxfId="10817" priority="569">
      <formula>ISNUMBER(SEARCH("UV",D65))</formula>
    </cfRule>
  </conditionalFormatting>
  <conditionalFormatting sqref="D76">
    <cfRule type="expression" dxfId="10816" priority="544">
      <formula>($D$14="CANOPY TYPE")</formula>
    </cfRule>
  </conditionalFormatting>
  <conditionalFormatting sqref="D77">
    <cfRule type="expression" dxfId="10815" priority="552">
      <formula>(ISNUMBER(SEARCH("CMW",D65)))=TRUE</formula>
    </cfRule>
  </conditionalFormatting>
  <conditionalFormatting sqref="D82">
    <cfRule type="containsText" dxfId="10814" priority="526" operator="containsText" text="CANOPY TYPE">
      <formula>NOT(ISERROR(SEARCH("CANOPY TYPE",D82)))</formula>
    </cfRule>
  </conditionalFormatting>
  <conditionalFormatting sqref="D83">
    <cfRule type="expression" dxfId="10813" priority="439">
      <formula>(C83="LIGHT SELECTION")</formula>
    </cfRule>
  </conditionalFormatting>
  <conditionalFormatting sqref="D85:D86">
    <cfRule type="expression" dxfId="10812" priority="518">
      <formula>($C85="SELECT WORKS")</formula>
    </cfRule>
  </conditionalFormatting>
  <conditionalFormatting sqref="D87">
    <cfRule type="expression" dxfId="10811" priority="522">
      <formula>$C87="SELECT CLADDING"</formula>
    </cfRule>
  </conditionalFormatting>
  <conditionalFormatting sqref="D90:D91">
    <cfRule type="expression" dxfId="10810" priority="316">
      <formula>($D$14="CANOPY TYPE")</formula>
    </cfRule>
  </conditionalFormatting>
  <conditionalFormatting sqref="D92">
    <cfRule type="expression" dxfId="10809" priority="538">
      <formula>ISNUMBER(SEARCH("UV",D82))</formula>
    </cfRule>
  </conditionalFormatting>
  <conditionalFormatting sqref="D93">
    <cfRule type="expression" dxfId="10808" priority="512">
      <formula>($D$14="CANOPY TYPE")</formula>
    </cfRule>
  </conditionalFormatting>
  <conditionalFormatting sqref="D94">
    <cfRule type="expression" dxfId="10807" priority="520">
      <formula>(ISNUMBER(SEARCH("CMW",D82)))=TRUE</formula>
    </cfRule>
  </conditionalFormatting>
  <conditionalFormatting sqref="D99">
    <cfRule type="containsText" dxfId="10806" priority="494" operator="containsText" text="CANOPY TYPE">
      <formula>NOT(ISERROR(SEARCH("CANOPY TYPE",D99)))</formula>
    </cfRule>
  </conditionalFormatting>
  <conditionalFormatting sqref="D100">
    <cfRule type="expression" dxfId="10805" priority="438">
      <formula>(C100="LIGHT SELECTION")</formula>
    </cfRule>
  </conditionalFormatting>
  <conditionalFormatting sqref="D102:D103">
    <cfRule type="expression" dxfId="10804" priority="487">
      <formula>($C102="SELECT WORKS")</formula>
    </cfRule>
  </conditionalFormatting>
  <conditionalFormatting sqref="D104">
    <cfRule type="expression" dxfId="10803" priority="428">
      <formula>$C104="SELECT CLADDING"</formula>
    </cfRule>
  </conditionalFormatting>
  <conditionalFormatting sqref="D107:D108">
    <cfRule type="expression" dxfId="10802" priority="290">
      <formula>($D$14="CANOPY TYPE")</formula>
    </cfRule>
  </conditionalFormatting>
  <conditionalFormatting sqref="D109">
    <cfRule type="expression" dxfId="10801" priority="506">
      <formula>ISNUMBER(SEARCH("UV",D99))</formula>
    </cfRule>
  </conditionalFormatting>
  <conditionalFormatting sqref="D110">
    <cfRule type="expression" dxfId="10800" priority="481">
      <formula>($D$14="CANOPY TYPE")</formula>
    </cfRule>
  </conditionalFormatting>
  <conditionalFormatting sqref="D111">
    <cfRule type="expression" dxfId="10799" priority="489">
      <formula>(ISNUMBER(SEARCH("CMW",D99)))=TRUE</formula>
    </cfRule>
  </conditionalFormatting>
  <conditionalFormatting sqref="D116">
    <cfRule type="containsText" dxfId="10798" priority="270" operator="containsText" text="CANOPY TYPE">
      <formula>NOT(ISERROR(SEARCH("CANOPY TYPE",D116)))</formula>
    </cfRule>
  </conditionalFormatting>
  <conditionalFormatting sqref="D117">
    <cfRule type="expression" dxfId="10797" priority="252">
      <formula>(C117="LIGHT SELECTION")</formula>
    </cfRule>
  </conditionalFormatting>
  <conditionalFormatting sqref="D119:D120">
    <cfRule type="expression" dxfId="10796" priority="263">
      <formula>($C119="SELECT WORKS")</formula>
    </cfRule>
  </conditionalFormatting>
  <conditionalFormatting sqref="D121">
    <cfRule type="expression" dxfId="10795" priority="251">
      <formula>$C121="SELECT CLADDING"</formula>
    </cfRule>
  </conditionalFormatting>
  <conditionalFormatting sqref="D124:D125">
    <cfRule type="expression" dxfId="10794" priority="225">
      <formula>($D$14="CANOPY TYPE")</formula>
    </cfRule>
  </conditionalFormatting>
  <conditionalFormatting sqref="D126">
    <cfRule type="expression" dxfId="10793" priority="282">
      <formula>ISNUMBER(SEARCH("UV",D116))</formula>
    </cfRule>
  </conditionalFormatting>
  <conditionalFormatting sqref="D127">
    <cfRule type="expression" dxfId="10792" priority="259">
      <formula>($D$14="CANOPY TYPE")</formula>
    </cfRule>
  </conditionalFormatting>
  <conditionalFormatting sqref="D128">
    <cfRule type="expression" dxfId="10791" priority="265">
      <formula>(ISNUMBER(SEARCH("CMW",D116)))=TRUE</formula>
    </cfRule>
  </conditionalFormatting>
  <conditionalFormatting sqref="D133">
    <cfRule type="containsText" dxfId="10790" priority="201" operator="containsText" text="CANOPY TYPE">
      <formula>NOT(ISERROR(SEARCH("CANOPY TYPE",D133)))</formula>
    </cfRule>
  </conditionalFormatting>
  <conditionalFormatting sqref="D134">
    <cfRule type="expression" dxfId="10789" priority="183">
      <formula>(C134="LIGHT SELECTION")</formula>
    </cfRule>
  </conditionalFormatting>
  <conditionalFormatting sqref="D136:D137">
    <cfRule type="expression" dxfId="10788" priority="194">
      <formula>($C136="SELECT WORKS")</formula>
    </cfRule>
  </conditionalFormatting>
  <conditionalFormatting sqref="D138">
    <cfRule type="expression" dxfId="10787" priority="182">
      <formula>$C138="SELECT CLADDING"</formula>
    </cfRule>
  </conditionalFormatting>
  <conditionalFormatting sqref="D141:D142">
    <cfRule type="expression" dxfId="10786" priority="166">
      <formula>($D$14="CANOPY TYPE")</formula>
    </cfRule>
  </conditionalFormatting>
  <conditionalFormatting sqref="D143">
    <cfRule type="expression" dxfId="10785" priority="213">
      <formula>ISNUMBER(SEARCH("UV",D133))</formula>
    </cfRule>
  </conditionalFormatting>
  <conditionalFormatting sqref="D144">
    <cfRule type="expression" dxfId="10784" priority="190">
      <formula>($D$14="CANOPY TYPE")</formula>
    </cfRule>
  </conditionalFormatting>
  <conditionalFormatting sqref="D145">
    <cfRule type="expression" dxfId="10783" priority="196">
      <formula>(ISNUMBER(SEARCH("CMW",D133)))=TRUE</formula>
    </cfRule>
  </conditionalFormatting>
  <conditionalFormatting sqref="D150">
    <cfRule type="containsText" dxfId="10782" priority="146" operator="containsText" text="CANOPY TYPE">
      <formula>NOT(ISERROR(SEARCH("CANOPY TYPE",D150)))</formula>
    </cfRule>
  </conditionalFormatting>
  <conditionalFormatting sqref="D151">
    <cfRule type="expression" dxfId="10781" priority="128">
      <formula>(C151="LIGHT SELECTION")</formula>
    </cfRule>
  </conditionalFormatting>
  <conditionalFormatting sqref="D153:D154">
    <cfRule type="expression" dxfId="10780" priority="139">
      <formula>($C153="SELECT WORKS")</formula>
    </cfRule>
  </conditionalFormatting>
  <conditionalFormatting sqref="D155">
    <cfRule type="expression" dxfId="10779" priority="127">
      <formula>$C155="SELECT CLADDING"</formula>
    </cfRule>
  </conditionalFormatting>
  <conditionalFormatting sqref="D158:D159">
    <cfRule type="expression" dxfId="10778" priority="111">
      <formula>($D$14="CANOPY TYPE")</formula>
    </cfRule>
  </conditionalFormatting>
  <conditionalFormatting sqref="D160">
    <cfRule type="expression" dxfId="10777" priority="158">
      <formula>ISNUMBER(SEARCH("UV",D150))</formula>
    </cfRule>
  </conditionalFormatting>
  <conditionalFormatting sqref="D161">
    <cfRule type="expression" dxfId="10776" priority="135">
      <formula>($D$14="CANOPY TYPE")</formula>
    </cfRule>
  </conditionalFormatting>
  <conditionalFormatting sqref="D162">
    <cfRule type="expression" dxfId="10775" priority="141">
      <formula>(ISNUMBER(SEARCH("CMW",D150)))=TRUE</formula>
    </cfRule>
  </conditionalFormatting>
  <conditionalFormatting sqref="D167">
    <cfRule type="containsText" dxfId="10774" priority="91" operator="containsText" text="CANOPY TYPE">
      <formula>NOT(ISERROR(SEARCH("CANOPY TYPE",D167)))</formula>
    </cfRule>
  </conditionalFormatting>
  <conditionalFormatting sqref="D168">
    <cfRule type="expression" dxfId="10773" priority="73">
      <formula>(C168="LIGHT SELECTION")</formula>
    </cfRule>
  </conditionalFormatting>
  <conditionalFormatting sqref="D170:D171">
    <cfRule type="expression" dxfId="10772" priority="84">
      <formula>($C170="SELECT WORKS")</formula>
    </cfRule>
  </conditionalFormatting>
  <conditionalFormatting sqref="D172">
    <cfRule type="expression" dxfId="10771" priority="72">
      <formula>$C172="SELECT CLADDING"</formula>
    </cfRule>
  </conditionalFormatting>
  <conditionalFormatting sqref="D175:D176">
    <cfRule type="expression" dxfId="10770" priority="56">
      <formula>($D$14="CANOPY TYPE")</formula>
    </cfRule>
  </conditionalFormatting>
  <conditionalFormatting sqref="D177">
    <cfRule type="expression" dxfId="10769" priority="103">
      <formula>ISNUMBER(SEARCH("UV",D167))</formula>
    </cfRule>
  </conditionalFormatting>
  <conditionalFormatting sqref="D178">
    <cfRule type="expression" dxfId="10768" priority="80">
      <formula>($D$14="CANOPY TYPE")</formula>
    </cfRule>
  </conditionalFormatting>
  <conditionalFormatting sqref="D179">
    <cfRule type="expression" dxfId="10767" priority="86">
      <formula>(ISNUMBER(SEARCH("CMW",D167)))=TRUE</formula>
    </cfRule>
  </conditionalFormatting>
  <conditionalFormatting sqref="E12">
    <cfRule type="expression" dxfId="10766" priority="706">
      <formula>AND((ISNUMBER(SEARCH("I-MUAP",$D$14))),E12&lt;2500)</formula>
    </cfRule>
    <cfRule type="expression" dxfId="10765" priority="707">
      <formula>ISNUMBER(SEARCH("I-MUAP",$D$14))</formula>
    </cfRule>
    <cfRule type="cellIs" dxfId="10764" priority="708" operator="greaterThan">
      <formula>2000</formula>
    </cfRule>
  </conditionalFormatting>
  <conditionalFormatting sqref="E15">
    <cfRule type="expression" dxfId="10763" priority="435">
      <formula>(C15="LIGHT SELECTION")</formula>
    </cfRule>
  </conditionalFormatting>
  <conditionalFormatting sqref="E16:E18">
    <cfRule type="expression" dxfId="10762" priority="55">
      <formula>$C16="SELECT WORKS"</formula>
    </cfRule>
  </conditionalFormatting>
  <conditionalFormatting sqref="E22:E23">
    <cfRule type="expression" dxfId="10761" priority="689">
      <formula>D22="WW PODS"</formula>
    </cfRule>
    <cfRule type="expression" dxfId="10760" priority="690">
      <formula>D22="FILTER TYPE"</formula>
    </cfRule>
    <cfRule type="expression" dxfId="10759" priority="691">
      <formula>D22="KSA"</formula>
    </cfRule>
    <cfRule type="expression" dxfId="10758" priority="711">
      <formula>(D14="CANOPY TYPE")</formula>
    </cfRule>
  </conditionalFormatting>
  <conditionalFormatting sqref="E24">
    <cfRule type="containsText" dxfId="10757" priority="698" operator="containsText" text="LONG ">
      <formula>NOT(ISERROR(SEARCH("LONG ",E24)))</formula>
    </cfRule>
  </conditionalFormatting>
  <conditionalFormatting sqref="E29">
    <cfRule type="expression" dxfId="10756" priority="628">
      <formula>AND((ISNUMBER(SEARCH("I-MUAP",$D$14))),E29&lt;2500)</formula>
    </cfRule>
    <cfRule type="expression" dxfId="10755" priority="629">
      <formula>ISNUMBER(SEARCH("I-MUAP",$D$14))</formula>
    </cfRule>
    <cfRule type="cellIs" dxfId="10754" priority="630" operator="greaterThan">
      <formula>2000</formula>
    </cfRule>
  </conditionalFormatting>
  <conditionalFormatting sqref="E34">
    <cfRule type="expression" dxfId="10753" priority="611">
      <formula>$C34="SELECT WORKS"</formula>
    </cfRule>
  </conditionalFormatting>
  <conditionalFormatting sqref="E39:E40">
    <cfRule type="expression" dxfId="10752" priority="407">
      <formula>D39="WW PODS"</formula>
    </cfRule>
    <cfRule type="expression" dxfId="10751" priority="408">
      <formula>D39="FILTER TYPE"</formula>
    </cfRule>
    <cfRule type="expression" dxfId="10750" priority="409">
      <formula>D39="KSA"</formula>
    </cfRule>
    <cfRule type="expression" dxfId="10749" priority="410">
      <formula>(D31="CANOPY TYPE")</formula>
    </cfRule>
  </conditionalFormatting>
  <conditionalFormatting sqref="E41">
    <cfRule type="containsText" dxfId="10748" priority="621" operator="containsText" text="LONG ">
      <formula>NOT(ISERROR(SEARCH("LONG ",E41)))</formula>
    </cfRule>
  </conditionalFormatting>
  <conditionalFormatting sqref="E46">
    <cfRule type="expression" dxfId="10747" priority="596">
      <formula>AND((ISNUMBER(SEARCH("I-MUAP",$D$14))),E46&lt;2500)</formula>
    </cfRule>
    <cfRule type="expression" dxfId="10746" priority="597">
      <formula>ISNUMBER(SEARCH("I-MUAP",$D$14))</formula>
    </cfRule>
    <cfRule type="cellIs" dxfId="10745" priority="598" operator="greaterThan">
      <formula>2000</formula>
    </cfRule>
  </conditionalFormatting>
  <conditionalFormatting sqref="E49">
    <cfRule type="expression" dxfId="10744" priority="449">
      <formula>(C49="LIGHT SELECTION")</formula>
    </cfRule>
  </conditionalFormatting>
  <conditionalFormatting sqref="E51:E52">
    <cfRule type="expression" dxfId="10743" priority="580">
      <formula>$C51="SELECT WORKS"</formula>
    </cfRule>
  </conditionalFormatting>
  <conditionalFormatting sqref="E56:E57">
    <cfRule type="expression" dxfId="10742" priority="381">
      <formula>D56="WW PODS"</formula>
    </cfRule>
    <cfRule type="expression" dxfId="10741" priority="382">
      <formula>D56="FILTER TYPE"</formula>
    </cfRule>
    <cfRule type="expression" dxfId="10740" priority="383">
      <formula>D56="KSA"</formula>
    </cfRule>
    <cfRule type="expression" dxfId="10739" priority="384">
      <formula>(D48="CANOPY TYPE")</formula>
    </cfRule>
  </conditionalFormatting>
  <conditionalFormatting sqref="E58">
    <cfRule type="containsText" dxfId="10738" priority="589" operator="containsText" text="LONG ">
      <formula>NOT(ISERROR(SEARCH("LONG ",E58)))</formula>
    </cfRule>
  </conditionalFormatting>
  <conditionalFormatting sqref="E63">
    <cfRule type="expression" dxfId="10737" priority="566">
      <formula>AND((ISNUMBER(SEARCH("I-MUAP",$D$14))),E63&lt;2500)</formula>
    </cfRule>
    <cfRule type="expression" dxfId="10736" priority="567">
      <formula>ISNUMBER(SEARCH("I-MUAP",$D$14))</formula>
    </cfRule>
    <cfRule type="cellIs" dxfId="10735" priority="568" operator="greaterThan">
      <formula>2000</formula>
    </cfRule>
  </conditionalFormatting>
  <conditionalFormatting sqref="E68:E69">
    <cfRule type="expression" dxfId="10734" priority="549">
      <formula>$C68="SELECT WORKS"</formula>
    </cfRule>
  </conditionalFormatting>
  <conditionalFormatting sqref="E73:E74">
    <cfRule type="expression" dxfId="10733" priority="355">
      <formula>D73="WW PODS"</formula>
    </cfRule>
    <cfRule type="expression" dxfId="10732" priority="356">
      <formula>D73="FILTER TYPE"</formula>
    </cfRule>
    <cfRule type="expression" dxfId="10731" priority="357">
      <formula>D73="KSA"</formula>
    </cfRule>
    <cfRule type="expression" dxfId="10730" priority="358">
      <formula>(D65="CANOPY TYPE")</formula>
    </cfRule>
  </conditionalFormatting>
  <conditionalFormatting sqref="E75">
    <cfRule type="containsText" dxfId="10729" priority="559" operator="containsText" text="LONG ">
      <formula>NOT(ISERROR(SEARCH("LONG ",E75)))</formula>
    </cfRule>
  </conditionalFormatting>
  <conditionalFormatting sqref="E80">
    <cfRule type="expression" dxfId="10728" priority="535">
      <formula>AND((ISNUMBER(SEARCH("I-MUAP",$D$14))),E80&lt;2500)</formula>
    </cfRule>
    <cfRule type="expression" dxfId="10727" priority="536">
      <formula>ISNUMBER(SEARCH("I-MUAP",$D$14))</formula>
    </cfRule>
    <cfRule type="cellIs" dxfId="10726" priority="537" operator="greaterThan">
      <formula>2000</formula>
    </cfRule>
  </conditionalFormatting>
  <conditionalFormatting sqref="E85:E86">
    <cfRule type="expression" dxfId="10725" priority="517">
      <formula>$C85="SELECT WORKS"</formula>
    </cfRule>
  </conditionalFormatting>
  <conditionalFormatting sqref="E90:E91">
    <cfRule type="expression" dxfId="10724" priority="329">
      <formula>D90="WW PODS"</formula>
    </cfRule>
    <cfRule type="expression" dxfId="10723" priority="330">
      <formula>D90="FILTER TYPE"</formula>
    </cfRule>
    <cfRule type="expression" dxfId="10722" priority="331">
      <formula>D90="KSA"</formula>
    </cfRule>
    <cfRule type="expression" dxfId="10721" priority="332">
      <formula>(D82="CANOPY TYPE")</formula>
    </cfRule>
  </conditionalFormatting>
  <conditionalFormatting sqref="E92">
    <cfRule type="containsText" dxfId="10720" priority="528" operator="containsText" text="LONG ">
      <formula>NOT(ISERROR(SEARCH("LONG ",E92)))</formula>
    </cfRule>
  </conditionalFormatting>
  <conditionalFormatting sqref="E97">
    <cfRule type="expression" dxfId="10719" priority="503">
      <formula>AND((ISNUMBER(SEARCH("I-MUAP",$D$14))),E97&lt;2500)</formula>
    </cfRule>
    <cfRule type="expression" dxfId="10718" priority="504">
      <formula>ISNUMBER(SEARCH("I-MUAP",$D$14))</formula>
    </cfRule>
    <cfRule type="cellIs" dxfId="10717" priority="505" operator="greaterThan">
      <formula>2000</formula>
    </cfRule>
  </conditionalFormatting>
  <conditionalFormatting sqref="E102:E103">
    <cfRule type="expression" dxfId="10716" priority="486">
      <formula>$C102="SELECT WORKS"</formula>
    </cfRule>
  </conditionalFormatting>
  <conditionalFormatting sqref="E107:E108">
    <cfRule type="expression" dxfId="10715" priority="303">
      <formula>D107="WW PODS"</formula>
    </cfRule>
    <cfRule type="expression" dxfId="10714" priority="304">
      <formula>D107="FILTER TYPE"</formula>
    </cfRule>
    <cfRule type="expression" dxfId="10713" priority="305">
      <formula>D107="KSA"</formula>
    </cfRule>
    <cfRule type="expression" dxfId="10712" priority="306">
      <formula>(D99="CANOPY TYPE")</formula>
    </cfRule>
  </conditionalFormatting>
  <conditionalFormatting sqref="E109">
    <cfRule type="containsText" dxfId="10711" priority="496" operator="containsText" text="LONG ">
      <formula>NOT(ISERROR(SEARCH("LONG ",E109)))</formula>
    </cfRule>
  </conditionalFormatting>
  <conditionalFormatting sqref="E114">
    <cfRule type="expression" dxfId="10710" priority="279">
      <formula>AND((ISNUMBER(SEARCH("I-MUAP",$D$14))),E114&lt;2500)</formula>
    </cfRule>
    <cfRule type="expression" dxfId="10709" priority="280">
      <formula>ISNUMBER(SEARCH("I-MUAP",$D$14))</formula>
    </cfRule>
    <cfRule type="cellIs" dxfId="10708" priority="281" operator="greaterThan">
      <formula>2000</formula>
    </cfRule>
  </conditionalFormatting>
  <conditionalFormatting sqref="E119:E120">
    <cfRule type="expression" dxfId="10707" priority="262">
      <formula>$C119="SELECT WORKS"</formula>
    </cfRule>
  </conditionalFormatting>
  <conditionalFormatting sqref="E124:E125">
    <cfRule type="expression" dxfId="10706" priority="238">
      <formula>D124="WW PODS"</formula>
    </cfRule>
    <cfRule type="expression" dxfId="10705" priority="239">
      <formula>D124="FILTER TYPE"</formula>
    </cfRule>
    <cfRule type="expression" dxfId="10704" priority="240">
      <formula>D124="KSA"</formula>
    </cfRule>
    <cfRule type="expression" dxfId="10703" priority="241">
      <formula>(D116="CANOPY TYPE")</formula>
    </cfRule>
  </conditionalFormatting>
  <conditionalFormatting sqref="E126">
    <cfRule type="containsText" dxfId="10702" priority="272" operator="containsText" text="LONG ">
      <formula>NOT(ISERROR(SEARCH("LONG ",E126)))</formula>
    </cfRule>
  </conditionalFormatting>
  <conditionalFormatting sqref="E131">
    <cfRule type="expression" dxfId="10701" priority="210">
      <formula>AND((ISNUMBER(SEARCH("I-MUAP",$D$14))),E131&lt;2500)</formula>
    </cfRule>
    <cfRule type="expression" dxfId="10700" priority="211">
      <formula>ISNUMBER(SEARCH("I-MUAP",$D$14))</formula>
    </cfRule>
    <cfRule type="cellIs" dxfId="10699" priority="212" operator="greaterThan">
      <formula>2000</formula>
    </cfRule>
  </conditionalFormatting>
  <conditionalFormatting sqref="E136:E137">
    <cfRule type="expression" dxfId="10698" priority="193">
      <formula>$C136="SELECT WORKS"</formula>
    </cfRule>
  </conditionalFormatting>
  <conditionalFormatting sqref="E141:E142">
    <cfRule type="expression" dxfId="10697" priority="169">
      <formula>D141="WW PODS"</formula>
    </cfRule>
    <cfRule type="expression" dxfId="10696" priority="170">
      <formula>D141="FILTER TYPE"</formula>
    </cfRule>
    <cfRule type="expression" dxfId="10695" priority="171">
      <formula>D141="KSA"</formula>
    </cfRule>
    <cfRule type="expression" dxfId="10694" priority="172">
      <formula>(D133="CANOPY TYPE")</formula>
    </cfRule>
  </conditionalFormatting>
  <conditionalFormatting sqref="E143">
    <cfRule type="containsText" dxfId="10693" priority="203" operator="containsText" text="LONG ">
      <formula>NOT(ISERROR(SEARCH("LONG ",E143)))</formula>
    </cfRule>
  </conditionalFormatting>
  <conditionalFormatting sqref="E148">
    <cfRule type="expression" dxfId="10692" priority="155">
      <formula>AND((ISNUMBER(SEARCH("I-MUAP",$D$14))),E148&lt;2500)</formula>
    </cfRule>
    <cfRule type="expression" dxfId="10691" priority="156">
      <formula>ISNUMBER(SEARCH("I-MUAP",$D$14))</formula>
    </cfRule>
    <cfRule type="cellIs" dxfId="10690" priority="157" operator="greaterThan">
      <formula>2000</formula>
    </cfRule>
  </conditionalFormatting>
  <conditionalFormatting sqref="E153:E154">
    <cfRule type="expression" dxfId="10689" priority="138">
      <formula>$C153="SELECT WORKS"</formula>
    </cfRule>
  </conditionalFormatting>
  <conditionalFormatting sqref="E158:E159">
    <cfRule type="expression" dxfId="10688" priority="114">
      <formula>D158="WW PODS"</formula>
    </cfRule>
    <cfRule type="expression" dxfId="10687" priority="115">
      <formula>D158="FILTER TYPE"</formula>
    </cfRule>
    <cfRule type="expression" dxfId="10686" priority="116">
      <formula>D158="KSA"</formula>
    </cfRule>
    <cfRule type="expression" dxfId="10685" priority="117">
      <formula>(D150="CANOPY TYPE")</formula>
    </cfRule>
  </conditionalFormatting>
  <conditionalFormatting sqref="E160">
    <cfRule type="containsText" dxfId="10684" priority="148" operator="containsText" text="LONG ">
      <formula>NOT(ISERROR(SEARCH("LONG ",E160)))</formula>
    </cfRule>
  </conditionalFormatting>
  <conditionalFormatting sqref="E165">
    <cfRule type="expression" dxfId="10683" priority="100">
      <formula>AND((ISNUMBER(SEARCH("I-MUAP",$D$14))),E165&lt;2500)</formula>
    </cfRule>
    <cfRule type="expression" dxfId="10682" priority="101">
      <formula>ISNUMBER(SEARCH("I-MUAP",$D$14))</formula>
    </cfRule>
    <cfRule type="cellIs" dxfId="10681" priority="102" operator="greaterThan">
      <formula>2000</formula>
    </cfRule>
  </conditionalFormatting>
  <conditionalFormatting sqref="E170:E171">
    <cfRule type="expression" dxfId="10680" priority="83">
      <formula>$C170="SELECT WORKS"</formula>
    </cfRule>
  </conditionalFormatting>
  <conditionalFormatting sqref="E175:E176">
    <cfRule type="expression" dxfId="10679" priority="59">
      <formula>D175="WW PODS"</formula>
    </cfRule>
    <cfRule type="expression" dxfId="10678" priority="60">
      <formula>D175="FILTER TYPE"</formula>
    </cfRule>
    <cfRule type="expression" dxfId="10677" priority="61">
      <formula>D175="KSA"</formula>
    </cfRule>
    <cfRule type="expression" dxfId="10676" priority="62">
      <formula>(D167="CANOPY TYPE")</formula>
    </cfRule>
  </conditionalFormatting>
  <conditionalFormatting sqref="E177">
    <cfRule type="containsText" dxfId="10675" priority="93" operator="containsText" text="LONG ">
      <formula>NOT(ISERROR(SEARCH("LONG ",E177)))</formula>
    </cfRule>
  </conditionalFormatting>
  <conditionalFormatting sqref="E12:F12">
    <cfRule type="cellIs" dxfId="10674" priority="702" operator="lessThan">
      <formula>1000</formula>
    </cfRule>
  </conditionalFormatting>
  <conditionalFormatting sqref="E14:F14">
    <cfRule type="cellIs" dxfId="10673" priority="699" operator="lessThan">
      <formula>1000</formula>
    </cfRule>
  </conditionalFormatting>
  <conditionalFormatting sqref="E25:F27">
    <cfRule type="expression" dxfId="10672" priority="638">
      <formula>($D$14="CANOPY TYPE")</formula>
    </cfRule>
  </conditionalFormatting>
  <conditionalFormatting sqref="E29:F29">
    <cfRule type="cellIs" dxfId="10671" priority="625" operator="lessThan">
      <formula>1000</formula>
    </cfRule>
  </conditionalFormatting>
  <conditionalFormatting sqref="E31:F31">
    <cfRule type="cellIs" dxfId="10670" priority="622" operator="lessThan">
      <formula>1000</formula>
    </cfRule>
  </conditionalFormatting>
  <conditionalFormatting sqref="E32:F32">
    <cfRule type="expression" dxfId="10669" priority="473">
      <formula>(C32="LIGHT SELECTION")</formula>
    </cfRule>
  </conditionalFormatting>
  <conditionalFormatting sqref="E42:F44">
    <cfRule type="expression" dxfId="10668" priority="606">
      <formula>($D$14="CANOPY TYPE")</formula>
    </cfRule>
  </conditionalFormatting>
  <conditionalFormatting sqref="E46:F46">
    <cfRule type="cellIs" dxfId="10667" priority="593" operator="lessThan">
      <formula>1000</formula>
    </cfRule>
  </conditionalFormatting>
  <conditionalFormatting sqref="E48:F48">
    <cfRule type="cellIs" dxfId="10666" priority="590" operator="lessThan">
      <formula>1000</formula>
    </cfRule>
  </conditionalFormatting>
  <conditionalFormatting sqref="E59:F61">
    <cfRule type="expression" dxfId="10665" priority="576">
      <formula>($D$14="CANOPY TYPE")</formula>
    </cfRule>
  </conditionalFormatting>
  <conditionalFormatting sqref="E63:F63">
    <cfRule type="cellIs" dxfId="10664" priority="563" operator="lessThan">
      <formula>1000</formula>
    </cfRule>
  </conditionalFormatting>
  <conditionalFormatting sqref="E65:F65">
    <cfRule type="cellIs" dxfId="10663" priority="560" operator="lessThan">
      <formula>1000</formula>
    </cfRule>
  </conditionalFormatting>
  <conditionalFormatting sqref="E66:F66">
    <cfRule type="expression" dxfId="10662" priority="466">
      <formula>(C66="LIGHT SELECTION")</formula>
    </cfRule>
  </conditionalFormatting>
  <conditionalFormatting sqref="E76:F78">
    <cfRule type="expression" dxfId="10661" priority="545">
      <formula>($D$14="CANOPY TYPE")</formula>
    </cfRule>
  </conditionalFormatting>
  <conditionalFormatting sqref="E80:F80">
    <cfRule type="cellIs" dxfId="10660" priority="532" operator="lessThan">
      <formula>1000</formula>
    </cfRule>
  </conditionalFormatting>
  <conditionalFormatting sqref="E82:F82">
    <cfRule type="cellIs" dxfId="10659" priority="529" operator="lessThan">
      <formula>1000</formula>
    </cfRule>
  </conditionalFormatting>
  <conditionalFormatting sqref="E83:F83">
    <cfRule type="expression" dxfId="10658" priority="462">
      <formula>(C83="LIGHT SELECTION")</formula>
    </cfRule>
  </conditionalFormatting>
  <conditionalFormatting sqref="E93:F95">
    <cfRule type="expression" dxfId="10657" priority="513">
      <formula>($D$14="CANOPY TYPE")</formula>
    </cfRule>
  </conditionalFormatting>
  <conditionalFormatting sqref="E97:F97">
    <cfRule type="cellIs" dxfId="10656" priority="500" operator="lessThan">
      <formula>1000</formula>
    </cfRule>
  </conditionalFormatting>
  <conditionalFormatting sqref="E99:F99">
    <cfRule type="cellIs" dxfId="10655" priority="497" operator="lessThan">
      <formula>1000</formula>
    </cfRule>
  </conditionalFormatting>
  <conditionalFormatting sqref="E100:F100">
    <cfRule type="expression" dxfId="10654" priority="458">
      <formula>(C100="LIGHT SELECTION")</formula>
    </cfRule>
  </conditionalFormatting>
  <conditionalFormatting sqref="E110:F112 E127:F129 E144:F146 E161:F163 E178:F180">
    <cfRule type="expression" dxfId="10653" priority="482">
      <formula>($D$14="CANOPY TYPE")</formula>
    </cfRule>
  </conditionalFormatting>
  <conditionalFormatting sqref="E114:F114">
    <cfRule type="cellIs" dxfId="10652" priority="276" operator="lessThan">
      <formula>1000</formula>
    </cfRule>
  </conditionalFormatting>
  <conditionalFormatting sqref="E116:F116">
    <cfRule type="cellIs" dxfId="10651" priority="273" operator="lessThan">
      <formula>1000</formula>
    </cfRule>
  </conditionalFormatting>
  <conditionalFormatting sqref="E117:F117">
    <cfRule type="expression" dxfId="10650" priority="256">
      <formula>(C117="LIGHT SELECTION")</formula>
    </cfRule>
  </conditionalFormatting>
  <conditionalFormatting sqref="E131:F131">
    <cfRule type="cellIs" dxfId="10649" priority="207" operator="lessThan">
      <formula>1000</formula>
    </cfRule>
  </conditionalFormatting>
  <conditionalFormatting sqref="E133:F133">
    <cfRule type="cellIs" dxfId="10648" priority="204" operator="lessThan">
      <formula>1000</formula>
    </cfRule>
  </conditionalFormatting>
  <conditionalFormatting sqref="E134:F134">
    <cfRule type="expression" dxfId="10647" priority="187">
      <formula>(C134="LIGHT SELECTION")</formula>
    </cfRule>
  </conditionalFormatting>
  <conditionalFormatting sqref="E148:F148">
    <cfRule type="cellIs" dxfId="10646" priority="152" operator="lessThan">
      <formula>1000</formula>
    </cfRule>
  </conditionalFormatting>
  <conditionalFormatting sqref="E150:F150">
    <cfRule type="cellIs" dxfId="10645" priority="149" operator="lessThan">
      <formula>1000</formula>
    </cfRule>
  </conditionalFormatting>
  <conditionalFormatting sqref="E151:F151">
    <cfRule type="expression" dxfId="10644" priority="132">
      <formula>(C151="LIGHT SELECTION")</formula>
    </cfRule>
  </conditionalFormatting>
  <conditionalFormatting sqref="E165:F165">
    <cfRule type="cellIs" dxfId="10643" priority="97" operator="lessThan">
      <formula>1000</formula>
    </cfRule>
  </conditionalFormatting>
  <conditionalFormatting sqref="E167:F167">
    <cfRule type="cellIs" dxfId="10642" priority="94" operator="lessThan">
      <formula>1000</formula>
    </cfRule>
  </conditionalFormatting>
  <conditionalFormatting sqref="E168:F168">
    <cfRule type="expression" dxfId="10641" priority="77">
      <formula>(C168="LIGHT SELECTION")</formula>
    </cfRule>
  </conditionalFormatting>
  <conditionalFormatting sqref="F12">
    <cfRule type="cellIs" dxfId="10640" priority="703" operator="greaterThan">
      <formula>3001</formula>
    </cfRule>
  </conditionalFormatting>
  <conditionalFormatting sqref="F15">
    <cfRule type="expression" dxfId="10639" priority="475">
      <formula>(C15="LED STRIP")</formula>
    </cfRule>
    <cfRule type="expression" dxfId="10638" priority="692">
      <formula>(C15="LIGHT SELECTION")</formula>
    </cfRule>
    <cfRule type="expression" dxfId="10637" priority="694">
      <formula>(C15="FLO")</formula>
    </cfRule>
    <cfRule type="expression" dxfId="10636" priority="725">
      <formula>(D49="LIGHT SELECTION")</formula>
    </cfRule>
  </conditionalFormatting>
  <conditionalFormatting sqref="F22:F23">
    <cfRule type="expression" dxfId="10635" priority="716">
      <formula>D22="NF"</formula>
    </cfRule>
    <cfRule type="expression" dxfId="10634" priority="717">
      <formula>D22="WW PODS"</formula>
    </cfRule>
    <cfRule type="expression" dxfId="10633" priority="718">
      <formula>D22="GRILLE"</formula>
    </cfRule>
    <cfRule type="expression" dxfId="10632" priority="719">
      <formula>D22="CENTREX"</formula>
    </cfRule>
    <cfRule type="expression" dxfId="10631" priority="720" stopIfTrue="1">
      <formula>D14="canopy type"</formula>
    </cfRule>
    <cfRule type="expression" dxfId="10630" priority="721">
      <formula>(((I14*3600)/(C22*I11))^2+20)&gt;300</formula>
    </cfRule>
    <cfRule type="expression" dxfId="10629" priority="722" stopIfTrue="1">
      <formula>(ISNUMBER(SEARCH("UV",D14)))</formula>
    </cfRule>
    <cfRule type="expression" dxfId="10628" priority="723">
      <formula>(((I14*3600)/(C22*I11))^2+20)&gt;180</formula>
    </cfRule>
    <cfRule type="expression" dxfId="10627" priority="724">
      <formula>D22="KSA"</formula>
    </cfRule>
  </conditionalFormatting>
  <conditionalFormatting sqref="F24">
    <cfRule type="cellIs" dxfId="10626" priority="697" operator="lessThan">
      <formula>2100</formula>
    </cfRule>
  </conditionalFormatting>
  <conditionalFormatting sqref="F29">
    <cfRule type="cellIs" dxfId="10625" priority="626" operator="greaterThan">
      <formula>3001</formula>
    </cfRule>
  </conditionalFormatting>
  <conditionalFormatting sqref="F32">
    <cfRule type="expression" dxfId="10624" priority="471">
      <formula>(C32="LED STRIP")</formula>
    </cfRule>
    <cfRule type="expression" dxfId="10623" priority="472">
      <formula>(C32="LIGHT SELECTION")</formula>
    </cfRule>
    <cfRule type="expression" dxfId="10622" priority="474">
      <formula>(C32="FLO")</formula>
    </cfRule>
  </conditionalFormatting>
  <conditionalFormatting sqref="F39:F40">
    <cfRule type="expression" dxfId="10621" priority="411">
      <formula>D39="NF"</formula>
    </cfRule>
    <cfRule type="expression" dxfId="10620" priority="412">
      <formula>D39="WW PODS"</formula>
    </cfRule>
    <cfRule type="expression" dxfId="10619" priority="413">
      <formula>D39="GRILLE"</formula>
    </cfRule>
    <cfRule type="expression" dxfId="10618" priority="414">
      <formula>D39="CENTREX"</formula>
    </cfRule>
    <cfRule type="expression" dxfId="10617" priority="415" stopIfTrue="1">
      <formula>D31="canopy type"</formula>
    </cfRule>
    <cfRule type="expression" dxfId="10616" priority="416">
      <formula>(((I31*3600)/(C39*I28))^2+20)&gt;300</formula>
    </cfRule>
    <cfRule type="expression" dxfId="10615" priority="417" stopIfTrue="1">
      <formula>(ISNUMBER(SEARCH("UV",D31)))</formula>
    </cfRule>
    <cfRule type="expression" dxfId="10614" priority="418">
      <formula>(((I31*3600)/(C39*I28))^2+20)&gt;180</formula>
    </cfRule>
    <cfRule type="expression" dxfId="10613" priority="419">
      <formula>D39="KSA"</formula>
    </cfRule>
  </conditionalFormatting>
  <conditionalFormatting sqref="F41">
    <cfRule type="cellIs" dxfId="10612" priority="620" operator="lessThan">
      <formula>2100</formula>
    </cfRule>
  </conditionalFormatting>
  <conditionalFormatting sqref="F46">
    <cfRule type="cellIs" dxfId="10611" priority="594" operator="greaterThan">
      <formula>3001</formula>
    </cfRule>
  </conditionalFormatting>
  <conditionalFormatting sqref="F49">
    <cfRule type="expression" dxfId="10610" priority="468">
      <formula>(C49="LED STRIP")</formula>
    </cfRule>
    <cfRule type="expression" dxfId="10609" priority="469">
      <formula>(C49="LIGHT SELECTION")</formula>
    </cfRule>
    <cfRule type="expression" dxfId="10608" priority="470">
      <formula>(C49="FLO")</formula>
    </cfRule>
    <cfRule type="expression" dxfId="10607" priority="726">
      <formula>(#REF!="LIGHT SELECTION")</formula>
    </cfRule>
  </conditionalFormatting>
  <conditionalFormatting sqref="F56:F57">
    <cfRule type="expression" dxfId="10606" priority="385">
      <formula>D56="NF"</formula>
    </cfRule>
    <cfRule type="expression" dxfId="10605" priority="386">
      <formula>D56="WW PODS"</formula>
    </cfRule>
    <cfRule type="expression" dxfId="10604" priority="387">
      <formula>D56="GRILLE"</formula>
    </cfRule>
    <cfRule type="expression" dxfId="10603" priority="388">
      <formula>D56="CENTREX"</formula>
    </cfRule>
    <cfRule type="expression" dxfId="10602" priority="389" stopIfTrue="1">
      <formula>D48="canopy type"</formula>
    </cfRule>
    <cfRule type="expression" dxfId="10601" priority="390">
      <formula>(((I48*3600)/(C56*I45))^2+20)&gt;300</formula>
    </cfRule>
    <cfRule type="expression" dxfId="10600" priority="391" stopIfTrue="1">
      <formula>(ISNUMBER(SEARCH("UV",D48)))</formula>
    </cfRule>
    <cfRule type="expression" dxfId="10599" priority="392">
      <formula>(((I48*3600)/(C56*I45))^2+20)&gt;180</formula>
    </cfRule>
    <cfRule type="expression" dxfId="10598" priority="393">
      <formula>D56="KSA"</formula>
    </cfRule>
  </conditionalFormatting>
  <conditionalFormatting sqref="F58">
    <cfRule type="cellIs" dxfId="10597" priority="588" operator="lessThan">
      <formula>2100</formula>
    </cfRule>
  </conditionalFormatting>
  <conditionalFormatting sqref="F63">
    <cfRule type="cellIs" dxfId="10596" priority="564" operator="greaterThan">
      <formula>3001</formula>
    </cfRule>
  </conditionalFormatting>
  <conditionalFormatting sqref="F66">
    <cfRule type="expression" dxfId="10595" priority="464">
      <formula>(C66="LED STRIP")</formula>
    </cfRule>
    <cfRule type="expression" dxfId="10594" priority="465">
      <formula>(C66="LIGHT SELECTION")</formula>
    </cfRule>
    <cfRule type="expression" dxfId="10593" priority="467">
      <formula>(C66="FLO")</formula>
    </cfRule>
  </conditionalFormatting>
  <conditionalFormatting sqref="F73:F74">
    <cfRule type="expression" dxfId="10592" priority="359">
      <formula>D73="NF"</formula>
    </cfRule>
    <cfRule type="expression" dxfId="10591" priority="360">
      <formula>D73="WW PODS"</formula>
    </cfRule>
    <cfRule type="expression" dxfId="10590" priority="361">
      <formula>D73="GRILLE"</formula>
    </cfRule>
    <cfRule type="expression" dxfId="10589" priority="362">
      <formula>D73="CENTREX"</formula>
    </cfRule>
    <cfRule type="expression" dxfId="10588" priority="363" stopIfTrue="1">
      <formula>D65="canopy type"</formula>
    </cfRule>
    <cfRule type="expression" dxfId="10587" priority="364">
      <formula>(((I65*3600)/(C73*I62))^2+20)&gt;300</formula>
    </cfRule>
    <cfRule type="expression" dxfId="10586" priority="365" stopIfTrue="1">
      <formula>(ISNUMBER(SEARCH("UV",D65)))</formula>
    </cfRule>
    <cfRule type="expression" dxfId="10585" priority="366">
      <formula>(((I65*3600)/(C73*I62))^2+20)&gt;180</formula>
    </cfRule>
    <cfRule type="expression" dxfId="10584" priority="367">
      <formula>D73="KSA"</formula>
    </cfRule>
  </conditionalFormatting>
  <conditionalFormatting sqref="F75">
    <cfRule type="cellIs" dxfId="10583" priority="558" operator="lessThan">
      <formula>2100</formula>
    </cfRule>
  </conditionalFormatting>
  <conditionalFormatting sqref="F80">
    <cfRule type="cellIs" dxfId="10582" priority="533" operator="greaterThan">
      <formula>3001</formula>
    </cfRule>
  </conditionalFormatting>
  <conditionalFormatting sqref="F83">
    <cfRule type="expression" dxfId="10581" priority="460">
      <formula>(C83="LED STRIP")</formula>
    </cfRule>
    <cfRule type="expression" dxfId="10580" priority="461">
      <formula>(C83="LIGHT SELECTION")</formula>
    </cfRule>
    <cfRule type="expression" dxfId="10579" priority="463">
      <formula>(C83="FLO")</formula>
    </cfRule>
  </conditionalFormatting>
  <conditionalFormatting sqref="F90:F91">
    <cfRule type="expression" dxfId="10578" priority="333">
      <formula>D90="NF"</formula>
    </cfRule>
    <cfRule type="expression" dxfId="10577" priority="334">
      <formula>D90="WW PODS"</formula>
    </cfRule>
    <cfRule type="expression" dxfId="10576" priority="335">
      <formula>D90="GRILLE"</formula>
    </cfRule>
    <cfRule type="expression" dxfId="10575" priority="336">
      <formula>D90="CENTREX"</formula>
    </cfRule>
    <cfRule type="expression" dxfId="10574" priority="337" stopIfTrue="1">
      <formula>D82="canopy type"</formula>
    </cfRule>
    <cfRule type="expression" dxfId="10573" priority="338">
      <formula>(((I82*3600)/(C90*I79))^2+20)&gt;300</formula>
    </cfRule>
    <cfRule type="expression" dxfId="10572" priority="339" stopIfTrue="1">
      <formula>(ISNUMBER(SEARCH("UV",D82)))</formula>
    </cfRule>
    <cfRule type="expression" dxfId="10571" priority="340">
      <formula>(((I82*3600)/(C90*I79))^2+20)&gt;180</formula>
    </cfRule>
    <cfRule type="expression" dxfId="10570" priority="341">
      <formula>D90="KSA"</formula>
    </cfRule>
  </conditionalFormatting>
  <conditionalFormatting sqref="F92">
    <cfRule type="cellIs" dxfId="10569" priority="527" operator="lessThan">
      <formula>2100</formula>
    </cfRule>
  </conditionalFormatting>
  <conditionalFormatting sqref="F97">
    <cfRule type="cellIs" dxfId="10568" priority="501" operator="greaterThan">
      <formula>3001</formula>
    </cfRule>
  </conditionalFormatting>
  <conditionalFormatting sqref="F100">
    <cfRule type="expression" dxfId="10567" priority="456">
      <formula>(C100="LED STRIP")</formula>
    </cfRule>
    <cfRule type="expression" dxfId="10566" priority="457">
      <formula>(C100="LIGHT SELECTION")</formula>
    </cfRule>
    <cfRule type="expression" dxfId="10565" priority="459">
      <formula>(C100="FLO")</formula>
    </cfRule>
  </conditionalFormatting>
  <conditionalFormatting sqref="F107:F108">
    <cfRule type="expression" dxfId="10564" priority="307">
      <formula>D107="NF"</formula>
    </cfRule>
    <cfRule type="expression" dxfId="10563" priority="308">
      <formula>D107="WW PODS"</formula>
    </cfRule>
    <cfRule type="expression" dxfId="10562" priority="309">
      <formula>D107="GRILLE"</formula>
    </cfRule>
    <cfRule type="expression" dxfId="10561" priority="310">
      <formula>D107="CENTREX"</formula>
    </cfRule>
    <cfRule type="expression" dxfId="10560" priority="311" stopIfTrue="1">
      <formula>D99="canopy type"</formula>
    </cfRule>
    <cfRule type="expression" dxfId="10559" priority="312">
      <formula>(((I99*3600)/(C107*I96))^2+20)&gt;300</formula>
    </cfRule>
    <cfRule type="expression" dxfId="10558" priority="313" stopIfTrue="1">
      <formula>(ISNUMBER(SEARCH("UV",D99)))</formula>
    </cfRule>
    <cfRule type="expression" dxfId="10557" priority="314">
      <formula>(((I99*3600)/(C107*I96))^2+20)&gt;180</formula>
    </cfRule>
    <cfRule type="expression" dxfId="10556" priority="315">
      <formula>D107="KSA"</formula>
    </cfRule>
  </conditionalFormatting>
  <conditionalFormatting sqref="F109">
    <cfRule type="cellIs" dxfId="10555" priority="495" operator="lessThan">
      <formula>2100</formula>
    </cfRule>
  </conditionalFormatting>
  <conditionalFormatting sqref="F114">
    <cfRule type="cellIs" dxfId="10554" priority="277" operator="greaterThan">
      <formula>3001</formula>
    </cfRule>
  </conditionalFormatting>
  <conditionalFormatting sqref="F117">
    <cfRule type="expression" dxfId="10553" priority="254">
      <formula>(C117="LED STRIP")</formula>
    </cfRule>
    <cfRule type="expression" dxfId="10552" priority="255">
      <formula>(C117="LIGHT SELECTION")</formula>
    </cfRule>
    <cfRule type="expression" dxfId="10551" priority="257">
      <formula>(C117="FLO")</formula>
    </cfRule>
  </conditionalFormatting>
  <conditionalFormatting sqref="F124:F125">
    <cfRule type="expression" dxfId="10550" priority="242">
      <formula>D124="NF"</formula>
    </cfRule>
    <cfRule type="expression" dxfId="10549" priority="243">
      <formula>D124="WW PODS"</formula>
    </cfRule>
    <cfRule type="expression" dxfId="10548" priority="244">
      <formula>D124="GRILLE"</formula>
    </cfRule>
    <cfRule type="expression" dxfId="10547" priority="245">
      <formula>D124="CENTREX"</formula>
    </cfRule>
    <cfRule type="expression" dxfId="10546" priority="246" stopIfTrue="1">
      <formula>D116="canopy type"</formula>
    </cfRule>
    <cfRule type="expression" dxfId="10545" priority="247">
      <formula>(((I116*3600)/(C124*I113))^2+20)&gt;300</formula>
    </cfRule>
    <cfRule type="expression" dxfId="10544" priority="248" stopIfTrue="1">
      <formula>(ISNUMBER(SEARCH("UV",D116)))</formula>
    </cfRule>
    <cfRule type="expression" dxfId="10543" priority="249">
      <formula>(((I116*3600)/(C124*I113))^2+20)&gt;180</formula>
    </cfRule>
    <cfRule type="expression" dxfId="10542" priority="250">
      <formula>D124="KSA"</formula>
    </cfRule>
  </conditionalFormatting>
  <conditionalFormatting sqref="F126">
    <cfRule type="cellIs" dxfId="10541" priority="271" operator="lessThan">
      <formula>2100</formula>
    </cfRule>
  </conditionalFormatting>
  <conditionalFormatting sqref="F131">
    <cfRule type="cellIs" dxfId="10540" priority="208" operator="greaterThan">
      <formula>3001</formula>
    </cfRule>
  </conditionalFormatting>
  <conditionalFormatting sqref="F134">
    <cfRule type="expression" dxfId="10539" priority="185">
      <formula>(C134="LED STRIP")</formula>
    </cfRule>
    <cfRule type="expression" dxfId="10538" priority="186">
      <formula>(C134="LIGHT SELECTION")</formula>
    </cfRule>
    <cfRule type="expression" dxfId="10537" priority="188">
      <formula>(C134="FLO")</formula>
    </cfRule>
  </conditionalFormatting>
  <conditionalFormatting sqref="F141:F142">
    <cfRule type="expression" dxfId="10536" priority="173">
      <formula>D141="NF"</formula>
    </cfRule>
    <cfRule type="expression" dxfId="10535" priority="174">
      <formula>D141="WW PODS"</formula>
    </cfRule>
    <cfRule type="expression" dxfId="10534" priority="175">
      <formula>D141="GRILLE"</formula>
    </cfRule>
    <cfRule type="expression" dxfId="10533" priority="176">
      <formula>D141="CENTREX"</formula>
    </cfRule>
    <cfRule type="expression" dxfId="10532" priority="177" stopIfTrue="1">
      <formula>D133="canopy type"</formula>
    </cfRule>
    <cfRule type="expression" dxfId="10531" priority="178">
      <formula>(((I133*3600)/(C141*I130))^2+20)&gt;300</formula>
    </cfRule>
    <cfRule type="expression" dxfId="10530" priority="179" stopIfTrue="1">
      <formula>(ISNUMBER(SEARCH("UV",D133)))</formula>
    </cfRule>
    <cfRule type="expression" dxfId="10529" priority="180">
      <formula>(((I133*3600)/(C141*I130))^2+20)&gt;180</formula>
    </cfRule>
    <cfRule type="expression" dxfId="10528" priority="181">
      <formula>D141="KSA"</formula>
    </cfRule>
  </conditionalFormatting>
  <conditionalFormatting sqref="F143">
    <cfRule type="cellIs" dxfId="10527" priority="202" operator="lessThan">
      <formula>2100</formula>
    </cfRule>
  </conditionalFormatting>
  <conditionalFormatting sqref="F148">
    <cfRule type="cellIs" dxfId="10526" priority="153" operator="greaterThan">
      <formula>3001</formula>
    </cfRule>
  </conditionalFormatting>
  <conditionalFormatting sqref="F151">
    <cfRule type="expression" dxfId="10525" priority="130">
      <formula>(C151="LED STRIP")</formula>
    </cfRule>
    <cfRule type="expression" dxfId="10524" priority="131">
      <formula>(C151="LIGHT SELECTION")</formula>
    </cfRule>
    <cfRule type="expression" dxfId="10523" priority="133">
      <formula>(C151="FLO")</formula>
    </cfRule>
  </conditionalFormatting>
  <conditionalFormatting sqref="F158:F159">
    <cfRule type="expression" dxfId="10522" priority="118">
      <formula>D158="NF"</formula>
    </cfRule>
    <cfRule type="expression" dxfId="10521" priority="119">
      <formula>D158="WW PODS"</formula>
    </cfRule>
    <cfRule type="expression" dxfId="10520" priority="120">
      <formula>D158="GRILLE"</formula>
    </cfRule>
    <cfRule type="expression" dxfId="10519" priority="121">
      <formula>D158="CENTREX"</formula>
    </cfRule>
    <cfRule type="expression" dxfId="10518" priority="122" stopIfTrue="1">
      <formula>D150="canopy type"</formula>
    </cfRule>
    <cfRule type="expression" dxfId="10517" priority="123">
      <formula>(((I150*3600)/(C158*I147))^2+20)&gt;300</formula>
    </cfRule>
    <cfRule type="expression" dxfId="10516" priority="124" stopIfTrue="1">
      <formula>(ISNUMBER(SEARCH("UV",D150)))</formula>
    </cfRule>
    <cfRule type="expression" dxfId="10515" priority="125">
      <formula>(((I150*3600)/(C158*I147))^2+20)&gt;180</formula>
    </cfRule>
    <cfRule type="expression" dxfId="10514" priority="126">
      <formula>D158="KSA"</formula>
    </cfRule>
  </conditionalFormatting>
  <conditionalFormatting sqref="F160">
    <cfRule type="cellIs" dxfId="10513" priority="147" operator="lessThan">
      <formula>2100</formula>
    </cfRule>
  </conditionalFormatting>
  <conditionalFormatting sqref="F165">
    <cfRule type="cellIs" dxfId="10512" priority="98" operator="greaterThan">
      <formula>3001</formula>
    </cfRule>
  </conditionalFormatting>
  <conditionalFormatting sqref="F168">
    <cfRule type="expression" dxfId="10511" priority="75">
      <formula>(C168="LED STRIP")</formula>
    </cfRule>
    <cfRule type="expression" dxfId="10510" priority="76">
      <formula>(C168="LIGHT SELECTION")</formula>
    </cfRule>
    <cfRule type="expression" dxfId="10509" priority="78">
      <formula>(C168="FLO")</formula>
    </cfRule>
  </conditionalFormatting>
  <conditionalFormatting sqref="F175:F176">
    <cfRule type="expression" dxfId="10508" priority="63">
      <formula>D175="NF"</formula>
    </cfRule>
    <cfRule type="expression" dxfId="10507" priority="64">
      <formula>D175="WW PODS"</formula>
    </cfRule>
    <cfRule type="expression" dxfId="10506" priority="65">
      <formula>D175="GRILLE"</formula>
    </cfRule>
    <cfRule type="expression" dxfId="10505" priority="66">
      <formula>D175="CENTREX"</formula>
    </cfRule>
    <cfRule type="expression" dxfId="10504" priority="67" stopIfTrue="1">
      <formula>D167="canopy type"</formula>
    </cfRule>
    <cfRule type="expression" dxfId="10503" priority="68">
      <formula>(((I167*3600)/(C175*I164))^2+20)&gt;300</formula>
    </cfRule>
    <cfRule type="expression" dxfId="10502" priority="69" stopIfTrue="1">
      <formula>(ISNUMBER(SEARCH("UV",D167)))</formula>
    </cfRule>
    <cfRule type="expression" dxfId="10501" priority="70">
      <formula>(((I167*3600)/(C175*I164))^2+20)&gt;180</formula>
    </cfRule>
    <cfRule type="expression" dxfId="10500" priority="71">
      <formula>D175="KSA"</formula>
    </cfRule>
  </conditionalFormatting>
  <conditionalFormatting sqref="F177">
    <cfRule type="cellIs" dxfId="10499" priority="92" operator="lessThan">
      <formula>2100</formula>
    </cfRule>
  </conditionalFormatting>
  <conditionalFormatting sqref="G11">
    <cfRule type="expression" dxfId="10498" priority="705">
      <formula>((F14-50)/H14)&lt;950</formula>
    </cfRule>
  </conditionalFormatting>
  <conditionalFormatting sqref="G12">
    <cfRule type="expression" dxfId="10497" priority="704">
      <formula>((F14-50)/H14)&lt;950</formula>
    </cfRule>
  </conditionalFormatting>
  <conditionalFormatting sqref="G14">
    <cfRule type="cellIs" dxfId="10496" priority="700" operator="lessThan">
      <formula>400</formula>
    </cfRule>
  </conditionalFormatting>
  <conditionalFormatting sqref="G28">
    <cfRule type="expression" dxfId="10495" priority="649">
      <formula>((F31-50)/H31)&lt;950</formula>
    </cfRule>
  </conditionalFormatting>
  <conditionalFormatting sqref="G29">
    <cfRule type="expression" dxfId="10494" priority="627">
      <formula>((F31-50)/H31)&lt;950</formula>
    </cfRule>
  </conditionalFormatting>
  <conditionalFormatting sqref="G31">
    <cfRule type="cellIs" dxfId="10493" priority="623" operator="lessThan">
      <formula>400</formula>
    </cfRule>
  </conditionalFormatting>
  <conditionalFormatting sqref="G45">
    <cfRule type="expression" dxfId="10492" priority="665">
      <formula>((F48-50)/H48)&lt;950</formula>
    </cfRule>
  </conditionalFormatting>
  <conditionalFormatting sqref="G46">
    <cfRule type="expression" dxfId="10491" priority="595">
      <formula>((F48-50)/H48)&lt;950</formula>
    </cfRule>
  </conditionalFormatting>
  <conditionalFormatting sqref="G48">
    <cfRule type="cellIs" dxfId="10490" priority="591" operator="lessThan">
      <formula>400</formula>
    </cfRule>
  </conditionalFormatting>
  <conditionalFormatting sqref="G62">
    <cfRule type="expression" dxfId="10489" priority="666">
      <formula>((F65-50)/H65)&lt;950</formula>
    </cfRule>
  </conditionalFormatting>
  <conditionalFormatting sqref="G63">
    <cfRule type="expression" dxfId="10488" priority="565">
      <formula>((F65-50)/H65)&lt;950</formula>
    </cfRule>
  </conditionalFormatting>
  <conditionalFormatting sqref="G65">
    <cfRule type="cellIs" dxfId="10487" priority="561" operator="lessThan">
      <formula>400</formula>
    </cfRule>
  </conditionalFormatting>
  <conditionalFormatting sqref="G79">
    <cfRule type="expression" dxfId="10486" priority="667">
      <formula>((F82-50)/H82)&lt;950</formula>
    </cfRule>
  </conditionalFormatting>
  <conditionalFormatting sqref="G80">
    <cfRule type="expression" dxfId="10485" priority="534">
      <formula>((F82-50)/H82)&lt;950</formula>
    </cfRule>
  </conditionalFormatting>
  <conditionalFormatting sqref="G82">
    <cfRule type="cellIs" dxfId="10484" priority="530" operator="lessThan">
      <formula>400</formula>
    </cfRule>
  </conditionalFormatting>
  <conditionalFormatting sqref="G96">
    <cfRule type="expression" dxfId="10483" priority="677">
      <formula>((F99-50)/H99)&lt;950</formula>
    </cfRule>
  </conditionalFormatting>
  <conditionalFormatting sqref="G97">
    <cfRule type="expression" dxfId="10482" priority="502">
      <formula>((F99-50)/H99)&lt;950</formula>
    </cfRule>
  </conditionalFormatting>
  <conditionalFormatting sqref="G99">
    <cfRule type="cellIs" dxfId="10481" priority="498" operator="lessThan">
      <formula>400</formula>
    </cfRule>
  </conditionalFormatting>
  <conditionalFormatting sqref="G113">
    <cfRule type="expression" dxfId="10480" priority="289">
      <formula>((F116-50)/H116)&lt;950</formula>
    </cfRule>
  </conditionalFormatting>
  <conditionalFormatting sqref="G114">
    <cfRule type="expression" dxfId="10479" priority="278">
      <formula>((F116-50)/H116)&lt;950</formula>
    </cfRule>
  </conditionalFormatting>
  <conditionalFormatting sqref="G116">
    <cfRule type="cellIs" dxfId="10478" priority="274" operator="lessThan">
      <formula>400</formula>
    </cfRule>
  </conditionalFormatting>
  <conditionalFormatting sqref="G130">
    <cfRule type="expression" dxfId="10477" priority="220">
      <formula>((F133-50)/H133)&lt;950</formula>
    </cfRule>
  </conditionalFormatting>
  <conditionalFormatting sqref="G131">
    <cfRule type="expression" dxfId="10476" priority="209">
      <formula>((F133-50)/H133)&lt;950</formula>
    </cfRule>
  </conditionalFormatting>
  <conditionalFormatting sqref="G133">
    <cfRule type="cellIs" dxfId="10475" priority="205" operator="lessThan">
      <formula>400</formula>
    </cfRule>
  </conditionalFormatting>
  <conditionalFormatting sqref="G147">
    <cfRule type="expression" dxfId="10474" priority="165">
      <formula>((F150-50)/H150)&lt;950</formula>
    </cfRule>
  </conditionalFormatting>
  <conditionalFormatting sqref="G148">
    <cfRule type="expression" dxfId="10473" priority="154">
      <formula>((F150-50)/H150)&lt;950</formula>
    </cfRule>
  </conditionalFormatting>
  <conditionalFormatting sqref="G150">
    <cfRule type="cellIs" dxfId="10472" priority="150" operator="lessThan">
      <formula>400</formula>
    </cfRule>
  </conditionalFormatting>
  <conditionalFormatting sqref="G164">
    <cfRule type="expression" dxfId="10471" priority="110">
      <formula>((F167-50)/H167)&lt;950</formula>
    </cfRule>
  </conditionalFormatting>
  <conditionalFormatting sqref="G165">
    <cfRule type="expression" dxfId="10470" priority="99">
      <formula>((F167-50)/H167)&lt;950</formula>
    </cfRule>
  </conditionalFormatting>
  <conditionalFormatting sqref="G167">
    <cfRule type="cellIs" dxfId="10469" priority="95" operator="lessThan">
      <formula>400</formula>
    </cfRule>
  </conditionalFormatting>
  <conditionalFormatting sqref="I14">
    <cfRule type="cellIs" dxfId="10468" priority="701" operator="lessThan">
      <formula>0.1</formula>
    </cfRule>
  </conditionalFormatting>
  <conditionalFormatting sqref="I31">
    <cfRule type="cellIs" dxfId="10467" priority="624" operator="lessThan">
      <formula>0.1</formula>
    </cfRule>
  </conditionalFormatting>
  <conditionalFormatting sqref="I48">
    <cfRule type="cellIs" dxfId="10466" priority="592" operator="lessThan">
      <formula>0.1</formula>
    </cfRule>
  </conditionalFormatting>
  <conditionalFormatting sqref="I65">
    <cfRule type="cellIs" dxfId="10465" priority="562" operator="lessThan">
      <formula>0.1</formula>
    </cfRule>
  </conditionalFormatting>
  <conditionalFormatting sqref="I82">
    <cfRule type="cellIs" dxfId="10464" priority="531" operator="lessThan">
      <formula>0.1</formula>
    </cfRule>
  </conditionalFormatting>
  <conditionalFormatting sqref="I99">
    <cfRule type="cellIs" dxfId="10463" priority="499" operator="lessThan">
      <formula>0.1</formula>
    </cfRule>
  </conditionalFormatting>
  <conditionalFormatting sqref="I116">
    <cfRule type="cellIs" dxfId="10462" priority="275" operator="lessThan">
      <formula>0.1</formula>
    </cfRule>
  </conditionalFormatting>
  <conditionalFormatting sqref="I133">
    <cfRule type="cellIs" dxfId="10461" priority="206" operator="lessThan">
      <formula>0.1</formula>
    </cfRule>
  </conditionalFormatting>
  <conditionalFormatting sqref="I150">
    <cfRule type="cellIs" dxfId="10460" priority="151" operator="lessThan">
      <formula>0.1</formula>
    </cfRule>
  </conditionalFormatting>
  <conditionalFormatting sqref="I167">
    <cfRule type="cellIs" dxfId="10459" priority="96" operator="lessThan">
      <formula>0.1</formula>
    </cfRule>
  </conditionalFormatting>
  <conditionalFormatting sqref="J14:J27">
    <cfRule type="cellIs" dxfId="10458" priority="422" operator="greaterThan">
      <formula>0</formula>
    </cfRule>
  </conditionalFormatting>
  <conditionalFormatting sqref="J31:J32 J34:J44">
    <cfRule type="cellIs" dxfId="10457" priority="395" operator="greaterThan">
      <formula>0</formula>
    </cfRule>
  </conditionalFormatting>
  <conditionalFormatting sqref="J48:J49 J51:J61">
    <cfRule type="cellIs" dxfId="10456" priority="369" operator="greaterThan">
      <formula>0</formula>
    </cfRule>
  </conditionalFormatting>
  <conditionalFormatting sqref="J65:J66 J68:J78">
    <cfRule type="cellIs" dxfId="10455" priority="343" operator="greaterThan">
      <formula>0</formula>
    </cfRule>
  </conditionalFormatting>
  <conditionalFormatting sqref="J82:J83 J85:J95">
    <cfRule type="cellIs" dxfId="10454" priority="317" operator="greaterThan">
      <formula>0</formula>
    </cfRule>
  </conditionalFormatting>
  <conditionalFormatting sqref="J99:J100 J102:J112">
    <cfRule type="cellIs" dxfId="10453" priority="291" operator="greaterThan">
      <formula>0</formula>
    </cfRule>
  </conditionalFormatting>
  <conditionalFormatting sqref="J116:J117 J133:J134 J150:J151 J167:J168 J119:J129 J136:J146 J153:J163 J170:J180">
    <cfRule type="cellIs" dxfId="10452" priority="226" operator="greaterThan">
      <formula>0</formula>
    </cfRule>
  </conditionalFormatting>
  <conditionalFormatting sqref="J183:J197">
    <cfRule type="expression" dxfId="10451" priority="221">
      <formula>C183&gt;0</formula>
    </cfRule>
  </conditionalFormatting>
  <conditionalFormatting sqref="J199">
    <cfRule type="expression" dxfId="10450" priority="682">
      <formula>#REF!="EURO"</formula>
    </cfRule>
  </conditionalFormatting>
  <conditionalFormatting sqref="K14:K27">
    <cfRule type="cellIs" dxfId="10449" priority="436" operator="greaterThan">
      <formula>0</formula>
    </cfRule>
  </conditionalFormatting>
  <conditionalFormatting sqref="K31:K32 K34:K44">
    <cfRule type="cellIs" dxfId="10448" priority="398" operator="greaterThan">
      <formula>0</formula>
    </cfRule>
  </conditionalFormatting>
  <conditionalFormatting sqref="K48:K49 K51:K61">
    <cfRule type="cellIs" dxfId="10447" priority="372" operator="greaterThan">
      <formula>0</formula>
    </cfRule>
  </conditionalFormatting>
  <conditionalFormatting sqref="K65:K66 K68:K78">
    <cfRule type="cellIs" dxfId="10446" priority="346" operator="greaterThan">
      <formula>0</formula>
    </cfRule>
  </conditionalFormatting>
  <conditionalFormatting sqref="K82:K83 K85:K95">
    <cfRule type="cellIs" dxfId="10445" priority="320" operator="greaterThan">
      <formula>0</formula>
    </cfRule>
  </conditionalFormatting>
  <conditionalFormatting sqref="K99:K100 K102:K112">
    <cfRule type="cellIs" dxfId="10444" priority="294" operator="greaterThan">
      <formula>0</formula>
    </cfRule>
  </conditionalFormatting>
  <conditionalFormatting sqref="K116:K117 K133:K134 K150:K151 K167:K168 K119:K129 K136:K146 K153:K163 K170:K180">
    <cfRule type="cellIs" dxfId="10443" priority="229" operator="greaterThan">
      <formula>0</formula>
    </cfRule>
  </conditionalFormatting>
  <conditionalFormatting sqref="K183:K197">
    <cfRule type="cellIs" dxfId="10442" priority="222" operator="greaterThan">
      <formula>0</formula>
    </cfRule>
  </conditionalFormatting>
  <conditionalFormatting sqref="K199">
    <cfRule type="expression" dxfId="10441" priority="678">
      <formula>$B$9="PLN"</formula>
    </cfRule>
    <cfRule type="expression" dxfId="10440" priority="679">
      <formula>$B$9="CZK"</formula>
    </cfRule>
    <cfRule type="expression" dxfId="10439" priority="680">
      <formula>$B$9="USD"</formula>
    </cfRule>
    <cfRule type="expression" dxfId="10438" priority="681">
      <formula>$B$9="EURO"</formula>
    </cfRule>
  </conditionalFormatting>
  <conditionalFormatting sqref="L14:L27">
    <cfRule type="expression" dxfId="10437" priority="433">
      <formula>$C$9&lt;0</formula>
    </cfRule>
    <cfRule type="expression" dxfId="10436" priority="434">
      <formula>$C$9&gt;0</formula>
    </cfRule>
  </conditionalFormatting>
  <conditionalFormatting sqref="L31:L44">
    <cfRule type="expression" dxfId="10435" priority="396">
      <formula>$C$9&lt;0</formula>
    </cfRule>
    <cfRule type="expression" dxfId="10434" priority="397">
      <formula>$C$9&gt;0</formula>
    </cfRule>
  </conditionalFormatting>
  <conditionalFormatting sqref="L48:L61">
    <cfRule type="expression" dxfId="10433" priority="370">
      <formula>$C$9&lt;0</formula>
    </cfRule>
    <cfRule type="expression" dxfId="10432" priority="371">
      <formula>$C$9&gt;0</formula>
    </cfRule>
  </conditionalFormatting>
  <conditionalFormatting sqref="L65:L78">
    <cfRule type="expression" dxfId="10431" priority="344">
      <formula>$C$9&lt;0</formula>
    </cfRule>
    <cfRule type="expression" dxfId="10430" priority="345">
      <formula>$C$9&gt;0</formula>
    </cfRule>
  </conditionalFormatting>
  <conditionalFormatting sqref="L82:L95">
    <cfRule type="expression" dxfId="10429" priority="318">
      <formula>$C$9&lt;0</formula>
    </cfRule>
    <cfRule type="expression" dxfId="10428" priority="319">
      <formula>$C$9&gt;0</formula>
    </cfRule>
  </conditionalFormatting>
  <conditionalFormatting sqref="L99:L112">
    <cfRule type="expression" dxfId="10427" priority="292">
      <formula>$C$9&lt;0</formula>
    </cfRule>
    <cfRule type="expression" dxfId="10426" priority="293">
      <formula>$C$9&gt;0</formula>
    </cfRule>
  </conditionalFormatting>
  <conditionalFormatting sqref="L116:L129 L133:L146 L150:L163 L167:L180">
    <cfRule type="expression" dxfId="10425" priority="227">
      <formula>$C$9&lt;0</formula>
    </cfRule>
    <cfRule type="expression" dxfId="10424" priority="228">
      <formula>$C$9&gt;0</formula>
    </cfRule>
  </conditionalFormatting>
  <conditionalFormatting sqref="L183:L197">
    <cfRule type="expression" dxfId="10423" priority="668">
      <formula>$C$9&lt;0</formula>
    </cfRule>
    <cfRule type="expression" dxfId="10422" priority="669">
      <formula>$C$9&gt;0</formula>
    </cfRule>
  </conditionalFormatting>
  <conditionalFormatting sqref="N9 N12">
    <cfRule type="expression" dxfId="10421" priority="712">
      <formula>$B$9="PLN"</formula>
    </cfRule>
    <cfRule type="expression" dxfId="10420" priority="713">
      <formula>$B$9="CZK"</formula>
    </cfRule>
    <cfRule type="expression" dxfId="10419" priority="714">
      <formula>$B$9="USD"</formula>
    </cfRule>
    <cfRule type="expression" dxfId="10418" priority="715">
      <formula>$B$9="EURO"</formula>
    </cfRule>
  </conditionalFormatting>
  <conditionalFormatting sqref="N14:N27">
    <cfRule type="cellIs" dxfId="10417" priority="652" operator="greaterThan">
      <formula>0</formula>
    </cfRule>
    <cfRule type="expression" dxfId="10416" priority="653">
      <formula>$B$9="EURO"</formula>
    </cfRule>
    <cfRule type="expression" dxfId="10415" priority="654">
      <formula>$B$9="USD"</formula>
    </cfRule>
    <cfRule type="expression" dxfId="10414" priority="655">
      <formula>$B$9="PLN"</formula>
    </cfRule>
    <cfRule type="expression" dxfId="10413" priority="656">
      <formula>$B$9="CZK"</formula>
    </cfRule>
  </conditionalFormatting>
  <conditionalFormatting sqref="N29">
    <cfRule type="expression" dxfId="10412" priority="633">
      <formula>$B$9="PLN"</formula>
    </cfRule>
    <cfRule type="expression" dxfId="10411" priority="634">
      <formula>$B$9="CZK"</formula>
    </cfRule>
    <cfRule type="expression" dxfId="10410" priority="635">
      <formula>$B$9="USD"</formula>
    </cfRule>
    <cfRule type="expression" dxfId="10409" priority="636">
      <formula>$B$9="EURO"</formula>
    </cfRule>
  </conditionalFormatting>
  <conditionalFormatting sqref="N31:N44">
    <cfRule type="cellIs" dxfId="10408" priority="401" operator="greaterThan">
      <formula>0</formula>
    </cfRule>
    <cfRule type="expression" dxfId="10407" priority="402">
      <formula>$B$9="EURO"</formula>
    </cfRule>
    <cfRule type="expression" dxfId="10406" priority="403">
      <formula>$B$9="USD"</formula>
    </cfRule>
    <cfRule type="expression" dxfId="10405" priority="404">
      <formula>$B$9="PLN"</formula>
    </cfRule>
    <cfRule type="expression" dxfId="10404" priority="405">
      <formula>$B$9="CZK"</formula>
    </cfRule>
  </conditionalFormatting>
  <conditionalFormatting sqref="N46">
    <cfRule type="expression" dxfId="10403" priority="601">
      <formula>$B$9="PLN"</formula>
    </cfRule>
    <cfRule type="expression" dxfId="10402" priority="602">
      <formula>$B$9="CZK"</formula>
    </cfRule>
    <cfRule type="expression" dxfId="10401" priority="603">
      <formula>$B$9="USD"</formula>
    </cfRule>
    <cfRule type="expression" dxfId="10400" priority="604">
      <formula>$B$9="EURO"</formula>
    </cfRule>
  </conditionalFormatting>
  <conditionalFormatting sqref="N48:N61">
    <cfRule type="cellIs" dxfId="10399" priority="375" operator="greaterThan">
      <formula>0</formula>
    </cfRule>
    <cfRule type="expression" dxfId="10398" priority="376">
      <formula>$B$9="EURO"</formula>
    </cfRule>
    <cfRule type="expression" dxfId="10397" priority="377">
      <formula>$B$9="USD"</formula>
    </cfRule>
    <cfRule type="expression" dxfId="10396" priority="378">
      <formula>$B$9="PLN"</formula>
    </cfRule>
    <cfRule type="expression" dxfId="10395" priority="379">
      <formula>$B$9="CZK"</formula>
    </cfRule>
  </conditionalFormatting>
  <conditionalFormatting sqref="N63">
    <cfRule type="expression" dxfId="10394" priority="571">
      <formula>$B$9="PLN"</formula>
    </cfRule>
    <cfRule type="expression" dxfId="10393" priority="572">
      <formula>$B$9="CZK"</formula>
    </cfRule>
    <cfRule type="expression" dxfId="10392" priority="573">
      <formula>$B$9="USD"</formula>
    </cfRule>
    <cfRule type="expression" dxfId="10391" priority="574">
      <formula>$B$9="EURO"</formula>
    </cfRule>
  </conditionalFormatting>
  <conditionalFormatting sqref="N65:N78">
    <cfRule type="cellIs" dxfId="10390" priority="349" operator="greaterThan">
      <formula>0</formula>
    </cfRule>
    <cfRule type="expression" dxfId="10389" priority="350">
      <formula>$B$9="EURO"</formula>
    </cfRule>
    <cfRule type="expression" dxfId="10388" priority="351">
      <formula>$B$9="USD"</formula>
    </cfRule>
    <cfRule type="expression" dxfId="10387" priority="352">
      <formula>$B$9="PLN"</formula>
    </cfRule>
    <cfRule type="expression" dxfId="10386" priority="353">
      <formula>$B$9="CZK"</formula>
    </cfRule>
  </conditionalFormatting>
  <conditionalFormatting sqref="N80">
    <cfRule type="expression" dxfId="10385" priority="540">
      <formula>$B$9="PLN"</formula>
    </cfRule>
    <cfRule type="expression" dxfId="10384" priority="541">
      <formula>$B$9="CZK"</formula>
    </cfRule>
    <cfRule type="expression" dxfId="10383" priority="542">
      <formula>$B$9="USD"</formula>
    </cfRule>
    <cfRule type="expression" dxfId="10382" priority="543">
      <formula>$B$9="EURO"</formula>
    </cfRule>
  </conditionalFormatting>
  <conditionalFormatting sqref="N82:N95">
    <cfRule type="cellIs" dxfId="10381" priority="323" operator="greaterThan">
      <formula>0</formula>
    </cfRule>
    <cfRule type="expression" dxfId="10380" priority="324">
      <formula>$B$9="EURO"</formula>
    </cfRule>
    <cfRule type="expression" dxfId="10379" priority="325">
      <formula>$B$9="USD"</formula>
    </cfRule>
    <cfRule type="expression" dxfId="10378" priority="326">
      <formula>$B$9="PLN"</formula>
    </cfRule>
    <cfRule type="expression" dxfId="10377" priority="327">
      <formula>$B$9="CZK"</formula>
    </cfRule>
  </conditionalFormatting>
  <conditionalFormatting sqref="N97">
    <cfRule type="expression" dxfId="10376" priority="508">
      <formula>$B$9="PLN"</formula>
    </cfRule>
    <cfRule type="expression" dxfId="10375" priority="509">
      <formula>$B$9="CZK"</formula>
    </cfRule>
    <cfRule type="expression" dxfId="10374" priority="510">
      <formula>$B$9="USD"</formula>
    </cfRule>
    <cfRule type="expression" dxfId="10373" priority="511">
      <formula>$B$9="EURO"</formula>
    </cfRule>
  </conditionalFormatting>
  <conditionalFormatting sqref="N99:N112">
    <cfRule type="cellIs" dxfId="10372" priority="297" operator="greaterThan">
      <formula>0</formula>
    </cfRule>
    <cfRule type="expression" dxfId="10371" priority="298">
      <formula>$B$9="EURO"</formula>
    </cfRule>
    <cfRule type="expression" dxfId="10370" priority="299">
      <formula>$B$9="USD"</formula>
    </cfRule>
    <cfRule type="expression" dxfId="10369" priority="300">
      <formula>$B$9="PLN"</formula>
    </cfRule>
    <cfRule type="expression" dxfId="10368" priority="301">
      <formula>$B$9="CZK"</formula>
    </cfRule>
  </conditionalFormatting>
  <conditionalFormatting sqref="N114">
    <cfRule type="expression" dxfId="10367" priority="284">
      <formula>$B$9="PLN"</formula>
    </cfRule>
    <cfRule type="expression" dxfId="10366" priority="285">
      <formula>$B$9="CZK"</formula>
    </cfRule>
    <cfRule type="expression" dxfId="10365" priority="286">
      <formula>$B$9="USD"</formula>
    </cfRule>
    <cfRule type="expression" dxfId="10364" priority="287">
      <formula>$B$9="EURO"</formula>
    </cfRule>
  </conditionalFormatting>
  <conditionalFormatting sqref="N116:N129 N133:N146 N150:N163 N167:N180">
    <cfRule type="cellIs" dxfId="10363" priority="232" operator="greaterThan">
      <formula>0</formula>
    </cfRule>
    <cfRule type="expression" dxfId="10362" priority="233">
      <formula>$B$9="EURO"</formula>
    </cfRule>
    <cfRule type="expression" dxfId="10361" priority="234">
      <formula>$B$9="USD"</formula>
    </cfRule>
    <cfRule type="expression" dxfId="10360" priority="235">
      <formula>$B$9="PLN"</formula>
    </cfRule>
    <cfRule type="expression" dxfId="10359" priority="236">
      <formula>$B$9="CZK"</formula>
    </cfRule>
  </conditionalFormatting>
  <conditionalFormatting sqref="N131">
    <cfRule type="expression" dxfId="10358" priority="215">
      <formula>$B$9="PLN"</formula>
    </cfRule>
    <cfRule type="expression" dxfId="10357" priority="216">
      <formula>$B$9="CZK"</formula>
    </cfRule>
    <cfRule type="expression" dxfId="10356" priority="217">
      <formula>$B$9="USD"</formula>
    </cfRule>
    <cfRule type="expression" dxfId="10355" priority="218">
      <formula>$B$9="EURO"</formula>
    </cfRule>
  </conditionalFormatting>
  <conditionalFormatting sqref="N148">
    <cfRule type="expression" dxfId="10354" priority="160">
      <formula>$B$9="PLN"</formula>
    </cfRule>
    <cfRule type="expression" dxfId="10353" priority="161">
      <formula>$B$9="CZK"</formula>
    </cfRule>
    <cfRule type="expression" dxfId="10352" priority="162">
      <formula>$B$9="USD"</formula>
    </cfRule>
    <cfRule type="expression" dxfId="10351" priority="163">
      <formula>$B$9="EURO"</formula>
    </cfRule>
  </conditionalFormatting>
  <conditionalFormatting sqref="N165">
    <cfRule type="expression" dxfId="10350" priority="105">
      <formula>$B$9="PLN"</formula>
    </cfRule>
    <cfRule type="expression" dxfId="10349" priority="106">
      <formula>$B$9="CZK"</formula>
    </cfRule>
    <cfRule type="expression" dxfId="10348" priority="107">
      <formula>$B$9="USD"</formula>
    </cfRule>
    <cfRule type="expression" dxfId="10347" priority="108">
      <formula>$B$9="EURO"</formula>
    </cfRule>
  </conditionalFormatting>
  <conditionalFormatting sqref="N183:N197">
    <cfRule type="cellIs" dxfId="10346" priority="660" operator="greaterThan">
      <formula>0</formula>
    </cfRule>
    <cfRule type="expression" dxfId="10345" priority="661">
      <formula>$B$9="EURO"</formula>
    </cfRule>
    <cfRule type="expression" dxfId="10344" priority="662">
      <formula>$B$9="USD"</formula>
    </cfRule>
    <cfRule type="expression" dxfId="10343" priority="663">
      <formula>$B$9="PLN"</formula>
    </cfRule>
    <cfRule type="expression" dxfId="10342" priority="664">
      <formula>$B$9="CZK"</formula>
    </cfRule>
  </conditionalFormatting>
  <conditionalFormatting sqref="N182:O182">
    <cfRule type="expression" dxfId="10341" priority="670">
      <formula>$B$9="PLN"</formula>
    </cfRule>
    <cfRule type="expression" dxfId="10340" priority="671">
      <formula>$B$9="CZK"</formula>
    </cfRule>
    <cfRule type="expression" dxfId="10339" priority="672">
      <formula>$B$9="USD"</formula>
    </cfRule>
    <cfRule type="expression" dxfId="10338" priority="673">
      <formula>$B$9="EURO"</formula>
    </cfRule>
  </conditionalFormatting>
  <conditionalFormatting sqref="O14:O27">
    <cfRule type="cellIs" dxfId="10337" priority="657" operator="greaterThan">
      <formula>0</formula>
    </cfRule>
  </conditionalFormatting>
  <conditionalFormatting sqref="O31:O44">
    <cfRule type="cellIs" dxfId="10336" priority="406" operator="greaterThan">
      <formula>0</formula>
    </cfRule>
  </conditionalFormatting>
  <conditionalFormatting sqref="O48:O61">
    <cfRule type="cellIs" dxfId="10335" priority="380" operator="greaterThan">
      <formula>0</formula>
    </cfRule>
  </conditionalFormatting>
  <conditionalFormatting sqref="O65:O78">
    <cfRule type="cellIs" dxfId="10334" priority="354" operator="greaterThan">
      <formula>0</formula>
    </cfRule>
  </conditionalFormatting>
  <conditionalFormatting sqref="O82:O95">
    <cfRule type="cellIs" dxfId="10333" priority="328" operator="greaterThan">
      <formula>0</formula>
    </cfRule>
  </conditionalFormatting>
  <conditionalFormatting sqref="O99:O112">
    <cfRule type="cellIs" dxfId="10332" priority="302" operator="greaterThan">
      <formula>0</formula>
    </cfRule>
  </conditionalFormatting>
  <conditionalFormatting sqref="O116:O129 O133:O146 O150:O163 O167:O180">
    <cfRule type="cellIs" dxfId="10331" priority="237" operator="greaterThan">
      <formula>0</formula>
    </cfRule>
  </conditionalFormatting>
  <conditionalFormatting sqref="O183:O197">
    <cfRule type="cellIs" dxfId="10330" priority="683" operator="greaterThan">
      <formula>0</formula>
    </cfRule>
  </conditionalFormatting>
  <conditionalFormatting sqref="Q16">
    <cfRule type="cellIs" dxfId="10329" priority="423" operator="greaterThan">
      <formula>0</formula>
    </cfRule>
    <cfRule type="expression" dxfId="10328" priority="424">
      <formula>$B$9="EURO"</formula>
    </cfRule>
    <cfRule type="expression" dxfId="10327" priority="425">
      <formula>$B$9="USD"</formula>
    </cfRule>
    <cfRule type="expression" dxfId="10326" priority="426">
      <formula>$B$9="PLN"</formula>
    </cfRule>
    <cfRule type="expression" dxfId="10325" priority="427">
      <formula>$B$9="CZK"</formula>
    </cfRule>
  </conditionalFormatting>
  <conditionalFormatting sqref="B33">
    <cfRule type="expression" dxfId="10324" priority="52">
      <formula>$J33&gt;0</formula>
    </cfRule>
  </conditionalFormatting>
  <conditionalFormatting sqref="D33">
    <cfRule type="expression" dxfId="10322" priority="53">
      <formula>($C33="SELECT WORKS")</formula>
    </cfRule>
  </conditionalFormatting>
  <conditionalFormatting sqref="E33">
    <cfRule type="expression" dxfId="10321" priority="49">
      <formula>$C33="SELECT WORKS"</formula>
    </cfRule>
  </conditionalFormatting>
  <conditionalFormatting sqref="J33">
    <cfRule type="cellIs" dxfId="10320" priority="50" operator="greaterThan">
      <formula>0</formula>
    </cfRule>
  </conditionalFormatting>
  <conditionalFormatting sqref="K33">
    <cfRule type="cellIs" dxfId="10319" priority="51" operator="greaterThan">
      <formula>0</formula>
    </cfRule>
  </conditionalFormatting>
  <conditionalFormatting sqref="B50">
    <cfRule type="expression" dxfId="10318" priority="46">
      <formula>$J50&gt;0</formula>
    </cfRule>
  </conditionalFormatting>
  <conditionalFormatting sqref="D50">
    <cfRule type="expression" dxfId="10316" priority="47">
      <formula>($C50="SELECT WORKS")</formula>
    </cfRule>
  </conditionalFormatting>
  <conditionalFormatting sqref="E50">
    <cfRule type="expression" dxfId="10315" priority="43">
      <formula>$C50="SELECT WORKS"</formula>
    </cfRule>
  </conditionalFormatting>
  <conditionalFormatting sqref="J50">
    <cfRule type="cellIs" dxfId="10314" priority="44" operator="greaterThan">
      <formula>0</formula>
    </cfRule>
  </conditionalFormatting>
  <conditionalFormatting sqref="K50">
    <cfRule type="cellIs" dxfId="10313" priority="45" operator="greaterThan">
      <formula>0</formula>
    </cfRule>
  </conditionalFormatting>
  <conditionalFormatting sqref="B67">
    <cfRule type="expression" dxfId="10312" priority="40">
      <formula>$J67&gt;0</formula>
    </cfRule>
  </conditionalFormatting>
  <conditionalFormatting sqref="D67">
    <cfRule type="expression" dxfId="10310" priority="41">
      <formula>($C67="SELECT WORKS")</formula>
    </cfRule>
  </conditionalFormatting>
  <conditionalFormatting sqref="E67">
    <cfRule type="expression" dxfId="10309" priority="37">
      <formula>$C67="SELECT WORKS"</formula>
    </cfRule>
  </conditionalFormatting>
  <conditionalFormatting sqref="J67">
    <cfRule type="cellIs" dxfId="10308" priority="38" operator="greaterThan">
      <formula>0</formula>
    </cfRule>
  </conditionalFormatting>
  <conditionalFormatting sqref="K67">
    <cfRule type="cellIs" dxfId="10307" priority="39" operator="greaterThan">
      <formula>0</formula>
    </cfRule>
  </conditionalFormatting>
  <conditionalFormatting sqref="B84">
    <cfRule type="expression" dxfId="10306" priority="34">
      <formula>$J84&gt;0</formula>
    </cfRule>
  </conditionalFormatting>
  <conditionalFormatting sqref="D84">
    <cfRule type="expression" dxfId="10304" priority="35">
      <formula>($C84="SELECT WORKS")</formula>
    </cfRule>
  </conditionalFormatting>
  <conditionalFormatting sqref="E84">
    <cfRule type="expression" dxfId="10303" priority="31">
      <formula>$C84="SELECT WORKS"</formula>
    </cfRule>
  </conditionalFormatting>
  <conditionalFormatting sqref="J84">
    <cfRule type="cellIs" dxfId="10302" priority="32" operator="greaterThan">
      <formula>0</formula>
    </cfRule>
  </conditionalFormatting>
  <conditionalFormatting sqref="K84">
    <cfRule type="cellIs" dxfId="10301" priority="33" operator="greaterThan">
      <formula>0</formula>
    </cfRule>
  </conditionalFormatting>
  <conditionalFormatting sqref="B101">
    <cfRule type="expression" dxfId="10300" priority="28">
      <formula>$J101&gt;0</formula>
    </cfRule>
  </conditionalFormatting>
  <conditionalFormatting sqref="D101">
    <cfRule type="expression" dxfId="10298" priority="29">
      <formula>($C101="SELECT WORKS")</formula>
    </cfRule>
  </conditionalFormatting>
  <conditionalFormatting sqref="E101">
    <cfRule type="expression" dxfId="10297" priority="25">
      <formula>$C101="SELECT WORKS"</formula>
    </cfRule>
  </conditionalFormatting>
  <conditionalFormatting sqref="J101">
    <cfRule type="cellIs" dxfId="10296" priority="26" operator="greaterThan">
      <formula>0</formula>
    </cfRule>
  </conditionalFormatting>
  <conditionalFormatting sqref="K101">
    <cfRule type="cellIs" dxfId="10295" priority="27" operator="greaterThan">
      <formula>0</formula>
    </cfRule>
  </conditionalFormatting>
  <conditionalFormatting sqref="B118">
    <cfRule type="expression" dxfId="10294" priority="22">
      <formula>$J118&gt;0</formula>
    </cfRule>
  </conditionalFormatting>
  <conditionalFormatting sqref="D118">
    <cfRule type="expression" dxfId="10292" priority="23">
      <formula>($C118="SELECT WORKS")</formula>
    </cfRule>
  </conditionalFormatting>
  <conditionalFormatting sqref="E118">
    <cfRule type="expression" dxfId="10291" priority="19">
      <formula>$C118="SELECT WORKS"</formula>
    </cfRule>
  </conditionalFormatting>
  <conditionalFormatting sqref="J118">
    <cfRule type="cellIs" dxfId="10290" priority="20" operator="greaterThan">
      <formula>0</formula>
    </cfRule>
  </conditionalFormatting>
  <conditionalFormatting sqref="K118">
    <cfRule type="cellIs" dxfId="10289" priority="21" operator="greaterThan">
      <formula>0</formula>
    </cfRule>
  </conditionalFormatting>
  <conditionalFormatting sqref="B135">
    <cfRule type="expression" dxfId="10288" priority="16">
      <formula>$J135&gt;0</formula>
    </cfRule>
  </conditionalFormatting>
  <conditionalFormatting sqref="D135">
    <cfRule type="expression" dxfId="10286" priority="17">
      <formula>($C135="SELECT WORKS")</formula>
    </cfRule>
  </conditionalFormatting>
  <conditionalFormatting sqref="E135">
    <cfRule type="expression" dxfId="10285" priority="13">
      <formula>$C135="SELECT WORKS"</formula>
    </cfRule>
  </conditionalFormatting>
  <conditionalFormatting sqref="J135">
    <cfRule type="cellIs" dxfId="10284" priority="14" operator="greaterThan">
      <formula>0</formula>
    </cfRule>
  </conditionalFormatting>
  <conditionalFormatting sqref="K135">
    <cfRule type="cellIs" dxfId="10283" priority="15" operator="greaterThan">
      <formula>0</formula>
    </cfRule>
  </conditionalFormatting>
  <conditionalFormatting sqref="B152">
    <cfRule type="expression" dxfId="10282" priority="10">
      <formula>$J152&gt;0</formula>
    </cfRule>
  </conditionalFormatting>
  <conditionalFormatting sqref="D152">
    <cfRule type="expression" dxfId="10280" priority="11">
      <formula>($C152="SELECT WORKS")</formula>
    </cfRule>
  </conditionalFormatting>
  <conditionalFormatting sqref="E152">
    <cfRule type="expression" dxfId="10279" priority="7">
      <formula>$C152="SELECT WORKS"</formula>
    </cfRule>
  </conditionalFormatting>
  <conditionalFormatting sqref="J152">
    <cfRule type="cellIs" dxfId="10278" priority="8" operator="greaterThan">
      <formula>0</formula>
    </cfRule>
  </conditionalFormatting>
  <conditionalFormatting sqref="K152">
    <cfRule type="cellIs" dxfId="10277" priority="9" operator="greaterThan">
      <formula>0</formula>
    </cfRule>
  </conditionalFormatting>
  <conditionalFormatting sqref="B169">
    <cfRule type="expression" dxfId="10276" priority="4">
      <formula>$J169&gt;0</formula>
    </cfRule>
  </conditionalFormatting>
  <conditionalFormatting sqref="D169">
    <cfRule type="expression" dxfId="10274" priority="5">
      <formula>($C169="SELECT WORKS")</formula>
    </cfRule>
  </conditionalFormatting>
  <conditionalFormatting sqref="E169">
    <cfRule type="expression" dxfId="10273" priority="1">
      <formula>$C169="SELECT WORKS"</formula>
    </cfRule>
  </conditionalFormatting>
  <conditionalFormatting sqref="J169">
    <cfRule type="cellIs" dxfId="10272" priority="2" operator="greaterThan">
      <formula>0</formula>
    </cfRule>
  </conditionalFormatting>
  <conditionalFormatting sqref="K169">
    <cfRule type="cellIs" dxfId="10271" priority="3" operator="greaterThan">
      <formula>0</formula>
    </cfRule>
  </conditionalFormatting>
  <dataValidations count="7">
    <dataValidation type="list" allowBlank="1" showInputMessage="1" showErrorMessage="1" sqref="D26 D94 D77 D60 D43 D111 D128 D145 D162 D179" xr:uid="{E5B1A59C-4302-9A4A-B6FA-5ECFBCF7AF63}">
      <formula1>"0,1,2,3,4,5,6,7,8,9,10"</formula1>
    </dataValidation>
    <dataValidation type="list" allowBlank="1" showInputMessage="1" showErrorMessage="1" sqref="G181" xr:uid="{856A696F-15F0-A041-964C-E6E3651ACE5F}">
      <formula1>#REF!</formula1>
    </dataValidation>
    <dataValidation type="list" allowBlank="1" showInputMessage="1" showErrorMessage="1" sqref="C99 C31 C82 C65 C48 C14 C116 C133 C150 C167" xr:uid="{39E71DA7-9649-164B-A71D-53A9392A37BA}">
      <formula1>"WALL, ISLAND"</formula1>
    </dataValidation>
    <dataValidation operator="greaterThan" allowBlank="1" showInputMessage="1" showErrorMessage="1" sqref="E14 E65 E48 E31 E82 E99 E116 E133 E150 E167" xr:uid="{9B02CBE7-4DB0-BA4C-A7D4-6773584FFF67}"/>
    <dataValidation type="list" allowBlank="1" showInputMessage="1" showErrorMessage="1" sqref="C71:C72 C37:C38 C88:C89 C20:C21 C122:C123 C105:C106 C54:C55 C156:C157 C173:C174 C139:C140" xr:uid="{28DE055F-0652-0A45-B306-0F13B817EA04}">
      <formula1>"0,1,2,3,4,5,6,7,8,9,10,11,12,13,14,15,16,17,18,19,20"</formula1>
    </dataValidation>
    <dataValidation type="list" allowBlank="1" showInputMessage="1" showErrorMessage="1" errorTitle="Minimum number of sections " error="Must be greater than zero" sqref="H14 H65 H48 H31 H82 H99 H116 H133 H150 H167" xr:uid="{7DB3EA46-4BD0-9E44-97F5-479E8596330D}">
      <formula1>"1,2,3,4,5,6,7,8,9,10"</formula1>
    </dataValidation>
    <dataValidation type="list" allowBlank="1" showInputMessage="1" showErrorMessage="1" sqref="C27 C78 C95 C44 C61 C112 C129 C146 C163 C180" xr:uid="{C89EA884-45EC-0941-B1A3-E5E039CEBF52}">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58" operator="containsText" id="{2BFF4641-773F-F44C-A394-2A31B5ED5DAD}">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76" operator="containsText" id="{12026C82-DB74-A949-A84F-D0DDB53D7CBB}">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13" operator="containsText" id="{5BEC956E-A076-8342-8DC5-ACF0122166CE}">
            <xm:f>NOT(ISERROR(SEARCH("SELECT WORKS",C34)))</xm:f>
            <xm:f>"SELECT WORKS"</xm:f>
            <x14:dxf>
              <font>
                <b/>
                <i val="0"/>
                <color rgb="FFC00000"/>
              </font>
              <fill>
                <patternFill>
                  <bgColor theme="0"/>
                </patternFill>
              </fill>
            </x14:dxf>
          </x14:cfRule>
          <xm:sqref>C34:C35</xm:sqref>
        </x14:conditionalFormatting>
        <x14:conditionalFormatting xmlns:xm="http://schemas.microsoft.com/office/excel/2006/main">
          <x14:cfRule type="containsText" priority="616" operator="containsText" id="{29425A27-1302-7B4B-AE40-FE0C4FDB6F5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82" operator="containsText" id="{F879E253-4E05-C548-847E-DF5A90374387}">
            <xm:f>NOT(ISERROR(SEARCH("SELECT WORKS",C51)))</xm:f>
            <xm:f>"SELECT WORKS"</xm:f>
            <x14:dxf>
              <font>
                <b/>
                <i val="0"/>
                <color rgb="FFC00000"/>
              </font>
              <fill>
                <patternFill>
                  <bgColor theme="0"/>
                </patternFill>
              </fill>
            </x14:dxf>
          </x14:cfRule>
          <xm:sqref>C51:C52</xm:sqref>
        </x14:conditionalFormatting>
        <x14:conditionalFormatting xmlns:xm="http://schemas.microsoft.com/office/excel/2006/main">
          <x14:cfRule type="containsText" priority="585" operator="containsText" id="{74201D5F-BC78-B740-A68A-533A69C99895}">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51" operator="containsText" id="{751B5266-A8B4-5840-92D8-D05CF64DE91E}">
            <xm:f>NOT(ISERROR(SEARCH("SELECT WORKS",C68)))</xm:f>
            <xm:f>"SELECT WORKS"</xm:f>
            <x14:dxf>
              <font>
                <b/>
                <i val="0"/>
                <color rgb="FFC00000"/>
              </font>
              <fill>
                <patternFill>
                  <bgColor theme="0"/>
                </patternFill>
              </fill>
            </x14:dxf>
          </x14:cfRule>
          <xm:sqref>C68:C69</xm:sqref>
        </x14:conditionalFormatting>
        <x14:conditionalFormatting xmlns:xm="http://schemas.microsoft.com/office/excel/2006/main">
          <x14:cfRule type="containsText" priority="555" operator="containsText" id="{DB38D8F5-EC8E-E241-BF54-7F8B61C06C39}">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19" operator="containsText" id="{EE38C1FA-ACDA-E44A-8F5A-24AD35ADAFAD}">
            <xm:f>NOT(ISERROR(SEARCH("SELECT WORKS",C85)))</xm:f>
            <xm:f>"SELECT WORKS"</xm:f>
            <x14:dxf>
              <font>
                <b/>
                <i val="0"/>
                <color rgb="FFC00000"/>
              </font>
              <fill>
                <patternFill>
                  <bgColor theme="0"/>
                </patternFill>
              </fill>
            </x14:dxf>
          </x14:cfRule>
          <xm:sqref>C85:C86</xm:sqref>
        </x14:conditionalFormatting>
        <x14:conditionalFormatting xmlns:xm="http://schemas.microsoft.com/office/excel/2006/main">
          <x14:cfRule type="containsText" priority="523" operator="containsText" id="{CB28765A-9F9A-E348-9833-0D0331FEDD6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88" operator="containsText" id="{D89EE7F3-5722-E845-80DF-7FDCD8913EF5}">
            <xm:f>NOT(ISERROR(SEARCH("SELECT WORKS",C102)))</xm:f>
            <xm:f>"SELECT WORKS"</xm:f>
            <x14:dxf>
              <font>
                <b/>
                <i val="0"/>
                <color rgb="FFC00000"/>
              </font>
              <fill>
                <patternFill>
                  <bgColor theme="0"/>
                </patternFill>
              </fill>
            </x14:dxf>
          </x14:cfRule>
          <xm:sqref>C102:C103</xm:sqref>
        </x14:conditionalFormatting>
        <x14:conditionalFormatting xmlns:xm="http://schemas.microsoft.com/office/excel/2006/main">
          <x14:cfRule type="containsText" priority="491" operator="containsText" id="{3E3A5C12-45F3-2A49-B9EF-64EE94369A70}">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264" operator="containsText" id="{D44F73E3-E8B8-284C-B551-2657ED04BCE0}">
            <xm:f>NOT(ISERROR(SEARCH("SELECT WORKS",C119)))</xm:f>
            <xm:f>"SELECT WORKS"</xm:f>
            <x14:dxf>
              <font>
                <b/>
                <i val="0"/>
                <color rgb="FFC00000"/>
              </font>
              <fill>
                <patternFill>
                  <bgColor theme="0"/>
                </patternFill>
              </fill>
            </x14:dxf>
          </x14:cfRule>
          <xm:sqref>C119:C120</xm:sqref>
        </x14:conditionalFormatting>
        <x14:conditionalFormatting xmlns:xm="http://schemas.microsoft.com/office/excel/2006/main">
          <x14:cfRule type="containsText" priority="267" operator="containsText" id="{EB0A3BFA-58DF-3542-BF2C-EC0AD0A59003}">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95" operator="containsText" id="{4D7C4DCD-4BEA-E84F-9133-66C703DCFC1A}">
            <xm:f>NOT(ISERROR(SEARCH("SELECT WORKS",C136)))</xm:f>
            <xm:f>"SELECT WORKS"</xm:f>
            <x14:dxf>
              <font>
                <b/>
                <i val="0"/>
                <color rgb="FFC00000"/>
              </font>
              <fill>
                <patternFill>
                  <bgColor theme="0"/>
                </patternFill>
              </fill>
            </x14:dxf>
          </x14:cfRule>
          <xm:sqref>C136:C137</xm:sqref>
        </x14:conditionalFormatting>
        <x14:conditionalFormatting xmlns:xm="http://schemas.microsoft.com/office/excel/2006/main">
          <x14:cfRule type="containsText" priority="198" operator="containsText" id="{06ED9D88-5456-F943-835B-D90B35DB9F6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40" operator="containsText" id="{CE8EE1CF-C1BC-3043-9EE9-B55138841C0A}">
            <xm:f>NOT(ISERROR(SEARCH("SELECT WORKS",C153)))</xm:f>
            <xm:f>"SELECT WORKS"</xm:f>
            <x14:dxf>
              <font>
                <b/>
                <i val="0"/>
                <color rgb="FFC00000"/>
              </font>
              <fill>
                <patternFill>
                  <bgColor theme="0"/>
                </patternFill>
              </fill>
            </x14:dxf>
          </x14:cfRule>
          <xm:sqref>C153:C154</xm:sqref>
        </x14:conditionalFormatting>
        <x14:conditionalFormatting xmlns:xm="http://schemas.microsoft.com/office/excel/2006/main">
          <x14:cfRule type="containsText" priority="143" operator="containsText" id="{7A5153A7-C9DB-A941-B8A4-8A06328DC357}">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85" operator="containsText" id="{C4E25978-65FA-2E4B-822A-69C4DE40D61C}">
            <xm:f>NOT(ISERROR(SEARCH("SELECT WORKS",C170)))</xm:f>
            <xm:f>"SELECT WORKS"</xm:f>
            <x14:dxf>
              <font>
                <b/>
                <i val="0"/>
                <color rgb="FFC00000"/>
              </font>
              <fill>
                <patternFill>
                  <bgColor theme="0"/>
                </patternFill>
              </fill>
            </x14:dxf>
          </x14:cfRule>
          <xm:sqref>C170:C171</xm:sqref>
        </x14:conditionalFormatting>
        <x14:conditionalFormatting xmlns:xm="http://schemas.microsoft.com/office/excel/2006/main">
          <x14:cfRule type="containsText" priority="88" operator="containsText" id="{3F58AB07-07DC-9748-BB6B-52A4C111529F}">
            <xm:f>NOT(ISERROR(SEARCH("SELECT CLADDING",C172)))</xm:f>
            <xm:f>"SELECT CLADDING"</xm:f>
            <x14:dxf>
              <font>
                <b/>
                <i val="0"/>
                <color rgb="FFC00000"/>
              </font>
              <fill>
                <patternFill>
                  <bgColor theme="0"/>
                </patternFill>
              </fill>
            </x14:dxf>
          </x14:cfRule>
          <xm:sqref>C172</xm:sqref>
        </x14:conditionalFormatting>
        <x14:conditionalFormatting xmlns:xm="http://schemas.microsoft.com/office/excel/2006/main">
          <x14:cfRule type="containsText" priority="54" operator="containsText" id="{72582D8E-0E3F-CA4E-94A1-CD26858E1C6B}">
            <xm:f>NOT(ISERROR(SEARCH("SELECT WORKS",C33)))</xm:f>
            <xm:f>"SELECT WORKS"</xm:f>
            <x14:dxf>
              <font>
                <b/>
                <i val="0"/>
                <color rgb="FFC00000"/>
              </font>
              <fill>
                <patternFill>
                  <bgColor theme="0"/>
                </patternFill>
              </fill>
            </x14:dxf>
          </x14:cfRule>
          <xm:sqref>C33</xm:sqref>
        </x14:conditionalFormatting>
        <x14:conditionalFormatting xmlns:xm="http://schemas.microsoft.com/office/excel/2006/main">
          <x14:cfRule type="containsText" priority="48" operator="containsText" id="{63BF8147-3CFE-804F-B37B-EF55335BED38}">
            <xm:f>NOT(ISERROR(SEARCH("SELECT WORKS",C50)))</xm:f>
            <xm:f>"SELECT WORKS"</xm:f>
            <x14:dxf>
              <font>
                <b/>
                <i val="0"/>
                <color rgb="FFC00000"/>
              </font>
              <fill>
                <patternFill>
                  <bgColor theme="0"/>
                </patternFill>
              </fill>
            </x14:dxf>
          </x14:cfRule>
          <xm:sqref>C50</xm:sqref>
        </x14:conditionalFormatting>
        <x14:conditionalFormatting xmlns:xm="http://schemas.microsoft.com/office/excel/2006/main">
          <x14:cfRule type="containsText" priority="42" operator="containsText" id="{AEB65627-4AD9-6A4A-B917-A4F45BEA8D96}">
            <xm:f>NOT(ISERROR(SEARCH("SELECT WORKS",C67)))</xm:f>
            <xm:f>"SELECT WORKS"</xm:f>
            <x14:dxf>
              <font>
                <b/>
                <i val="0"/>
                <color rgb="FFC00000"/>
              </font>
              <fill>
                <patternFill>
                  <bgColor theme="0"/>
                </patternFill>
              </fill>
            </x14:dxf>
          </x14:cfRule>
          <xm:sqref>C67</xm:sqref>
        </x14:conditionalFormatting>
        <x14:conditionalFormatting xmlns:xm="http://schemas.microsoft.com/office/excel/2006/main">
          <x14:cfRule type="containsText" priority="36" operator="containsText" id="{E782FF73-7B64-6244-9A94-D668CDC2FEA5}">
            <xm:f>NOT(ISERROR(SEARCH("SELECT WORKS",C84)))</xm:f>
            <xm:f>"SELECT WORKS"</xm:f>
            <x14:dxf>
              <font>
                <b/>
                <i val="0"/>
                <color rgb="FFC00000"/>
              </font>
              <fill>
                <patternFill>
                  <bgColor theme="0"/>
                </patternFill>
              </fill>
            </x14:dxf>
          </x14:cfRule>
          <xm:sqref>C84</xm:sqref>
        </x14:conditionalFormatting>
        <x14:conditionalFormatting xmlns:xm="http://schemas.microsoft.com/office/excel/2006/main">
          <x14:cfRule type="containsText" priority="30" operator="containsText" id="{16155E1D-F8ED-8149-ACA0-33599209CE2A}">
            <xm:f>NOT(ISERROR(SEARCH("SELECT WORKS",C101)))</xm:f>
            <xm:f>"SELECT WORKS"</xm:f>
            <x14:dxf>
              <font>
                <b/>
                <i val="0"/>
                <color rgb="FFC00000"/>
              </font>
              <fill>
                <patternFill>
                  <bgColor theme="0"/>
                </patternFill>
              </fill>
            </x14:dxf>
          </x14:cfRule>
          <xm:sqref>C101</xm:sqref>
        </x14:conditionalFormatting>
        <x14:conditionalFormatting xmlns:xm="http://schemas.microsoft.com/office/excel/2006/main">
          <x14:cfRule type="containsText" priority="24" operator="containsText" id="{C3B9DFC3-1A32-6347-8E96-1C8246C8B8EE}">
            <xm:f>NOT(ISERROR(SEARCH("SELECT WORKS",C118)))</xm:f>
            <xm:f>"SELECT WORKS"</xm:f>
            <x14:dxf>
              <font>
                <b/>
                <i val="0"/>
                <color rgb="FFC00000"/>
              </font>
              <fill>
                <patternFill>
                  <bgColor theme="0"/>
                </patternFill>
              </fill>
            </x14:dxf>
          </x14:cfRule>
          <xm:sqref>C118</xm:sqref>
        </x14:conditionalFormatting>
        <x14:conditionalFormatting xmlns:xm="http://schemas.microsoft.com/office/excel/2006/main">
          <x14:cfRule type="containsText" priority="18" operator="containsText" id="{BEA32803-8508-3B45-8444-2B1816627EDA}">
            <xm:f>NOT(ISERROR(SEARCH("SELECT WORKS",C135)))</xm:f>
            <xm:f>"SELECT WORKS"</xm:f>
            <x14:dxf>
              <font>
                <b/>
                <i val="0"/>
                <color rgb="FFC00000"/>
              </font>
              <fill>
                <patternFill>
                  <bgColor theme="0"/>
                </patternFill>
              </fill>
            </x14:dxf>
          </x14:cfRule>
          <xm:sqref>C135</xm:sqref>
        </x14:conditionalFormatting>
        <x14:conditionalFormatting xmlns:xm="http://schemas.microsoft.com/office/excel/2006/main">
          <x14:cfRule type="containsText" priority="12" operator="containsText" id="{B29F7A12-1179-244E-AE4C-E0B19797FBB3}">
            <xm:f>NOT(ISERROR(SEARCH("SELECT WORKS",C152)))</xm:f>
            <xm:f>"SELECT WORKS"</xm:f>
            <x14:dxf>
              <font>
                <b/>
                <i val="0"/>
                <color rgb="FFC00000"/>
              </font>
              <fill>
                <patternFill>
                  <bgColor theme="0"/>
                </patternFill>
              </fill>
            </x14:dxf>
          </x14:cfRule>
          <xm:sqref>C152</xm:sqref>
        </x14:conditionalFormatting>
        <x14:conditionalFormatting xmlns:xm="http://schemas.microsoft.com/office/excel/2006/main">
          <x14:cfRule type="containsText" priority="6" operator="containsText" id="{AF94F70F-813A-8944-9AA5-E01DB6BB50A0}">
            <xm:f>NOT(ISERROR(SEARCH("SELECT WORKS",C169)))</xm:f>
            <xm:f>"SELECT WORKS"</xm:f>
            <x14:dxf>
              <font>
                <b/>
                <i val="0"/>
                <color rgb="FFC00000"/>
              </font>
              <fill>
                <patternFill>
                  <bgColor theme="0"/>
                </patternFill>
              </fill>
            </x14:dxf>
          </x14:cfRule>
          <xm:sqref>C169</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DD00D20E-149D-4045-BEC9-0C31A01BEF66}">
          <x14:formula1>
            <xm:f>'Base Costs'!$Q$35:$Q$45</xm:f>
          </x14:formula1>
          <xm:sqref>C43 C179 C162 C145 C60 C77 C94 C111 C26 C128</xm:sqref>
        </x14:dataValidation>
        <x14:dataValidation type="list" allowBlank="1" showInputMessage="1" showErrorMessage="1" xr:uid="{05150ADC-5EA1-6548-80BC-4A22E94905E7}">
          <x14:formula1>
            <xm:f>'Base Costs'!$A$19:$A$22</xm:f>
          </x14:formula1>
          <xm:sqref>C19 C172 C155 C138 C36 C87 C70 C53 C104 C121</xm:sqref>
        </x14:dataValidation>
        <x14:dataValidation type="list" allowBlank="1" showInputMessage="1" showErrorMessage="1" xr:uid="{C01DE0E3-3CB6-3548-870D-17D649E05988}">
          <x14:formula1>
            <xm:f>'Base Costs'!$A$4:$A$16</xm:f>
          </x14:formula1>
          <xm:sqref>D184:D185</xm:sqref>
        </x14:dataValidation>
        <x14:dataValidation type="list" allowBlank="1" showInputMessage="1" showErrorMessage="1" xr:uid="{70FC3315-DC7E-5E47-8143-5B1D1ED60BB2}">
          <x14:formula1>
            <xm:f>'Base Costs'!$E$4:$E$213</xm:f>
          </x14:formula1>
          <xm:sqref>D183 D186</xm:sqref>
        </x14:dataValidation>
        <x14:dataValidation type="list" allowBlank="1" showInputMessage="1" showErrorMessage="1" xr:uid="{208FF7B7-D9DC-0641-A6B6-E761C712FC95}">
          <x14:formula1>
            <xm:f>'Base Costs'!$A$32:$A$37</xm:f>
          </x14:formula1>
          <xm:sqref>B9</xm:sqref>
        </x14:dataValidation>
        <x14:dataValidation type="list" allowBlank="1" showInputMessage="1" showErrorMessage="1" xr:uid="{30731C0C-2675-104A-B18A-2D8077C8ADC8}">
          <x14:formula1>
            <xm:f>CCBASE!$A$81:$A$85</xm:f>
          </x14:formula1>
          <xm:sqref>C25 C42 C93 C76 C59 C110 C127 C144 C161 C178</xm:sqref>
        </x14:dataValidation>
        <x14:dataValidation type="list" allowBlank="1" showInputMessage="1" showErrorMessage="1" xr:uid="{F0BAF533-490C-E84B-9FF8-08FE185DA0FF}">
          <x14:formula1>
            <xm:f>CCBASE!$A$53:$A$73</xm:f>
          </x14:formula1>
          <xm:sqref>C67:C69 C84:C86 C33:C35 C50:C52 C16:C18 C101:C103 C118:C120 C135:C137 C152:C154 C169:C171</xm:sqref>
        </x14:dataValidation>
        <x14:dataValidation type="list" allowBlank="1" showInputMessage="1" showErrorMessage="1" xr:uid="{8C0CBF9A-6CA9-D047-8593-DCE50B8743CB}">
          <x14:formula1>
            <xm:f>'Base Costs'!$A$39:$A$53</xm:f>
          </x14:formula1>
          <xm:sqref>D14 D167 D150 D133 D31 D99 D48 D82 D65 D116</xm:sqref>
        </x14:dataValidation>
        <x14:dataValidation type="list" allowBlank="1" showInputMessage="1" showErrorMessage="1" xr:uid="{CFC8E706-31EF-BC40-B238-B29F95299AD5}">
          <x14:formula1>
            <xm:f>'Base Costs'!$M$4:$M$21</xm:f>
          </x14:formula1>
          <xm:sqref>C32 C168 C151 C134 C100 C49 C66 C83 C117</xm:sqref>
        </x14:dataValidation>
        <x14:dataValidation type="list" allowBlank="1" showInputMessage="1" showErrorMessage="1" xr:uid="{7B77AD84-DB3C-BB42-AA11-4E2255D640DC}">
          <x14:formula1>
            <xm:f>'Base Costs'!$M$4:$M$23</xm:f>
          </x14:formula1>
          <xm:sqref>C15</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B4E32-01DF-4345-8F20-1106DAFB0740}">
  <sheetPr>
    <tabColor theme="8" tint="0.79998168889431442"/>
    <pageSetUpPr fitToPage="1"/>
  </sheetPr>
  <dimension ref="A1:AB310"/>
  <sheetViews>
    <sheetView showGridLines="0" zoomScale="80" zoomScaleNormal="80" zoomScaleSheetLayoutView="50" workbookViewId="0"/>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e">
        <f>IF(#REF!="","",#REF!)</f>
        <v>#REF!</v>
      </c>
      <c r="D3" s="1113"/>
      <c r="F3" s="690" t="s">
        <v>78</v>
      </c>
      <c r="G3" s="1084" t="e">
        <f>IF(#REF!="","",#REF!)</f>
        <v>#REF!</v>
      </c>
      <c r="H3" s="1114"/>
      <c r="I3" s="1114" t="e">
        <f>IF(#REF!="","",#REF!)</f>
        <v>#REF!</v>
      </c>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e">
        <f>IF(#REF!="","",#REF!)</f>
        <v>#REF!</v>
      </c>
      <c r="D5" s="1083"/>
      <c r="F5" s="690" t="s">
        <v>77</v>
      </c>
      <c r="G5" s="1084" t="e">
        <f>IF(#REF!="","",#REF!)</f>
        <v>#REF!</v>
      </c>
      <c r="H5" s="1114"/>
      <c r="I5" s="1114" t="e">
        <f>IF(#REF!="","",#REF!)</f>
        <v>#REF!</v>
      </c>
      <c r="J5" s="1114"/>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e">
        <f>IF(#REF!="","",#REF!)</f>
        <v>#REF!</v>
      </c>
      <c r="D7" s="1113"/>
      <c r="F7" s="690" t="s">
        <v>76</v>
      </c>
      <c r="G7" s="1086" t="e">
        <f>IF(#REF!="","",#REF!)</f>
        <v>#REF!</v>
      </c>
      <c r="H7" s="1115"/>
      <c r="I7" s="1115" t="e">
        <f>IF(#REF!="","",#REF!)</f>
        <v>#REF!</v>
      </c>
      <c r="J7" s="1115"/>
      <c r="N7" s="699" t="s">
        <v>79</v>
      </c>
      <c r="O7" s="917" t="e">
        <f>IF(#REF!="","",#REF!)</f>
        <v>#REF!</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2"/>
      <c r="F9" s="1112"/>
      <c r="G9" s="1125"/>
      <c r="H9" s="1126"/>
      <c r="I9" s="1126"/>
      <c r="J9" s="1126"/>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7"/>
      <c r="F35" s="1108"/>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0" t="s">
        <v>1092</v>
      </c>
      <c r="F36" s="1108"/>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0" t="s">
        <v>1092</v>
      </c>
      <c r="F53" s="1108"/>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0" t="s">
        <v>1092</v>
      </c>
      <c r="F138" s="1108"/>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1027.2</v>
      </c>
      <c r="L182" s="704">
        <f>IF(K182=0,"-",O182/M182)</f>
        <v>0.39213566507684156</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7" t="s">
        <v>732</v>
      </c>
      <c r="F183" s="1108"/>
      <c r="G183" s="1109"/>
      <c r="H183" s="1109"/>
      <c r="I183" s="110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2" t="s">
        <v>892</v>
      </c>
      <c r="F185" s="1143"/>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4" t="s">
        <v>1412</v>
      </c>
      <c r="F186" s="1145"/>
      <c r="G186" s="1109"/>
      <c r="H186" s="1109"/>
      <c r="I186" s="110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0" t="s">
        <v>1414</v>
      </c>
      <c r="E189" s="1141"/>
      <c r="F189" s="1141"/>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0" t="s">
        <v>1416</v>
      </c>
      <c r="E190" s="1141"/>
      <c r="F190" s="1141"/>
      <c r="G190" s="1136" t="s">
        <v>1464</v>
      </c>
      <c r="H190" s="1136"/>
      <c r="I190" s="113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17"/>
      <c r="F193" s="111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E186:F186"/>
    <mergeCell ref="G186:I186"/>
    <mergeCell ref="D189:F189"/>
    <mergeCell ref="D190:F190"/>
    <mergeCell ref="G190:I190"/>
    <mergeCell ref="D193:F193"/>
    <mergeCell ref="H176:I176"/>
    <mergeCell ref="B182:G182"/>
    <mergeCell ref="E183:F183"/>
    <mergeCell ref="G183:I183"/>
    <mergeCell ref="E184:F184"/>
    <mergeCell ref="E185:F185"/>
    <mergeCell ref="H157:I157"/>
    <mergeCell ref="H158:I158"/>
    <mergeCell ref="H159:I159"/>
    <mergeCell ref="E172:F172"/>
    <mergeCell ref="H174:I174"/>
    <mergeCell ref="H175:I175"/>
    <mergeCell ref="H125:I125"/>
    <mergeCell ref="E138:F138"/>
    <mergeCell ref="H140:I140"/>
    <mergeCell ref="H141:I141"/>
    <mergeCell ref="H142:I142"/>
    <mergeCell ref="E155:F155"/>
    <mergeCell ref="H106:I106"/>
    <mergeCell ref="H107:I107"/>
    <mergeCell ref="H108:I108"/>
    <mergeCell ref="E121:F121"/>
    <mergeCell ref="H123:I123"/>
    <mergeCell ref="H124:I124"/>
    <mergeCell ref="H74:I74"/>
    <mergeCell ref="E87:F87"/>
    <mergeCell ref="H89:I89"/>
    <mergeCell ref="H90:I90"/>
    <mergeCell ref="H91:I91"/>
    <mergeCell ref="E104:F104"/>
    <mergeCell ref="H55:I55"/>
    <mergeCell ref="H56:I56"/>
    <mergeCell ref="H57:I57"/>
    <mergeCell ref="E70:F70"/>
    <mergeCell ref="H72:I72"/>
    <mergeCell ref="H73:I73"/>
    <mergeCell ref="E35:F35"/>
    <mergeCell ref="E36:F36"/>
    <mergeCell ref="H38:I38"/>
    <mergeCell ref="H39:I39"/>
    <mergeCell ref="H40:I40"/>
    <mergeCell ref="E53:F53"/>
    <mergeCell ref="E9:F9"/>
    <mergeCell ref="G9:J9"/>
    <mergeCell ref="E19:F19"/>
    <mergeCell ref="H21:I21"/>
    <mergeCell ref="H22:I22"/>
    <mergeCell ref="H23:I23"/>
    <mergeCell ref="B1:C1"/>
    <mergeCell ref="C3:D3"/>
    <mergeCell ref="G3:J3"/>
    <mergeCell ref="C5:D5"/>
    <mergeCell ref="G5:J5"/>
    <mergeCell ref="C7:D7"/>
    <mergeCell ref="G7:J7"/>
  </mergeCells>
  <conditionalFormatting sqref="B9">
    <cfRule type="containsText" dxfId="10270" priority="665" operator="containsText" text="SELECT">
      <formula>NOT(ISERROR(SEARCH("SELECT",B9)))</formula>
    </cfRule>
    <cfRule type="expression" dxfId="10269" priority="666">
      <formula>B9="CURRENCY"</formula>
    </cfRule>
  </conditionalFormatting>
  <conditionalFormatting sqref="B11">
    <cfRule type="expression" dxfId="10268" priority="627">
      <formula>$B11&lt;&gt;""</formula>
    </cfRule>
  </conditionalFormatting>
  <conditionalFormatting sqref="B14:B23">
    <cfRule type="expression" dxfId="10267" priority="619">
      <formula>$J14&gt;0</formula>
    </cfRule>
  </conditionalFormatting>
  <conditionalFormatting sqref="B24">
    <cfRule type="expression" dxfId="10266" priority="616">
      <formula>ISNUMBER(SEARCH("UV",$D14))</formula>
    </cfRule>
    <cfRule type="expression" dxfId="10265" priority="617">
      <formula>($D14="CANOPY TYPE")</formula>
    </cfRule>
  </conditionalFormatting>
  <conditionalFormatting sqref="B25:B27">
    <cfRule type="expression" dxfId="10264" priority="437">
      <formula>$J25&gt;0</formula>
    </cfRule>
  </conditionalFormatting>
  <conditionalFormatting sqref="B28">
    <cfRule type="expression" dxfId="10263" priority="625">
      <formula>$B28&lt;&gt;""</formula>
    </cfRule>
  </conditionalFormatting>
  <conditionalFormatting sqref="B31:B40">
    <cfRule type="expression" dxfId="10262" priority="263">
      <formula>$J31&gt;0</formula>
    </cfRule>
  </conditionalFormatting>
  <conditionalFormatting sqref="B41">
    <cfRule type="expression" dxfId="10261" priority="585">
      <formula>ISNUMBER(SEARCH("UV",$D31))</formula>
    </cfRule>
    <cfRule type="expression" dxfId="10260" priority="586">
      <formula>($D31="CANOPY TYPE")</formula>
    </cfRule>
  </conditionalFormatting>
  <conditionalFormatting sqref="B42:B44">
    <cfRule type="expression" dxfId="10259" priority="587">
      <formula>$J42&gt;0</formula>
    </cfRule>
  </conditionalFormatting>
  <conditionalFormatting sqref="B45">
    <cfRule type="expression" dxfId="10258" priority="624">
      <formula>$B45&lt;&gt;""</formula>
    </cfRule>
  </conditionalFormatting>
  <conditionalFormatting sqref="B48:B57">
    <cfRule type="expression" dxfId="10257" priority="252">
      <formula>$J48&gt;0</formula>
    </cfRule>
  </conditionalFormatting>
  <conditionalFormatting sqref="B58">
    <cfRule type="expression" dxfId="10256" priority="556">
      <formula>ISNUMBER(SEARCH("UV",$D48))</formula>
    </cfRule>
    <cfRule type="expression" dxfId="10255" priority="557">
      <formula>($D48="CANOPY TYPE")</formula>
    </cfRule>
  </conditionalFormatting>
  <conditionalFormatting sqref="B59:B61">
    <cfRule type="expression" dxfId="10254" priority="436">
      <formula>$J59&gt;0</formula>
    </cfRule>
  </conditionalFormatting>
  <conditionalFormatting sqref="B62">
    <cfRule type="expression" dxfId="10253" priority="623">
      <formula>$B62&lt;&gt;""</formula>
    </cfRule>
  </conditionalFormatting>
  <conditionalFormatting sqref="B65:B74">
    <cfRule type="expression" dxfId="10252" priority="241">
      <formula>$J65&gt;0</formula>
    </cfRule>
  </conditionalFormatting>
  <conditionalFormatting sqref="B75">
    <cfRule type="expression" dxfId="10251" priority="526">
      <formula>ISNUMBER(SEARCH("UV",$D65))</formula>
    </cfRule>
    <cfRule type="expression" dxfId="10250" priority="527">
      <formula>($D65="CANOPY TYPE")</formula>
    </cfRule>
  </conditionalFormatting>
  <conditionalFormatting sqref="B76:B78">
    <cfRule type="expression" dxfId="10249" priority="435">
      <formula>$J76&gt;0</formula>
    </cfRule>
  </conditionalFormatting>
  <conditionalFormatting sqref="B79">
    <cfRule type="expression" dxfId="10248" priority="622">
      <formula>$B79&lt;&gt;""</formula>
    </cfRule>
  </conditionalFormatting>
  <conditionalFormatting sqref="B82:B91">
    <cfRule type="expression" dxfId="10247" priority="230">
      <formula>$J82&gt;0</formula>
    </cfRule>
  </conditionalFormatting>
  <conditionalFormatting sqref="B92">
    <cfRule type="expression" dxfId="10246" priority="495">
      <formula>ISNUMBER(SEARCH("UV",$D82))</formula>
    </cfRule>
    <cfRule type="expression" dxfId="10245" priority="496">
      <formula>($D82="CANOPY TYPE")</formula>
    </cfRule>
  </conditionalFormatting>
  <conditionalFormatting sqref="B93:B95">
    <cfRule type="expression" dxfId="10244" priority="434">
      <formula>$J93&gt;0</formula>
    </cfRule>
  </conditionalFormatting>
  <conditionalFormatting sqref="B96">
    <cfRule type="expression" dxfId="10243" priority="621">
      <formula>$B96&lt;&gt;""</formula>
    </cfRule>
  </conditionalFormatting>
  <conditionalFormatting sqref="B99:B108">
    <cfRule type="expression" dxfId="10242" priority="219">
      <formula>$J99&gt;0</formula>
    </cfRule>
  </conditionalFormatting>
  <conditionalFormatting sqref="B109">
    <cfRule type="expression" dxfId="10241" priority="465">
      <formula>ISNUMBER(SEARCH("UV",$D99))</formula>
    </cfRule>
    <cfRule type="expression" dxfId="10240" priority="466">
      <formula>($D99="CANOPY TYPE")</formula>
    </cfRule>
  </conditionalFormatting>
  <conditionalFormatting sqref="B110:B112 B127:B129 B161:B163 B178:B180">
    <cfRule type="expression" dxfId="10239" priority="433">
      <formula>$J110&gt;0</formula>
    </cfRule>
  </conditionalFormatting>
  <conditionalFormatting sqref="B113">
    <cfRule type="expression" dxfId="10238" priority="325">
      <formula>$B113&lt;&gt;""</formula>
    </cfRule>
  </conditionalFormatting>
  <conditionalFormatting sqref="B116:B125">
    <cfRule type="expression" dxfId="10237" priority="208">
      <formula>$J116&gt;0</formula>
    </cfRule>
  </conditionalFormatting>
  <conditionalFormatting sqref="B126">
    <cfRule type="expression" dxfId="10236" priority="298">
      <formula>ISNUMBER(SEARCH("UV",$D116))</formula>
    </cfRule>
    <cfRule type="expression" dxfId="10235" priority="299">
      <formula>($D116="CANOPY TYPE")</formula>
    </cfRule>
  </conditionalFormatting>
  <conditionalFormatting sqref="B130">
    <cfRule type="expression" dxfId="10234" priority="189">
      <formula>$B130&lt;&gt;""</formula>
    </cfRule>
  </conditionalFormatting>
  <conditionalFormatting sqref="B133:B142">
    <cfRule type="expression" dxfId="10233" priority="21">
      <formula>$J133&gt;0</formula>
    </cfRule>
  </conditionalFormatting>
  <conditionalFormatting sqref="B143">
    <cfRule type="expression" dxfId="10232" priority="159">
      <formula>ISNUMBER(SEARCH("UV",$D133))</formula>
    </cfRule>
    <cfRule type="expression" dxfId="10231" priority="160">
      <formula>($D133="CANOPY TYPE")</formula>
    </cfRule>
  </conditionalFormatting>
  <conditionalFormatting sqref="B144:B146">
    <cfRule type="expression" dxfId="10230" priority="118">
      <formula>$J144&gt;0</formula>
    </cfRule>
  </conditionalFormatting>
  <conditionalFormatting sqref="B147">
    <cfRule type="expression" dxfId="10229" priority="188">
      <formula>$B147&lt;&gt;""</formula>
    </cfRule>
  </conditionalFormatting>
  <conditionalFormatting sqref="B150:B159">
    <cfRule type="expression" dxfId="10228" priority="10">
      <formula>$J150&gt;0</formula>
    </cfRule>
  </conditionalFormatting>
  <conditionalFormatting sqref="B160">
    <cfRule type="expression" dxfId="10227" priority="130">
      <formula>ISNUMBER(SEARCH("UV",$D150))</formula>
    </cfRule>
    <cfRule type="expression" dxfId="10226" priority="131">
      <formula>($D150="CANOPY TYPE")</formula>
    </cfRule>
  </conditionalFormatting>
  <conditionalFormatting sqref="B164">
    <cfRule type="expression" dxfId="10225" priority="81">
      <formula>$B164&lt;&gt;""</formula>
    </cfRule>
  </conditionalFormatting>
  <conditionalFormatting sqref="B167:B176">
    <cfRule type="expression" dxfId="10224" priority="5">
      <formula>$J167&gt;0</formula>
    </cfRule>
  </conditionalFormatting>
  <conditionalFormatting sqref="B177">
    <cfRule type="expression" dxfId="10223" priority="54">
      <formula>ISNUMBER(SEARCH("UV",$D167))</formula>
    </cfRule>
    <cfRule type="expression" dxfId="10222" priority="55">
      <formula>($D167="CANOPY TYPE")</formula>
    </cfRule>
  </conditionalFormatting>
  <conditionalFormatting sqref="B183:B197">
    <cfRule type="expression" dxfId="10221" priority="618">
      <formula>$C183&gt;0</formula>
    </cfRule>
  </conditionalFormatting>
  <conditionalFormatting sqref="C14">
    <cfRule type="containsText" dxfId="10220" priority="423" operator="containsText" text="CONFIG">
      <formula>NOT(ISERROR(SEARCH("CONFIG",C14)))</formula>
    </cfRule>
  </conditionalFormatting>
  <conditionalFormatting sqref="C15">
    <cfRule type="containsText" dxfId="10219" priority="428" operator="containsText" text="LIGHT SELECTION">
      <formula>NOT(ISERROR(SEARCH("LIGHT SELECTION",C15)))</formula>
    </cfRule>
  </conditionalFormatting>
  <conditionalFormatting sqref="C16:C17">
    <cfRule type="containsText" dxfId="10218" priority="674" operator="containsText" text="ANSUL SELECTION">
      <formula>NOT(ISERROR(SEARCH("ANSUL SELECTION",C16)))</formula>
    </cfRule>
  </conditionalFormatting>
  <conditionalFormatting sqref="C20:C21">
    <cfRule type="cellIs" dxfId="10215" priority="671" operator="lessThan">
      <formula>1</formula>
    </cfRule>
  </conditionalFormatting>
  <conditionalFormatting sqref="C22:C23">
    <cfRule type="expression" dxfId="10214" priority="403">
      <formula>D22="WW PODS"</formula>
    </cfRule>
  </conditionalFormatting>
  <conditionalFormatting sqref="C24">
    <cfRule type="expression" dxfId="10213" priority="689">
      <formula>ISNUMBER(SEARCH("UV",D14))</formula>
    </cfRule>
  </conditionalFormatting>
  <conditionalFormatting sqref="C25">
    <cfRule type="expression" dxfId="10212" priority="651">
      <formula>(ISNUMBER(SEARCH("CMW",D14)))=TRUE</formula>
    </cfRule>
  </conditionalFormatting>
  <conditionalFormatting sqref="C26">
    <cfRule type="expression" dxfId="10211" priority="650">
      <formula>(ISNUMBER(SEARCH("CMW",D14)))=TRUE</formula>
    </cfRule>
  </conditionalFormatting>
  <conditionalFormatting sqref="C27">
    <cfRule type="expression" dxfId="10210" priority="620">
      <formula>(ISNUMBER(SEARCH("CMW",$D14)))=TRUE</formula>
    </cfRule>
  </conditionalFormatting>
  <conditionalFormatting sqref="C31">
    <cfRule type="containsText" dxfId="10209" priority="595" operator="containsText" text="CONFIG">
      <formula>NOT(ISERROR(SEARCH("CONFIG",C31)))</formula>
    </cfRule>
  </conditionalFormatting>
  <conditionalFormatting sqref="C32">
    <cfRule type="containsText" dxfId="10208" priority="430" operator="containsText" text="LIGHT SELECTION">
      <formula>NOT(ISERROR(SEARCH("LIGHT SELECTION",C32)))</formula>
    </cfRule>
  </conditionalFormatting>
  <conditionalFormatting sqref="C33:C34">
    <cfRule type="containsText" dxfId="10207" priority="271" operator="containsText" text="ANSUL SELECTION">
      <formula>NOT(ISERROR(SEARCH("ANSUL SELECTION",C33)))</formula>
    </cfRule>
  </conditionalFormatting>
  <conditionalFormatting sqref="C37:C38">
    <cfRule type="cellIs" dxfId="10204" priority="594" operator="lessThan">
      <formula>1</formula>
    </cfRule>
  </conditionalFormatting>
  <conditionalFormatting sqref="C39:C40">
    <cfRule type="expression" dxfId="10203" priority="388">
      <formula>D39="WW PODS"</formula>
    </cfRule>
  </conditionalFormatting>
  <conditionalFormatting sqref="C41">
    <cfRule type="expression" dxfId="10202" priority="609">
      <formula>ISNUMBER(SEARCH("UV",D31))</formula>
    </cfRule>
  </conditionalFormatting>
  <conditionalFormatting sqref="C42">
    <cfRule type="expression" dxfId="10201" priority="592">
      <formula>(ISNUMBER(SEARCH("CMW",D31)))=TRUE</formula>
    </cfRule>
  </conditionalFormatting>
  <conditionalFormatting sqref="C43">
    <cfRule type="expression" dxfId="10200" priority="462">
      <formula>(ISNUMBER(SEARCH("CMW",D31)))=TRUE</formula>
    </cfRule>
  </conditionalFormatting>
  <conditionalFormatting sqref="C44">
    <cfRule type="expression" dxfId="10199" priority="588">
      <formula>(ISNUMBER(SEARCH("CMW",$D31)))=TRUE</formula>
    </cfRule>
  </conditionalFormatting>
  <conditionalFormatting sqref="C48">
    <cfRule type="containsText" dxfId="10198" priority="565" operator="containsText" text="CONFIG">
      <formula>NOT(ISERROR(SEARCH("CONFIG",C48)))</formula>
    </cfRule>
  </conditionalFormatting>
  <conditionalFormatting sqref="C49">
    <cfRule type="containsText" dxfId="10197" priority="427" operator="containsText" text="LIGHT SELECTION">
      <formula>NOT(ISERROR(SEARCH("LIGHT SELECTION",C49)))</formula>
    </cfRule>
  </conditionalFormatting>
  <conditionalFormatting sqref="C50:C51">
    <cfRule type="containsText" dxfId="10196" priority="260" operator="containsText" text="ANSUL SELECTION">
      <formula>NOT(ISERROR(SEARCH("ANSUL SELECTION",C50)))</formula>
    </cfRule>
  </conditionalFormatting>
  <conditionalFormatting sqref="C54:C55">
    <cfRule type="cellIs" dxfId="10193" priority="564" operator="lessThan">
      <formula>1</formula>
    </cfRule>
  </conditionalFormatting>
  <conditionalFormatting sqref="C56:C57">
    <cfRule type="expression" dxfId="10192" priority="373">
      <formula>D56="WW PODS"</formula>
    </cfRule>
  </conditionalFormatting>
  <conditionalFormatting sqref="C58">
    <cfRule type="expression" dxfId="10191" priority="578">
      <formula>ISNUMBER(SEARCH("UV",D48))</formula>
    </cfRule>
  </conditionalFormatting>
  <conditionalFormatting sqref="C59">
    <cfRule type="expression" dxfId="10190" priority="562">
      <formula>(ISNUMBER(SEARCH("CMW",D48)))=TRUE</formula>
    </cfRule>
  </conditionalFormatting>
  <conditionalFormatting sqref="C60">
    <cfRule type="expression" dxfId="10189" priority="461">
      <formula>(ISNUMBER(SEARCH("CMW",D48)))=TRUE</formula>
    </cfRule>
  </conditionalFormatting>
  <conditionalFormatting sqref="C61">
    <cfRule type="expression" dxfId="10188" priority="558">
      <formula>(ISNUMBER(SEARCH("CMW",$D48)))=TRUE</formula>
    </cfRule>
  </conditionalFormatting>
  <conditionalFormatting sqref="C65">
    <cfRule type="containsText" dxfId="10187" priority="536" operator="containsText" text="CONFIG">
      <formula>NOT(ISERROR(SEARCH("CONFIG",C65)))</formula>
    </cfRule>
  </conditionalFormatting>
  <conditionalFormatting sqref="C66">
    <cfRule type="containsText" dxfId="10186" priority="426" operator="containsText" text="LIGHT SELECTION">
      <formula>NOT(ISERROR(SEARCH("LIGHT SELECTION",C66)))</formula>
    </cfRule>
  </conditionalFormatting>
  <conditionalFormatting sqref="C67:C68">
    <cfRule type="containsText" dxfId="10185" priority="249" operator="containsText" text="ANSUL SELECTION">
      <formula>NOT(ISERROR(SEARCH("ANSUL SELECTION",C67)))</formula>
    </cfRule>
  </conditionalFormatting>
  <conditionalFormatting sqref="C71:C72">
    <cfRule type="cellIs" dxfId="10182" priority="535" operator="lessThan">
      <formula>1</formula>
    </cfRule>
  </conditionalFormatting>
  <conditionalFormatting sqref="C73:C74">
    <cfRule type="expression" dxfId="10181" priority="358">
      <formula>D73="WW PODS"</formula>
    </cfRule>
  </conditionalFormatting>
  <conditionalFormatting sqref="C75">
    <cfRule type="expression" dxfId="10180" priority="549">
      <formula>ISNUMBER(SEARCH("UV",D65))</formula>
    </cfRule>
  </conditionalFormatting>
  <conditionalFormatting sqref="C76">
    <cfRule type="expression" dxfId="10179" priority="532">
      <formula>(ISNUMBER(SEARCH("CMW",D65)))=TRUE</formula>
    </cfRule>
  </conditionalFormatting>
  <conditionalFormatting sqref="C77">
    <cfRule type="expression" dxfId="10178" priority="460">
      <formula>(ISNUMBER(SEARCH("CMW",D65)))=TRUE</formula>
    </cfRule>
  </conditionalFormatting>
  <conditionalFormatting sqref="C78">
    <cfRule type="expression" dxfId="10177" priority="528">
      <formula>(ISNUMBER(SEARCH("CMW",$D65)))=TRUE</formula>
    </cfRule>
  </conditionalFormatting>
  <conditionalFormatting sqref="C82">
    <cfRule type="containsText" dxfId="10176" priority="505" operator="containsText" text="CONFIG">
      <formula>NOT(ISERROR(SEARCH("CONFIG",C82)))</formula>
    </cfRule>
  </conditionalFormatting>
  <conditionalFormatting sqref="C83">
    <cfRule type="containsText" dxfId="10175" priority="425" operator="containsText" text="LIGHT SELECTION">
      <formula>NOT(ISERROR(SEARCH("LIGHT SELECTION",C83)))</formula>
    </cfRule>
  </conditionalFormatting>
  <conditionalFormatting sqref="C84:C85">
    <cfRule type="containsText" dxfId="10174" priority="238" operator="containsText" text="ANSUL SELECTION">
      <formula>NOT(ISERROR(SEARCH("ANSUL SELECTION",C84)))</formula>
    </cfRule>
  </conditionalFormatting>
  <conditionalFormatting sqref="C88:C89">
    <cfRule type="cellIs" dxfId="10171" priority="504" operator="lessThan">
      <formula>1</formula>
    </cfRule>
  </conditionalFormatting>
  <conditionalFormatting sqref="C90:C91">
    <cfRule type="expression" dxfId="10170" priority="343">
      <formula>D90="WW PODS"</formula>
    </cfRule>
  </conditionalFormatting>
  <conditionalFormatting sqref="C92">
    <cfRule type="expression" dxfId="10169" priority="519">
      <formula>ISNUMBER(SEARCH("UV",D82))</formula>
    </cfRule>
  </conditionalFormatting>
  <conditionalFormatting sqref="C93">
    <cfRule type="expression" dxfId="10168" priority="501">
      <formula>(ISNUMBER(SEARCH("CMW",D82)))=TRUE</formula>
    </cfRule>
  </conditionalFormatting>
  <conditionalFormatting sqref="C94">
    <cfRule type="expression" dxfId="10167" priority="459">
      <formula>(ISNUMBER(SEARCH("CMW",D82)))=TRUE</formula>
    </cfRule>
  </conditionalFormatting>
  <conditionalFormatting sqref="C95">
    <cfRule type="expression" dxfId="10166" priority="497">
      <formula>(ISNUMBER(SEARCH("CMW",$D82)))=TRUE</formula>
    </cfRule>
  </conditionalFormatting>
  <conditionalFormatting sqref="C99">
    <cfRule type="containsText" dxfId="10165" priority="474" operator="containsText" text="CONFIG">
      <formula>NOT(ISERROR(SEARCH("CONFIG",C99)))</formula>
    </cfRule>
  </conditionalFormatting>
  <conditionalFormatting sqref="C100">
    <cfRule type="containsText" dxfId="10164" priority="424" operator="containsText" text="LIGHT SELECTION">
      <formula>NOT(ISERROR(SEARCH("LIGHT SELECTION",C100)))</formula>
    </cfRule>
  </conditionalFormatting>
  <conditionalFormatting sqref="C101:C102">
    <cfRule type="containsText" dxfId="10163" priority="227" operator="containsText" text="ANSUL SELECTION">
      <formula>NOT(ISERROR(SEARCH("ANSUL SELECTION",C101)))</formula>
    </cfRule>
  </conditionalFormatting>
  <conditionalFormatting sqref="C105:C106">
    <cfRule type="cellIs" dxfId="10160" priority="473" operator="lessThan">
      <formula>1</formula>
    </cfRule>
  </conditionalFormatting>
  <conditionalFormatting sqref="C107:C108">
    <cfRule type="expression" dxfId="10159" priority="328">
      <formula>D107="WW PODS"</formula>
    </cfRule>
  </conditionalFormatting>
  <conditionalFormatting sqref="C109">
    <cfRule type="expression" dxfId="10158" priority="488">
      <formula>ISNUMBER(SEARCH("UV",D99))</formula>
    </cfRule>
  </conditionalFormatting>
  <conditionalFormatting sqref="C110">
    <cfRule type="expression" dxfId="10157" priority="471">
      <formula>(ISNUMBER(SEARCH("CMW",D99)))=TRUE</formula>
    </cfRule>
  </conditionalFormatting>
  <conditionalFormatting sqref="C111">
    <cfRule type="expression" dxfId="10156" priority="458">
      <formula>(ISNUMBER(SEARCH("CMW",D99)))=TRUE</formula>
    </cfRule>
  </conditionalFormatting>
  <conditionalFormatting sqref="C112 C129 C163 C180">
    <cfRule type="expression" dxfId="10155" priority="467">
      <formula>(ISNUMBER(SEARCH("CMW",$D99)))=TRUE</formula>
    </cfRule>
  </conditionalFormatting>
  <conditionalFormatting sqref="C116">
    <cfRule type="containsText" dxfId="10154" priority="306" operator="containsText" text="CONFIG">
      <formula>NOT(ISERROR(SEARCH("CONFIG",C116)))</formula>
    </cfRule>
  </conditionalFormatting>
  <conditionalFormatting sqref="C117">
    <cfRule type="containsText" dxfId="10153" priority="291" operator="containsText" text="LIGHT SELECTION">
      <formula>NOT(ISERROR(SEARCH("LIGHT SELECTION",C117)))</formula>
    </cfRule>
  </conditionalFormatting>
  <conditionalFormatting sqref="C118:C119">
    <cfRule type="containsText" dxfId="10152" priority="216" operator="containsText" text="ANSUL SELECTION">
      <formula>NOT(ISERROR(SEARCH("ANSUL SELECTION",C118)))</formula>
    </cfRule>
  </conditionalFormatting>
  <conditionalFormatting sqref="C122:C123">
    <cfRule type="cellIs" dxfId="10149" priority="305" operator="lessThan">
      <formula>1</formula>
    </cfRule>
  </conditionalFormatting>
  <conditionalFormatting sqref="C124:C125">
    <cfRule type="expression" dxfId="10148" priority="275">
      <formula>D124="WW PODS"</formula>
    </cfRule>
  </conditionalFormatting>
  <conditionalFormatting sqref="C126">
    <cfRule type="expression" dxfId="10147" priority="320">
      <formula>ISNUMBER(SEARCH("UV",D116))</formula>
    </cfRule>
  </conditionalFormatting>
  <conditionalFormatting sqref="C127">
    <cfRule type="expression" dxfId="10146" priority="303">
      <formula>(ISNUMBER(SEARCH("CMW",D116)))=TRUE</formula>
    </cfRule>
  </conditionalFormatting>
  <conditionalFormatting sqref="C128">
    <cfRule type="expression" dxfId="10145" priority="296">
      <formula>(ISNUMBER(SEARCH("CMW",D116)))=TRUE</formula>
    </cfRule>
  </conditionalFormatting>
  <conditionalFormatting sqref="C133">
    <cfRule type="containsText" dxfId="10144" priority="169" operator="containsText" text="CONFIG">
      <formula>NOT(ISERROR(SEARCH("CONFIG",C133)))</formula>
    </cfRule>
  </conditionalFormatting>
  <conditionalFormatting sqref="C134">
    <cfRule type="containsText" dxfId="10143" priority="117" operator="containsText" text="LIGHT SELECTION">
      <formula>NOT(ISERROR(SEARCH("LIGHT SELECTION",C134)))</formula>
    </cfRule>
  </conditionalFormatting>
  <conditionalFormatting sqref="C135:C136">
    <cfRule type="containsText" dxfId="10142" priority="29" operator="containsText" text="ANSUL SELECTION">
      <formula>NOT(ISERROR(SEARCH("ANSUL SELECTION",C135)))</formula>
    </cfRule>
  </conditionalFormatting>
  <conditionalFormatting sqref="C139:C140">
    <cfRule type="cellIs" dxfId="10139" priority="168" operator="lessThan">
      <formula>1</formula>
    </cfRule>
  </conditionalFormatting>
  <conditionalFormatting sqref="C141:C142">
    <cfRule type="expression" dxfId="10138" priority="99">
      <formula>D141="WW PODS"</formula>
    </cfRule>
  </conditionalFormatting>
  <conditionalFormatting sqref="C143">
    <cfRule type="expression" dxfId="10137" priority="183">
      <formula>ISNUMBER(SEARCH("UV",D133))</formula>
    </cfRule>
  </conditionalFormatting>
  <conditionalFormatting sqref="C144">
    <cfRule type="expression" dxfId="10136" priority="165">
      <formula>(ISNUMBER(SEARCH("CMW",D133)))=TRUE</formula>
    </cfRule>
  </conditionalFormatting>
  <conditionalFormatting sqref="C145">
    <cfRule type="expression" dxfId="10135" priority="128">
      <formula>(ISNUMBER(SEARCH("CMW",D133)))=TRUE</formula>
    </cfRule>
  </conditionalFormatting>
  <conditionalFormatting sqref="C146">
    <cfRule type="expression" dxfId="10134" priority="161">
      <formula>(ISNUMBER(SEARCH("CMW",$D133)))=TRUE</formula>
    </cfRule>
  </conditionalFormatting>
  <conditionalFormatting sqref="C150">
    <cfRule type="containsText" dxfId="10133" priority="138" operator="containsText" text="CONFIG">
      <formula>NOT(ISERROR(SEARCH("CONFIG",C150)))</formula>
    </cfRule>
  </conditionalFormatting>
  <conditionalFormatting sqref="C151">
    <cfRule type="containsText" dxfId="10132" priority="116" operator="containsText" text="LIGHT SELECTION">
      <formula>NOT(ISERROR(SEARCH("LIGHT SELECTION",C151)))</formula>
    </cfRule>
  </conditionalFormatting>
  <conditionalFormatting sqref="C152:C153">
    <cfRule type="containsText" dxfId="10131" priority="18" operator="containsText" text="ANSUL SELECTION">
      <formula>NOT(ISERROR(SEARCH("ANSUL SELECTION",C152)))</formula>
    </cfRule>
  </conditionalFormatting>
  <conditionalFormatting sqref="C156:C157">
    <cfRule type="cellIs" dxfId="10128" priority="137" operator="lessThan">
      <formula>1</formula>
    </cfRule>
  </conditionalFormatting>
  <conditionalFormatting sqref="C158:C159">
    <cfRule type="expression" dxfId="10127" priority="84">
      <formula>D158="WW PODS"</formula>
    </cfRule>
  </conditionalFormatting>
  <conditionalFormatting sqref="C160">
    <cfRule type="expression" dxfId="10126" priority="152">
      <formula>ISNUMBER(SEARCH("UV",D150))</formula>
    </cfRule>
  </conditionalFormatting>
  <conditionalFormatting sqref="C161">
    <cfRule type="expression" dxfId="10125" priority="135">
      <formula>(ISNUMBER(SEARCH("CMW",D150)))=TRUE</formula>
    </cfRule>
  </conditionalFormatting>
  <conditionalFormatting sqref="C162">
    <cfRule type="expression" dxfId="10124" priority="127">
      <formula>(ISNUMBER(SEARCH("CMW",D150)))=TRUE</formula>
    </cfRule>
  </conditionalFormatting>
  <conditionalFormatting sqref="C167">
    <cfRule type="containsText" dxfId="10123" priority="62" operator="containsText" text="CONFIG">
      <formula>NOT(ISERROR(SEARCH("CONFIG",C167)))</formula>
    </cfRule>
  </conditionalFormatting>
  <conditionalFormatting sqref="C168">
    <cfRule type="containsText" dxfId="10122" priority="47" operator="containsText" text="LIGHT SELECTION">
      <formula>NOT(ISERROR(SEARCH("LIGHT SELECTION",C168)))</formula>
    </cfRule>
  </conditionalFormatting>
  <conditionalFormatting sqref="C169:C170">
    <cfRule type="containsText" dxfId="10121" priority="7" operator="containsText" text="ANSUL SELECTION">
      <formula>NOT(ISERROR(SEARCH("ANSUL SELECTION",C169)))</formula>
    </cfRule>
  </conditionalFormatting>
  <conditionalFormatting sqref="C173:C174">
    <cfRule type="cellIs" dxfId="10118" priority="61" operator="lessThan">
      <formula>1</formula>
    </cfRule>
  </conditionalFormatting>
  <conditionalFormatting sqref="C175:C176">
    <cfRule type="expression" dxfId="10117" priority="31">
      <formula>D175="WW PODS"</formula>
    </cfRule>
  </conditionalFormatting>
  <conditionalFormatting sqref="C177">
    <cfRule type="expression" dxfId="10116" priority="76">
      <formula>ISNUMBER(SEARCH("UV",D167))</formula>
    </cfRule>
  </conditionalFormatting>
  <conditionalFormatting sqref="C178">
    <cfRule type="expression" dxfId="10115" priority="59">
      <formula>(ISNUMBER(SEARCH("CMW",D167)))=TRUE</formula>
    </cfRule>
  </conditionalFormatting>
  <conditionalFormatting sqref="C179">
    <cfRule type="expression" dxfId="10114" priority="52">
      <formula>(ISNUMBER(SEARCH("CMW",D167)))=TRUE</formula>
    </cfRule>
  </conditionalFormatting>
  <conditionalFormatting sqref="C183:C184">
    <cfRule type="cellIs" dxfId="10113" priority="673" operator="lessThan">
      <formula>1</formula>
    </cfRule>
  </conditionalFormatting>
  <conditionalFormatting sqref="C185:C186">
    <cfRule type="cellIs" dxfId="10112" priority="662" operator="lessThan">
      <formula>1</formula>
    </cfRule>
  </conditionalFormatting>
  <conditionalFormatting sqref="C187:C197">
    <cfRule type="cellIs" dxfId="10111" priority="273" operator="lessThan">
      <formula>1</formula>
    </cfRule>
  </conditionalFormatting>
  <conditionalFormatting sqref="C9:D9">
    <cfRule type="cellIs" dxfId="10110" priority="663" operator="lessThan">
      <formula>0</formula>
    </cfRule>
    <cfRule type="cellIs" dxfId="10109" priority="664" operator="greaterThan">
      <formula>0</formula>
    </cfRule>
  </conditionalFormatting>
  <conditionalFormatting sqref="D14">
    <cfRule type="containsText" dxfId="10108" priority="675" operator="containsText" text="CANOPY TYPE">
      <formula>NOT(ISERROR(SEARCH("CANOPY TYPE",D14)))</formula>
    </cfRule>
  </conditionalFormatting>
  <conditionalFormatting sqref="D15">
    <cfRule type="expression" dxfId="10107" priority="419">
      <formula>(C15="LIGHT SELECTION")</formula>
    </cfRule>
  </conditionalFormatting>
  <conditionalFormatting sqref="D18">
    <cfRule type="expression" dxfId="10106" priority="629">
      <formula>($C18="SELECT WORKS")</formula>
    </cfRule>
  </conditionalFormatting>
  <conditionalFormatting sqref="D19">
    <cfRule type="expression" dxfId="10105" priority="272">
      <formula>$C19="SELECT CLADDING"</formula>
    </cfRule>
  </conditionalFormatting>
  <conditionalFormatting sqref="D22:D23">
    <cfRule type="expression" dxfId="10104" priority="402">
      <formula>($D$14="CANOPY TYPE")</formula>
    </cfRule>
  </conditionalFormatting>
  <conditionalFormatting sqref="D24">
    <cfRule type="expression" dxfId="10103" priority="688">
      <formula>ISNUMBER(SEARCH("UV",D14))</formula>
    </cfRule>
  </conditionalFormatting>
  <conditionalFormatting sqref="D25">
    <cfRule type="expression" dxfId="10102" priority="614">
      <formula>($D$14="CANOPY TYPE")</formula>
    </cfRule>
  </conditionalFormatting>
  <conditionalFormatting sqref="D26">
    <cfRule type="expression" dxfId="10101" priority="637">
      <formula>(ISNUMBER(SEARCH("CMW",D14)))=TRUE</formula>
    </cfRule>
  </conditionalFormatting>
  <conditionalFormatting sqref="D31">
    <cfRule type="containsText" dxfId="10100" priority="596" operator="containsText" text="CANOPY TYPE">
      <formula>NOT(ISERROR(SEARCH("CANOPY TYPE",D31)))</formula>
    </cfRule>
  </conditionalFormatting>
  <conditionalFormatting sqref="D32">
    <cfRule type="expression" dxfId="10099" priority="432">
      <formula>(C32="LIGHT SELECTION")</formula>
    </cfRule>
  </conditionalFormatting>
  <conditionalFormatting sqref="D35">
    <cfRule type="expression" dxfId="10098" priority="589">
      <formula>($C35="SELECT WORKS")</formula>
    </cfRule>
  </conditionalFormatting>
  <conditionalFormatting sqref="D36">
    <cfRule type="expression" dxfId="10097" priority="411">
      <formula>$C36="SELECT CLADDING"</formula>
    </cfRule>
  </conditionalFormatting>
  <conditionalFormatting sqref="D39:D40">
    <cfRule type="expression" dxfId="10096" priority="387">
      <formula>($D$14="CANOPY TYPE")</formula>
    </cfRule>
  </conditionalFormatting>
  <conditionalFormatting sqref="D41">
    <cfRule type="expression" dxfId="10095" priority="608">
      <formula>ISNUMBER(SEARCH("UV",D31))</formula>
    </cfRule>
  </conditionalFormatting>
  <conditionalFormatting sqref="D42">
    <cfRule type="expression" dxfId="10094" priority="583">
      <formula>($D$14="CANOPY TYPE")</formula>
    </cfRule>
  </conditionalFormatting>
  <conditionalFormatting sqref="D43">
    <cfRule type="expression" dxfId="10093" priority="591">
      <formula>(ISNUMBER(SEARCH("CMW",D31)))=TRUE</formula>
    </cfRule>
  </conditionalFormatting>
  <conditionalFormatting sqref="D48">
    <cfRule type="containsText" dxfId="10092" priority="414" operator="containsText" text="CANOPY TYPE">
      <formula>NOT(ISERROR(SEARCH("CANOPY TYPE",D48)))</formula>
    </cfRule>
  </conditionalFormatting>
  <conditionalFormatting sqref="D49">
    <cfRule type="expression" dxfId="10091" priority="429">
      <formula>(C15="LIGHT SELECTION")</formula>
    </cfRule>
  </conditionalFormatting>
  <conditionalFormatting sqref="D52">
    <cfRule type="expression" dxfId="10090" priority="559">
      <formula>($C52="SELECT WORKS")</formula>
    </cfRule>
  </conditionalFormatting>
  <conditionalFormatting sqref="D53">
    <cfRule type="expression" dxfId="10089" priority="412">
      <formula>$C53="SELECT CLADDING"</formula>
    </cfRule>
  </conditionalFormatting>
  <conditionalFormatting sqref="D56:D57">
    <cfRule type="expression" dxfId="10088" priority="372">
      <formula>($D$14="CANOPY TYPE")</formula>
    </cfRule>
  </conditionalFormatting>
  <conditionalFormatting sqref="D58">
    <cfRule type="expression" dxfId="10087" priority="577">
      <formula>ISNUMBER(SEARCH("UV",D48))</formula>
    </cfRule>
  </conditionalFormatting>
  <conditionalFormatting sqref="D59">
    <cfRule type="expression" dxfId="10086" priority="554">
      <formula>($D$14="CANOPY TYPE")</formula>
    </cfRule>
  </conditionalFormatting>
  <conditionalFormatting sqref="D60">
    <cfRule type="expression" dxfId="10085" priority="561">
      <formula>(ISNUMBER(SEARCH("CMW",D48)))=TRUE</formula>
    </cfRule>
  </conditionalFormatting>
  <conditionalFormatting sqref="D65">
    <cfRule type="containsText" dxfId="10084" priority="413" operator="containsText" text="CANOPY TYPE">
      <formula>NOT(ISERROR(SEARCH("CANOPY TYPE",D65)))</formula>
    </cfRule>
  </conditionalFormatting>
  <conditionalFormatting sqref="D66">
    <cfRule type="expression" dxfId="10083" priority="422">
      <formula>(C66="LIGHT SELECTION")</formula>
    </cfRule>
  </conditionalFormatting>
  <conditionalFormatting sqref="D69">
    <cfRule type="expression" dxfId="10082" priority="529">
      <formula>($C69="SELECT WORKS")</formula>
    </cfRule>
  </conditionalFormatting>
  <conditionalFormatting sqref="D70">
    <cfRule type="expression" dxfId="10081" priority="533">
      <formula>$C70="SELECT CLADDING"</formula>
    </cfRule>
  </conditionalFormatting>
  <conditionalFormatting sqref="D73:D74">
    <cfRule type="expression" dxfId="10080" priority="357">
      <formula>($D$14="CANOPY TYPE")</formula>
    </cfRule>
  </conditionalFormatting>
  <conditionalFormatting sqref="D75">
    <cfRule type="expression" dxfId="10079" priority="548">
      <formula>ISNUMBER(SEARCH("UV",D65))</formula>
    </cfRule>
  </conditionalFormatting>
  <conditionalFormatting sqref="D76">
    <cfRule type="expression" dxfId="10078" priority="524">
      <formula>($D$14="CANOPY TYPE")</formula>
    </cfRule>
  </conditionalFormatting>
  <conditionalFormatting sqref="D77">
    <cfRule type="expression" dxfId="10077" priority="531">
      <formula>(ISNUMBER(SEARCH("CMW",D65)))=TRUE</formula>
    </cfRule>
  </conditionalFormatting>
  <conditionalFormatting sqref="D82">
    <cfRule type="containsText" dxfId="10076" priority="506" operator="containsText" text="CANOPY TYPE">
      <formula>NOT(ISERROR(SEARCH("CANOPY TYPE",D82)))</formula>
    </cfRule>
  </conditionalFormatting>
  <conditionalFormatting sqref="D83">
    <cfRule type="expression" dxfId="10075" priority="421">
      <formula>(C83="LIGHT SELECTION")</formula>
    </cfRule>
  </conditionalFormatting>
  <conditionalFormatting sqref="D86">
    <cfRule type="expression" dxfId="10074" priority="498">
      <formula>($C86="SELECT WORKS")</formula>
    </cfRule>
  </conditionalFormatting>
  <conditionalFormatting sqref="D87">
    <cfRule type="expression" dxfId="10073" priority="502">
      <formula>$C87="SELECT CLADDING"</formula>
    </cfRule>
  </conditionalFormatting>
  <conditionalFormatting sqref="D90:D91">
    <cfRule type="expression" dxfId="10072" priority="342">
      <formula>($D$14="CANOPY TYPE")</formula>
    </cfRule>
  </conditionalFormatting>
  <conditionalFormatting sqref="D92">
    <cfRule type="expression" dxfId="10071" priority="518">
      <formula>ISNUMBER(SEARCH("UV",D82))</formula>
    </cfRule>
  </conditionalFormatting>
  <conditionalFormatting sqref="D93">
    <cfRule type="expression" dxfId="10070" priority="493">
      <formula>($D$14="CANOPY TYPE")</formula>
    </cfRule>
  </conditionalFormatting>
  <conditionalFormatting sqref="D94">
    <cfRule type="expression" dxfId="10069" priority="500">
      <formula>(ISNUMBER(SEARCH("CMW",D82)))=TRUE</formula>
    </cfRule>
  </conditionalFormatting>
  <conditionalFormatting sqref="D99">
    <cfRule type="containsText" dxfId="10068" priority="475" operator="containsText" text="CANOPY TYPE">
      <formula>NOT(ISERROR(SEARCH("CANOPY TYPE",D99)))</formula>
    </cfRule>
  </conditionalFormatting>
  <conditionalFormatting sqref="D100">
    <cfRule type="expression" dxfId="10067" priority="420">
      <formula>(C100="LIGHT SELECTION")</formula>
    </cfRule>
  </conditionalFormatting>
  <conditionalFormatting sqref="D103">
    <cfRule type="expression" dxfId="10066" priority="468">
      <formula>($C103="SELECT WORKS")</formula>
    </cfRule>
  </conditionalFormatting>
  <conditionalFormatting sqref="D104">
    <cfRule type="expression" dxfId="10065" priority="410">
      <formula>$C104="SELECT CLADDING"</formula>
    </cfRule>
  </conditionalFormatting>
  <conditionalFormatting sqref="D107:D108">
    <cfRule type="expression" dxfId="10064" priority="327">
      <formula>($D$14="CANOPY TYPE")</formula>
    </cfRule>
  </conditionalFormatting>
  <conditionalFormatting sqref="D109">
    <cfRule type="expression" dxfId="10063" priority="487">
      <formula>ISNUMBER(SEARCH("UV",D99))</formula>
    </cfRule>
  </conditionalFormatting>
  <conditionalFormatting sqref="D110">
    <cfRule type="expression" dxfId="10062" priority="463">
      <formula>($D$14="CANOPY TYPE")</formula>
    </cfRule>
  </conditionalFormatting>
  <conditionalFormatting sqref="D111">
    <cfRule type="expression" dxfId="10061" priority="470">
      <formula>(ISNUMBER(SEARCH("CMW",D99)))=TRUE</formula>
    </cfRule>
  </conditionalFormatting>
  <conditionalFormatting sqref="D116">
    <cfRule type="containsText" dxfId="10060" priority="307" operator="containsText" text="CANOPY TYPE">
      <formula>NOT(ISERROR(SEARCH("CANOPY TYPE",D116)))</formula>
    </cfRule>
  </conditionalFormatting>
  <conditionalFormatting sqref="D117">
    <cfRule type="expression" dxfId="10059" priority="290">
      <formula>(C117="LIGHT SELECTION")</formula>
    </cfRule>
  </conditionalFormatting>
  <conditionalFormatting sqref="D120">
    <cfRule type="expression" dxfId="10058" priority="300">
      <formula>($C120="SELECT WORKS")</formula>
    </cfRule>
  </conditionalFormatting>
  <conditionalFormatting sqref="D121">
    <cfRule type="expression" dxfId="10057" priority="289">
      <formula>$C121="SELECT CLADDING"</formula>
    </cfRule>
  </conditionalFormatting>
  <conditionalFormatting sqref="D124:D125">
    <cfRule type="expression" dxfId="10056" priority="274">
      <formula>($D$14="CANOPY TYPE")</formula>
    </cfRule>
  </conditionalFormatting>
  <conditionalFormatting sqref="D126">
    <cfRule type="expression" dxfId="10055" priority="319">
      <formula>ISNUMBER(SEARCH("UV",D116))</formula>
    </cfRule>
  </conditionalFormatting>
  <conditionalFormatting sqref="D127">
    <cfRule type="expression" dxfId="10054" priority="297">
      <formula>($D$14="CANOPY TYPE")</formula>
    </cfRule>
  </conditionalFormatting>
  <conditionalFormatting sqref="D128">
    <cfRule type="expression" dxfId="10053" priority="302">
      <formula>(ISNUMBER(SEARCH("CMW",D116)))=TRUE</formula>
    </cfRule>
  </conditionalFormatting>
  <conditionalFormatting sqref="D133">
    <cfRule type="containsText" dxfId="10052" priority="170" operator="containsText" text="CANOPY TYPE">
      <formula>NOT(ISERROR(SEARCH("CANOPY TYPE",D133)))</formula>
    </cfRule>
  </conditionalFormatting>
  <conditionalFormatting sqref="D134">
    <cfRule type="expression" dxfId="10051" priority="115">
      <formula>(C134="LIGHT SELECTION")</formula>
    </cfRule>
  </conditionalFormatting>
  <conditionalFormatting sqref="D137">
    <cfRule type="expression" dxfId="10050" priority="162">
      <formula>($C137="SELECT WORKS")</formula>
    </cfRule>
  </conditionalFormatting>
  <conditionalFormatting sqref="D138">
    <cfRule type="expression" dxfId="10049" priority="166">
      <formula>$C138="SELECT CLADDING"</formula>
    </cfRule>
  </conditionalFormatting>
  <conditionalFormatting sqref="D141:D142">
    <cfRule type="expression" dxfId="10048" priority="98">
      <formula>($D$14="CANOPY TYPE")</formula>
    </cfRule>
  </conditionalFormatting>
  <conditionalFormatting sqref="D143">
    <cfRule type="expression" dxfId="10047" priority="182">
      <formula>ISNUMBER(SEARCH("UV",D133))</formula>
    </cfRule>
  </conditionalFormatting>
  <conditionalFormatting sqref="D144">
    <cfRule type="expression" dxfId="10046" priority="157">
      <formula>($D$14="CANOPY TYPE")</formula>
    </cfRule>
  </conditionalFormatting>
  <conditionalFormatting sqref="D145">
    <cfRule type="expression" dxfId="10045" priority="164">
      <formula>(ISNUMBER(SEARCH("CMW",D133)))=TRUE</formula>
    </cfRule>
  </conditionalFormatting>
  <conditionalFormatting sqref="D150">
    <cfRule type="containsText" dxfId="10044" priority="139" operator="containsText" text="CANOPY TYPE">
      <formula>NOT(ISERROR(SEARCH("CANOPY TYPE",D150)))</formula>
    </cfRule>
  </conditionalFormatting>
  <conditionalFormatting sqref="D151">
    <cfRule type="expression" dxfId="10043" priority="114">
      <formula>(C151="LIGHT SELECTION")</formula>
    </cfRule>
  </conditionalFormatting>
  <conditionalFormatting sqref="D154">
    <cfRule type="expression" dxfId="10042" priority="132">
      <formula>($C154="SELECT WORKS")</formula>
    </cfRule>
  </conditionalFormatting>
  <conditionalFormatting sqref="D155">
    <cfRule type="expression" dxfId="10041" priority="113">
      <formula>$C155="SELECT CLADDING"</formula>
    </cfRule>
  </conditionalFormatting>
  <conditionalFormatting sqref="D158:D159">
    <cfRule type="expression" dxfId="10040" priority="83">
      <formula>($D$14="CANOPY TYPE")</formula>
    </cfRule>
  </conditionalFormatting>
  <conditionalFormatting sqref="D160">
    <cfRule type="expression" dxfId="10039" priority="151">
      <formula>ISNUMBER(SEARCH("UV",D150))</formula>
    </cfRule>
  </conditionalFormatting>
  <conditionalFormatting sqref="D161">
    <cfRule type="expression" dxfId="10038" priority="129">
      <formula>($D$14="CANOPY TYPE")</formula>
    </cfRule>
  </conditionalFormatting>
  <conditionalFormatting sqref="D162">
    <cfRule type="expression" dxfId="10037" priority="134">
      <formula>(ISNUMBER(SEARCH("CMW",D150)))=TRUE</formula>
    </cfRule>
  </conditionalFormatting>
  <conditionalFormatting sqref="D167">
    <cfRule type="containsText" dxfId="10036" priority="63" operator="containsText" text="CANOPY TYPE">
      <formula>NOT(ISERROR(SEARCH("CANOPY TYPE",D167)))</formula>
    </cfRule>
  </conditionalFormatting>
  <conditionalFormatting sqref="D168">
    <cfRule type="expression" dxfId="10035" priority="46">
      <formula>(C168="LIGHT SELECTION")</formula>
    </cfRule>
  </conditionalFormatting>
  <conditionalFormatting sqref="D171">
    <cfRule type="expression" dxfId="10034" priority="56">
      <formula>($C171="SELECT WORKS")</formula>
    </cfRule>
  </conditionalFormatting>
  <conditionalFormatting sqref="D172">
    <cfRule type="expression" dxfId="10033" priority="45">
      <formula>$C172="SELECT CLADDING"</formula>
    </cfRule>
  </conditionalFormatting>
  <conditionalFormatting sqref="D175:D176">
    <cfRule type="expression" dxfId="10032" priority="30">
      <formula>($D$14="CANOPY TYPE")</formula>
    </cfRule>
  </conditionalFormatting>
  <conditionalFormatting sqref="D177">
    <cfRule type="expression" dxfId="10031" priority="75">
      <formula>ISNUMBER(SEARCH("UV",D167))</formula>
    </cfRule>
  </conditionalFormatting>
  <conditionalFormatting sqref="D178">
    <cfRule type="expression" dxfId="10030" priority="53">
      <formula>($D$14="CANOPY TYPE")</formula>
    </cfRule>
  </conditionalFormatting>
  <conditionalFormatting sqref="D179">
    <cfRule type="expression" dxfId="10029" priority="58">
      <formula>(ISNUMBER(SEARCH("CMW",D167)))=TRUE</formula>
    </cfRule>
  </conditionalFormatting>
  <conditionalFormatting sqref="E12">
    <cfRule type="expression" dxfId="10028" priority="685">
      <formula>AND((ISNUMBER(SEARCH("I-MUAP",$D$14))),E12&lt;2500)</formula>
    </cfRule>
    <cfRule type="expression" dxfId="10027" priority="686">
      <formula>ISNUMBER(SEARCH("I-MUAP",$D$14))</formula>
    </cfRule>
    <cfRule type="cellIs" dxfId="10026" priority="687" operator="greaterThan">
      <formula>2000</formula>
    </cfRule>
  </conditionalFormatting>
  <conditionalFormatting sqref="E15">
    <cfRule type="expression" dxfId="10025" priority="417">
      <formula>(C15="LIGHT SELECTION")</formula>
    </cfRule>
  </conditionalFormatting>
  <conditionalFormatting sqref="E17:E18">
    <cfRule type="expression" dxfId="10024" priority="628">
      <formula>$C17="SELECT WORKS"</formula>
    </cfRule>
  </conditionalFormatting>
  <conditionalFormatting sqref="E22:E23">
    <cfRule type="expression" dxfId="10023" priority="667">
      <formula>D22="WW PODS"</formula>
    </cfRule>
    <cfRule type="expression" dxfId="10022" priority="668">
      <formula>D22="FILTER TYPE"</formula>
    </cfRule>
    <cfRule type="expression" dxfId="10021" priority="669">
      <formula>D22="KSA"</formula>
    </cfRule>
    <cfRule type="expression" dxfId="10020" priority="690">
      <formula>(D14="CANOPY TYPE")</formula>
    </cfRule>
  </conditionalFormatting>
  <conditionalFormatting sqref="E24">
    <cfRule type="containsText" dxfId="10019" priority="677" operator="containsText" text="LONG ">
      <formula>NOT(ISERROR(SEARCH("LONG ",E24)))</formula>
    </cfRule>
  </conditionalFormatting>
  <conditionalFormatting sqref="E29">
    <cfRule type="expression" dxfId="10018" priority="605">
      <formula>AND((ISNUMBER(SEARCH("I-MUAP",$D$14))),E29&lt;2500)</formula>
    </cfRule>
    <cfRule type="expression" dxfId="10017" priority="606">
      <formula>ISNUMBER(SEARCH("I-MUAP",$D$14))</formula>
    </cfRule>
    <cfRule type="cellIs" dxfId="10016" priority="607" operator="greaterThan">
      <formula>2000</formula>
    </cfRule>
  </conditionalFormatting>
  <conditionalFormatting sqref="E34">
    <cfRule type="expression" dxfId="10015" priority="264">
      <formula>$C34="SELECT WORKS"</formula>
    </cfRule>
  </conditionalFormatting>
  <conditionalFormatting sqref="E39:E40">
    <cfRule type="expression" dxfId="10014" priority="389">
      <formula>D39="WW PODS"</formula>
    </cfRule>
    <cfRule type="expression" dxfId="10013" priority="390">
      <formula>D39="FILTER TYPE"</formula>
    </cfRule>
    <cfRule type="expression" dxfId="10012" priority="391">
      <formula>D39="KSA"</formula>
    </cfRule>
    <cfRule type="expression" dxfId="10011" priority="392">
      <formula>(D31="CANOPY TYPE")</formula>
    </cfRule>
  </conditionalFormatting>
  <conditionalFormatting sqref="E41">
    <cfRule type="containsText" dxfId="10010" priority="598" operator="containsText" text="LONG ">
      <formula>NOT(ISERROR(SEARCH("LONG ",E41)))</formula>
    </cfRule>
  </conditionalFormatting>
  <conditionalFormatting sqref="E46">
    <cfRule type="expression" dxfId="10009" priority="574">
      <formula>AND((ISNUMBER(SEARCH("I-MUAP",$D$14))),E46&lt;2500)</formula>
    </cfRule>
    <cfRule type="expression" dxfId="10008" priority="575">
      <formula>ISNUMBER(SEARCH("I-MUAP",$D$14))</formula>
    </cfRule>
    <cfRule type="cellIs" dxfId="10007" priority="576" operator="greaterThan">
      <formula>2000</formula>
    </cfRule>
  </conditionalFormatting>
  <conditionalFormatting sqref="E49">
    <cfRule type="expression" dxfId="10006" priority="431">
      <formula>(C49="LIGHT SELECTION")</formula>
    </cfRule>
  </conditionalFormatting>
  <conditionalFormatting sqref="E51:E52">
    <cfRule type="expression" dxfId="10005" priority="253">
      <formula>$C51="SELECT WORKS"</formula>
    </cfRule>
  </conditionalFormatting>
  <conditionalFormatting sqref="E56:E57">
    <cfRule type="expression" dxfId="10004" priority="374">
      <formula>D56="WW PODS"</formula>
    </cfRule>
    <cfRule type="expression" dxfId="10003" priority="375">
      <formula>D56="FILTER TYPE"</formula>
    </cfRule>
    <cfRule type="expression" dxfId="10002" priority="376">
      <formula>D56="KSA"</formula>
    </cfRule>
    <cfRule type="expression" dxfId="10001" priority="377">
      <formula>(D48="CANOPY TYPE")</formula>
    </cfRule>
  </conditionalFormatting>
  <conditionalFormatting sqref="E58">
    <cfRule type="containsText" dxfId="10000" priority="567" operator="containsText" text="LONG ">
      <formula>NOT(ISERROR(SEARCH("LONG ",E58)))</formula>
    </cfRule>
  </conditionalFormatting>
  <conditionalFormatting sqref="E63">
    <cfRule type="expression" dxfId="9999" priority="545">
      <formula>AND((ISNUMBER(SEARCH("I-MUAP",$D$14))),E63&lt;2500)</formula>
    </cfRule>
    <cfRule type="expression" dxfId="9998" priority="546">
      <formula>ISNUMBER(SEARCH("I-MUAP",$D$14))</formula>
    </cfRule>
    <cfRule type="cellIs" dxfId="9997" priority="547" operator="greaterThan">
      <formula>2000</formula>
    </cfRule>
  </conditionalFormatting>
  <conditionalFormatting sqref="E68:E69">
    <cfRule type="expression" dxfId="9996" priority="242">
      <formula>$C68="SELECT WORKS"</formula>
    </cfRule>
  </conditionalFormatting>
  <conditionalFormatting sqref="E73:E74">
    <cfRule type="expression" dxfId="9995" priority="359">
      <formula>D73="WW PODS"</formula>
    </cfRule>
    <cfRule type="expression" dxfId="9994" priority="360">
      <formula>D73="FILTER TYPE"</formula>
    </cfRule>
    <cfRule type="expression" dxfId="9993" priority="361">
      <formula>D73="KSA"</formula>
    </cfRule>
    <cfRule type="expression" dxfId="9992" priority="362">
      <formula>(D65="CANOPY TYPE")</formula>
    </cfRule>
  </conditionalFormatting>
  <conditionalFormatting sqref="E75">
    <cfRule type="containsText" dxfId="9991" priority="538" operator="containsText" text="LONG ">
      <formula>NOT(ISERROR(SEARCH("LONG ",E75)))</formula>
    </cfRule>
  </conditionalFormatting>
  <conditionalFormatting sqref="E80">
    <cfRule type="expression" dxfId="9990" priority="515">
      <formula>AND((ISNUMBER(SEARCH("I-MUAP",$D$14))),E80&lt;2500)</formula>
    </cfRule>
    <cfRule type="expression" dxfId="9989" priority="516">
      <formula>ISNUMBER(SEARCH("I-MUAP",$D$14))</formula>
    </cfRule>
    <cfRule type="cellIs" dxfId="9988" priority="517" operator="greaterThan">
      <formula>2000</formula>
    </cfRule>
  </conditionalFormatting>
  <conditionalFormatting sqref="E85:E86">
    <cfRule type="expression" dxfId="9987" priority="231">
      <formula>$C85="SELECT WORKS"</formula>
    </cfRule>
  </conditionalFormatting>
  <conditionalFormatting sqref="E90:E91">
    <cfRule type="expression" dxfId="9986" priority="344">
      <formula>D90="WW PODS"</formula>
    </cfRule>
    <cfRule type="expression" dxfId="9985" priority="345">
      <formula>D90="FILTER TYPE"</formula>
    </cfRule>
    <cfRule type="expression" dxfId="9984" priority="346">
      <formula>D90="KSA"</formula>
    </cfRule>
    <cfRule type="expression" dxfId="9983" priority="347">
      <formula>(D82="CANOPY TYPE")</formula>
    </cfRule>
  </conditionalFormatting>
  <conditionalFormatting sqref="E92">
    <cfRule type="containsText" dxfId="9982" priority="508" operator="containsText" text="LONG ">
      <formula>NOT(ISERROR(SEARCH("LONG ",E92)))</formula>
    </cfRule>
  </conditionalFormatting>
  <conditionalFormatting sqref="E97">
    <cfRule type="expression" dxfId="9981" priority="484">
      <formula>AND((ISNUMBER(SEARCH("I-MUAP",$D$14))),E97&lt;2500)</formula>
    </cfRule>
    <cfRule type="expression" dxfId="9980" priority="485">
      <formula>ISNUMBER(SEARCH("I-MUAP",$D$14))</formula>
    </cfRule>
    <cfRule type="cellIs" dxfId="9979" priority="486" operator="greaterThan">
      <formula>2000</formula>
    </cfRule>
  </conditionalFormatting>
  <conditionalFormatting sqref="E102:E103">
    <cfRule type="expression" dxfId="9978" priority="220">
      <formula>$C102="SELECT WORKS"</formula>
    </cfRule>
  </conditionalFormatting>
  <conditionalFormatting sqref="E107:E108">
    <cfRule type="expression" dxfId="9977" priority="329">
      <formula>D107="WW PODS"</formula>
    </cfRule>
    <cfRule type="expression" dxfId="9976" priority="330">
      <formula>D107="FILTER TYPE"</formula>
    </cfRule>
    <cfRule type="expression" dxfId="9975" priority="331">
      <formula>D107="KSA"</formula>
    </cfRule>
    <cfRule type="expression" dxfId="9974" priority="332">
      <formula>(D99="CANOPY TYPE")</formula>
    </cfRule>
  </conditionalFormatting>
  <conditionalFormatting sqref="E109">
    <cfRule type="containsText" dxfId="9973" priority="477" operator="containsText" text="LONG ">
      <formula>NOT(ISERROR(SEARCH("LONG ",E109)))</formula>
    </cfRule>
  </conditionalFormatting>
  <conditionalFormatting sqref="E114">
    <cfRule type="expression" dxfId="9972" priority="316">
      <formula>AND((ISNUMBER(SEARCH("I-MUAP",$D$14))),E114&lt;2500)</formula>
    </cfRule>
    <cfRule type="expression" dxfId="9971" priority="317">
      <formula>ISNUMBER(SEARCH("I-MUAP",$D$14))</formula>
    </cfRule>
    <cfRule type="cellIs" dxfId="9970" priority="318" operator="greaterThan">
      <formula>2000</formula>
    </cfRule>
  </conditionalFormatting>
  <conditionalFormatting sqref="E119:E120">
    <cfRule type="expression" dxfId="9969" priority="209">
      <formula>$C119="SELECT WORKS"</formula>
    </cfRule>
  </conditionalFormatting>
  <conditionalFormatting sqref="E124:E125">
    <cfRule type="expression" dxfId="9968" priority="276">
      <formula>D124="WW PODS"</formula>
    </cfRule>
    <cfRule type="expression" dxfId="9967" priority="277">
      <formula>D124="FILTER TYPE"</formula>
    </cfRule>
    <cfRule type="expression" dxfId="9966" priority="278">
      <formula>D124="KSA"</formula>
    </cfRule>
    <cfRule type="expression" dxfId="9965" priority="279">
      <formula>(D116="CANOPY TYPE")</formula>
    </cfRule>
  </conditionalFormatting>
  <conditionalFormatting sqref="E126">
    <cfRule type="containsText" dxfId="9964" priority="309" operator="containsText" text="LONG ">
      <formula>NOT(ISERROR(SEARCH("LONG ",E126)))</formula>
    </cfRule>
  </conditionalFormatting>
  <conditionalFormatting sqref="E131">
    <cfRule type="expression" dxfId="9963" priority="179">
      <formula>AND((ISNUMBER(SEARCH("I-MUAP",$D$14))),E131&lt;2500)</formula>
    </cfRule>
    <cfRule type="expression" dxfId="9962" priority="180">
      <formula>ISNUMBER(SEARCH("I-MUAP",$D$14))</formula>
    </cfRule>
    <cfRule type="cellIs" dxfId="9961" priority="181" operator="greaterThan">
      <formula>2000</formula>
    </cfRule>
  </conditionalFormatting>
  <conditionalFormatting sqref="E136:E137">
    <cfRule type="expression" dxfId="9960" priority="22">
      <formula>$C136="SELECT WORKS"</formula>
    </cfRule>
  </conditionalFormatting>
  <conditionalFormatting sqref="E141:E142">
    <cfRule type="expression" dxfId="9959" priority="100">
      <formula>D141="WW PODS"</formula>
    </cfRule>
    <cfRule type="expression" dxfId="9958" priority="101">
      <formula>D141="FILTER TYPE"</formula>
    </cfRule>
    <cfRule type="expression" dxfId="9957" priority="102">
      <formula>D141="KSA"</formula>
    </cfRule>
    <cfRule type="expression" dxfId="9956" priority="103">
      <formula>(D133="CANOPY TYPE")</formula>
    </cfRule>
  </conditionalFormatting>
  <conditionalFormatting sqref="E143">
    <cfRule type="containsText" dxfId="9955" priority="172" operator="containsText" text="LONG ">
      <formula>NOT(ISERROR(SEARCH("LONG ",E143)))</formula>
    </cfRule>
  </conditionalFormatting>
  <conditionalFormatting sqref="E148">
    <cfRule type="expression" dxfId="9954" priority="148">
      <formula>AND((ISNUMBER(SEARCH("I-MUAP",$D$14))),E148&lt;2500)</formula>
    </cfRule>
    <cfRule type="expression" dxfId="9953" priority="149">
      <formula>ISNUMBER(SEARCH("I-MUAP",$D$14))</formula>
    </cfRule>
    <cfRule type="cellIs" dxfId="9952" priority="150" operator="greaterThan">
      <formula>2000</formula>
    </cfRule>
  </conditionalFormatting>
  <conditionalFormatting sqref="E153:E154">
    <cfRule type="expression" dxfId="9951" priority="11">
      <formula>$C153="SELECT WORKS"</formula>
    </cfRule>
  </conditionalFormatting>
  <conditionalFormatting sqref="E158:E159">
    <cfRule type="expression" dxfId="9950" priority="85">
      <formula>D158="WW PODS"</formula>
    </cfRule>
    <cfRule type="expression" dxfId="9949" priority="86">
      <formula>D158="FILTER TYPE"</formula>
    </cfRule>
    <cfRule type="expression" dxfId="9948" priority="87">
      <formula>D158="KSA"</formula>
    </cfRule>
    <cfRule type="expression" dxfId="9947" priority="88">
      <formula>(D150="CANOPY TYPE")</formula>
    </cfRule>
  </conditionalFormatting>
  <conditionalFormatting sqref="E160">
    <cfRule type="containsText" dxfId="9946" priority="141" operator="containsText" text="LONG ">
      <formula>NOT(ISERROR(SEARCH("LONG ",E160)))</formula>
    </cfRule>
  </conditionalFormatting>
  <conditionalFormatting sqref="E165">
    <cfRule type="expression" dxfId="9945" priority="72">
      <formula>AND((ISNUMBER(SEARCH("I-MUAP",$D$14))),E165&lt;2500)</formula>
    </cfRule>
    <cfRule type="expression" dxfId="9944" priority="73">
      <formula>ISNUMBER(SEARCH("I-MUAP",$D$14))</formula>
    </cfRule>
    <cfRule type="cellIs" dxfId="9943" priority="74" operator="greaterThan">
      <formula>2000</formula>
    </cfRule>
  </conditionalFormatting>
  <conditionalFormatting sqref="E170:E171">
    <cfRule type="expression" dxfId="9942" priority="6">
      <formula>$C170="SELECT WORKS"</formula>
    </cfRule>
  </conditionalFormatting>
  <conditionalFormatting sqref="E175:E176">
    <cfRule type="expression" dxfId="9941" priority="32">
      <formula>D175="WW PODS"</formula>
    </cfRule>
    <cfRule type="expression" dxfId="9940" priority="33">
      <formula>D175="FILTER TYPE"</formula>
    </cfRule>
    <cfRule type="expression" dxfId="9939" priority="34">
      <formula>D175="KSA"</formula>
    </cfRule>
    <cfRule type="expression" dxfId="9938" priority="35">
      <formula>(D167="CANOPY TYPE")</formula>
    </cfRule>
  </conditionalFormatting>
  <conditionalFormatting sqref="E177">
    <cfRule type="containsText" dxfId="9937" priority="65" operator="containsText" text="LONG ">
      <formula>NOT(ISERROR(SEARCH("LONG ",E177)))</formula>
    </cfRule>
  </conditionalFormatting>
  <conditionalFormatting sqref="E12:F12">
    <cfRule type="cellIs" dxfId="9936" priority="681" operator="lessThan">
      <formula>1000</formula>
    </cfRule>
  </conditionalFormatting>
  <conditionalFormatting sqref="E14:F14">
    <cfRule type="cellIs" dxfId="9935" priority="678" operator="lessThan">
      <formula>1000</formula>
    </cfRule>
  </conditionalFormatting>
  <conditionalFormatting sqref="E25:F27">
    <cfRule type="expression" dxfId="9934" priority="615">
      <formula>($D$14="CANOPY TYPE")</formula>
    </cfRule>
  </conditionalFormatting>
  <conditionalFormatting sqref="E29:F29">
    <cfRule type="cellIs" dxfId="9933" priority="602" operator="lessThan">
      <formula>1000</formula>
    </cfRule>
  </conditionalFormatting>
  <conditionalFormatting sqref="E31:F31">
    <cfRule type="cellIs" dxfId="9932" priority="599" operator="lessThan">
      <formula>1000</formula>
    </cfRule>
  </conditionalFormatting>
  <conditionalFormatting sqref="E32:F32">
    <cfRule type="expression" dxfId="9931" priority="455">
      <formula>(C32="LIGHT SELECTION")</formula>
    </cfRule>
  </conditionalFormatting>
  <conditionalFormatting sqref="E42:F44">
    <cfRule type="expression" dxfId="9930" priority="584">
      <formula>($D$14="CANOPY TYPE")</formula>
    </cfRule>
  </conditionalFormatting>
  <conditionalFormatting sqref="E46:F46">
    <cfRule type="cellIs" dxfId="9929" priority="571" operator="lessThan">
      <formula>1000</formula>
    </cfRule>
  </conditionalFormatting>
  <conditionalFormatting sqref="E48:F48">
    <cfRule type="cellIs" dxfId="9928" priority="568" operator="lessThan">
      <formula>1000</formula>
    </cfRule>
  </conditionalFormatting>
  <conditionalFormatting sqref="E59:F61">
    <cfRule type="expression" dxfId="9927" priority="555">
      <formula>($D$14="CANOPY TYPE")</formula>
    </cfRule>
  </conditionalFormatting>
  <conditionalFormatting sqref="E63:F63">
    <cfRule type="cellIs" dxfId="9926" priority="542" operator="lessThan">
      <formula>1000</formula>
    </cfRule>
  </conditionalFormatting>
  <conditionalFormatting sqref="E65:F65">
    <cfRule type="cellIs" dxfId="9925" priority="539" operator="lessThan">
      <formula>1000</formula>
    </cfRule>
  </conditionalFormatting>
  <conditionalFormatting sqref="E66:F66">
    <cfRule type="expression" dxfId="9924" priority="448">
      <formula>(C66="LIGHT SELECTION")</formula>
    </cfRule>
  </conditionalFormatting>
  <conditionalFormatting sqref="E76:F78">
    <cfRule type="expression" dxfId="9923" priority="525">
      <formula>($D$14="CANOPY TYPE")</formula>
    </cfRule>
  </conditionalFormatting>
  <conditionalFormatting sqref="E80:F80">
    <cfRule type="cellIs" dxfId="9922" priority="512" operator="lessThan">
      <formula>1000</formula>
    </cfRule>
  </conditionalFormatting>
  <conditionalFormatting sqref="E82:F82">
    <cfRule type="cellIs" dxfId="9921" priority="509" operator="lessThan">
      <formula>1000</formula>
    </cfRule>
  </conditionalFormatting>
  <conditionalFormatting sqref="E83:F83">
    <cfRule type="expression" dxfId="9920" priority="444">
      <formula>(C83="LIGHT SELECTION")</formula>
    </cfRule>
  </conditionalFormatting>
  <conditionalFormatting sqref="E93:F95">
    <cfRule type="expression" dxfId="9919" priority="494">
      <formula>($D$14="CANOPY TYPE")</formula>
    </cfRule>
  </conditionalFormatting>
  <conditionalFormatting sqref="E97:F97">
    <cfRule type="cellIs" dxfId="9918" priority="481" operator="lessThan">
      <formula>1000</formula>
    </cfRule>
  </conditionalFormatting>
  <conditionalFormatting sqref="E99:F99">
    <cfRule type="cellIs" dxfId="9917" priority="478" operator="lessThan">
      <formula>1000</formula>
    </cfRule>
  </conditionalFormatting>
  <conditionalFormatting sqref="E100:F100">
    <cfRule type="expression" dxfId="9916" priority="440">
      <formula>(C100="LIGHT SELECTION")</formula>
    </cfRule>
  </conditionalFormatting>
  <conditionalFormatting sqref="E110:F112 E127:F129 E161:F163 E178:F180">
    <cfRule type="expression" dxfId="9915" priority="464">
      <formula>($D$14="CANOPY TYPE")</formula>
    </cfRule>
  </conditionalFormatting>
  <conditionalFormatting sqref="E114:F114">
    <cfRule type="cellIs" dxfId="9914" priority="313" operator="lessThan">
      <formula>1000</formula>
    </cfRule>
  </conditionalFormatting>
  <conditionalFormatting sqref="E116:F116">
    <cfRule type="cellIs" dxfId="9913" priority="310" operator="lessThan">
      <formula>1000</formula>
    </cfRule>
  </conditionalFormatting>
  <conditionalFormatting sqref="E117:F117">
    <cfRule type="expression" dxfId="9912" priority="294">
      <formula>(C117="LIGHT SELECTION")</formula>
    </cfRule>
  </conditionalFormatting>
  <conditionalFormatting sqref="E131:F131">
    <cfRule type="cellIs" dxfId="9911" priority="176" operator="lessThan">
      <formula>1000</formula>
    </cfRule>
  </conditionalFormatting>
  <conditionalFormatting sqref="E133:F133">
    <cfRule type="cellIs" dxfId="9910" priority="173" operator="lessThan">
      <formula>1000</formula>
    </cfRule>
  </conditionalFormatting>
  <conditionalFormatting sqref="E134:F134">
    <cfRule type="expression" dxfId="9909" priority="125">
      <formula>(C134="LIGHT SELECTION")</formula>
    </cfRule>
  </conditionalFormatting>
  <conditionalFormatting sqref="E144:F146">
    <cfRule type="expression" dxfId="9908" priority="158">
      <formula>($D$14="CANOPY TYPE")</formula>
    </cfRule>
  </conditionalFormatting>
  <conditionalFormatting sqref="E148:F148">
    <cfRule type="cellIs" dxfId="9907" priority="145" operator="lessThan">
      <formula>1000</formula>
    </cfRule>
  </conditionalFormatting>
  <conditionalFormatting sqref="E150:F150">
    <cfRule type="cellIs" dxfId="9906" priority="142" operator="lessThan">
      <formula>1000</formula>
    </cfRule>
  </conditionalFormatting>
  <conditionalFormatting sqref="E151:F151">
    <cfRule type="expression" dxfId="9905" priority="121">
      <formula>(C151="LIGHT SELECTION")</formula>
    </cfRule>
  </conditionalFormatting>
  <conditionalFormatting sqref="E165:F165">
    <cfRule type="cellIs" dxfId="9904" priority="69" operator="lessThan">
      <formula>1000</formula>
    </cfRule>
  </conditionalFormatting>
  <conditionalFormatting sqref="E167:F167">
    <cfRule type="cellIs" dxfId="9903" priority="66" operator="lessThan">
      <formula>1000</formula>
    </cfRule>
  </conditionalFormatting>
  <conditionalFormatting sqref="E168:F168">
    <cfRule type="expression" dxfId="9902" priority="50">
      <formula>(C168="LIGHT SELECTION")</formula>
    </cfRule>
  </conditionalFormatting>
  <conditionalFormatting sqref="F12">
    <cfRule type="cellIs" dxfId="9901" priority="682" operator="greaterThan">
      <formula>3001</formula>
    </cfRule>
  </conditionalFormatting>
  <conditionalFormatting sqref="F15">
    <cfRule type="expression" dxfId="9900" priority="457">
      <formula>(C15="LED STRIP")</formula>
    </cfRule>
    <cfRule type="expression" dxfId="9899" priority="670">
      <formula>(C15="LIGHT SELECTION")</formula>
    </cfRule>
    <cfRule type="expression" dxfId="9898" priority="672">
      <formula>(C15="FLO")</formula>
    </cfRule>
    <cfRule type="expression" dxfId="9897" priority="704">
      <formula>(D49="LIGHT SELECTION")</formula>
    </cfRule>
  </conditionalFormatting>
  <conditionalFormatting sqref="F22:F23">
    <cfRule type="expression" dxfId="9896" priority="695">
      <formula>D22="NF"</formula>
    </cfRule>
    <cfRule type="expression" dxfId="9895" priority="696">
      <formula>D22="WW PODS"</formula>
    </cfRule>
    <cfRule type="expression" dxfId="9894" priority="697">
      <formula>D22="GRILLE"</formula>
    </cfRule>
    <cfRule type="expression" dxfId="9893" priority="698">
      <formula>D22="CENTREX"</formula>
    </cfRule>
    <cfRule type="expression" dxfId="9892" priority="699" stopIfTrue="1">
      <formula>D14="canopy type"</formula>
    </cfRule>
    <cfRule type="expression" dxfId="9891" priority="700">
      <formula>(((I14*3600)/(C22*I11))^2+20)&gt;300</formula>
    </cfRule>
    <cfRule type="expression" dxfId="9890" priority="701" stopIfTrue="1">
      <formula>(ISNUMBER(SEARCH("UV",D14)))</formula>
    </cfRule>
    <cfRule type="expression" dxfId="9889" priority="702">
      <formula>(((I14*3600)/(C22*I11))^2+20)&gt;180</formula>
    </cfRule>
    <cfRule type="expression" dxfId="9888" priority="703">
      <formula>D22="KSA"</formula>
    </cfRule>
  </conditionalFormatting>
  <conditionalFormatting sqref="F24">
    <cfRule type="cellIs" dxfId="9887" priority="676" operator="lessThan">
      <formula>2100</formula>
    </cfRule>
  </conditionalFormatting>
  <conditionalFormatting sqref="F29">
    <cfRule type="cellIs" dxfId="9886" priority="603" operator="greaterThan">
      <formula>3001</formula>
    </cfRule>
  </conditionalFormatting>
  <conditionalFormatting sqref="F32">
    <cfRule type="expression" dxfId="9885" priority="453">
      <formula>(C32="LED STRIP")</formula>
    </cfRule>
    <cfRule type="expression" dxfId="9884" priority="454">
      <formula>(C32="LIGHT SELECTION")</formula>
    </cfRule>
    <cfRule type="expression" dxfId="9883" priority="456">
      <formula>(C32="FLO")</formula>
    </cfRule>
  </conditionalFormatting>
  <conditionalFormatting sqref="F39:F40">
    <cfRule type="expression" dxfId="9882" priority="393">
      <formula>D39="NF"</formula>
    </cfRule>
    <cfRule type="expression" dxfId="9881" priority="394">
      <formula>D39="WW PODS"</formula>
    </cfRule>
    <cfRule type="expression" dxfId="9880" priority="395">
      <formula>D39="GRILLE"</formula>
    </cfRule>
    <cfRule type="expression" dxfId="9879" priority="396">
      <formula>D39="CENTREX"</formula>
    </cfRule>
    <cfRule type="expression" dxfId="9878" priority="397" stopIfTrue="1">
      <formula>D31="canopy type"</formula>
    </cfRule>
    <cfRule type="expression" dxfId="9877" priority="398">
      <formula>(((I31*3600)/(C39*I28))^2+20)&gt;300</formula>
    </cfRule>
    <cfRule type="expression" dxfId="9876" priority="399" stopIfTrue="1">
      <formula>(ISNUMBER(SEARCH("UV",D31)))</formula>
    </cfRule>
    <cfRule type="expression" dxfId="9875" priority="400">
      <formula>(((I31*3600)/(C39*I28))^2+20)&gt;180</formula>
    </cfRule>
    <cfRule type="expression" dxfId="9874" priority="401">
      <formula>D39="KSA"</formula>
    </cfRule>
  </conditionalFormatting>
  <conditionalFormatting sqref="F41">
    <cfRule type="cellIs" dxfId="9873" priority="597" operator="lessThan">
      <formula>2100</formula>
    </cfRule>
  </conditionalFormatting>
  <conditionalFormatting sqref="F46">
    <cfRule type="cellIs" dxfId="9872" priority="572" operator="greaterThan">
      <formula>3001</formula>
    </cfRule>
  </conditionalFormatting>
  <conditionalFormatting sqref="F49">
    <cfRule type="expression" dxfId="9871" priority="450">
      <formula>(C49="LED STRIP")</formula>
    </cfRule>
    <cfRule type="expression" dxfId="9870" priority="451">
      <formula>(C49="LIGHT SELECTION")</formula>
    </cfRule>
    <cfRule type="expression" dxfId="9869" priority="452">
      <formula>(C49="FLO")</formula>
    </cfRule>
    <cfRule type="expression" dxfId="9868" priority="705">
      <formula>(#REF!="LIGHT SELECTION")</formula>
    </cfRule>
  </conditionalFormatting>
  <conditionalFormatting sqref="F56:F57">
    <cfRule type="expression" dxfId="9867" priority="378">
      <formula>D56="NF"</formula>
    </cfRule>
    <cfRule type="expression" dxfId="9866" priority="379">
      <formula>D56="WW PODS"</formula>
    </cfRule>
    <cfRule type="expression" dxfId="9865" priority="380">
      <formula>D56="GRILLE"</formula>
    </cfRule>
    <cfRule type="expression" dxfId="9864" priority="381">
      <formula>D56="CENTREX"</formula>
    </cfRule>
    <cfRule type="expression" dxfId="9863" priority="382" stopIfTrue="1">
      <formula>D48="canopy type"</formula>
    </cfRule>
    <cfRule type="expression" dxfId="9862" priority="383">
      <formula>(((I48*3600)/(C56*I45))^2+20)&gt;300</formula>
    </cfRule>
    <cfRule type="expression" dxfId="9861" priority="384" stopIfTrue="1">
      <formula>(ISNUMBER(SEARCH("UV",D48)))</formula>
    </cfRule>
    <cfRule type="expression" dxfId="9860" priority="385">
      <formula>(((I48*3600)/(C56*I45))^2+20)&gt;180</formula>
    </cfRule>
    <cfRule type="expression" dxfId="9859" priority="386">
      <formula>D56="KSA"</formula>
    </cfRule>
  </conditionalFormatting>
  <conditionalFormatting sqref="F58">
    <cfRule type="cellIs" dxfId="9858" priority="566" operator="lessThan">
      <formula>2100</formula>
    </cfRule>
  </conditionalFormatting>
  <conditionalFormatting sqref="F63">
    <cfRule type="cellIs" dxfId="9857" priority="543" operator="greaterThan">
      <formula>3001</formula>
    </cfRule>
  </conditionalFormatting>
  <conditionalFormatting sqref="F66">
    <cfRule type="expression" dxfId="9856" priority="446">
      <formula>(C66="LED STRIP")</formula>
    </cfRule>
    <cfRule type="expression" dxfId="9855" priority="447">
      <formula>(C66="LIGHT SELECTION")</formula>
    </cfRule>
    <cfRule type="expression" dxfId="9854" priority="449">
      <formula>(C66="FLO")</formula>
    </cfRule>
  </conditionalFormatting>
  <conditionalFormatting sqref="F73:F74">
    <cfRule type="expression" dxfId="9853" priority="363">
      <formula>D73="NF"</formula>
    </cfRule>
    <cfRule type="expression" dxfId="9852" priority="364">
      <formula>D73="WW PODS"</formula>
    </cfRule>
    <cfRule type="expression" dxfId="9851" priority="365">
      <formula>D73="GRILLE"</formula>
    </cfRule>
    <cfRule type="expression" dxfId="9850" priority="366">
      <formula>D73="CENTREX"</formula>
    </cfRule>
    <cfRule type="expression" dxfId="9849" priority="367" stopIfTrue="1">
      <formula>D65="canopy type"</formula>
    </cfRule>
    <cfRule type="expression" dxfId="9848" priority="368">
      <formula>(((I65*3600)/(C73*I62))^2+20)&gt;300</formula>
    </cfRule>
    <cfRule type="expression" dxfId="9847" priority="369" stopIfTrue="1">
      <formula>(ISNUMBER(SEARCH("UV",D65)))</formula>
    </cfRule>
    <cfRule type="expression" dxfId="9846" priority="370">
      <formula>(((I65*3600)/(C73*I62))^2+20)&gt;180</formula>
    </cfRule>
    <cfRule type="expression" dxfId="9845" priority="371">
      <formula>D73="KSA"</formula>
    </cfRule>
  </conditionalFormatting>
  <conditionalFormatting sqref="F75">
    <cfRule type="cellIs" dxfId="9844" priority="537" operator="lessThan">
      <formula>2100</formula>
    </cfRule>
  </conditionalFormatting>
  <conditionalFormatting sqref="F80">
    <cfRule type="cellIs" dxfId="9843" priority="513" operator="greaterThan">
      <formula>3001</formula>
    </cfRule>
  </conditionalFormatting>
  <conditionalFormatting sqref="F83">
    <cfRule type="expression" dxfId="9842" priority="442">
      <formula>(C83="LED STRIP")</formula>
    </cfRule>
    <cfRule type="expression" dxfId="9841" priority="443">
      <formula>(C83="LIGHT SELECTION")</formula>
    </cfRule>
    <cfRule type="expression" dxfId="9840" priority="445">
      <formula>(C83="FLO")</formula>
    </cfRule>
  </conditionalFormatting>
  <conditionalFormatting sqref="F90:F91">
    <cfRule type="expression" dxfId="9839" priority="348">
      <formula>D90="NF"</formula>
    </cfRule>
    <cfRule type="expression" dxfId="9838" priority="349">
      <formula>D90="WW PODS"</formula>
    </cfRule>
    <cfRule type="expression" dxfId="9837" priority="350">
      <formula>D90="GRILLE"</formula>
    </cfRule>
    <cfRule type="expression" dxfId="9836" priority="351">
      <formula>D90="CENTREX"</formula>
    </cfRule>
    <cfRule type="expression" dxfId="9835" priority="352" stopIfTrue="1">
      <formula>D82="canopy type"</formula>
    </cfRule>
    <cfRule type="expression" dxfId="9834" priority="353">
      <formula>(((I82*3600)/(C90*I79))^2+20)&gt;300</formula>
    </cfRule>
    <cfRule type="expression" dxfId="9833" priority="354" stopIfTrue="1">
      <formula>(ISNUMBER(SEARCH("UV",D82)))</formula>
    </cfRule>
    <cfRule type="expression" dxfId="9832" priority="355">
      <formula>(((I82*3600)/(C90*I79))^2+20)&gt;180</formula>
    </cfRule>
    <cfRule type="expression" dxfId="9831" priority="356">
      <formula>D90="KSA"</formula>
    </cfRule>
  </conditionalFormatting>
  <conditionalFormatting sqref="F92">
    <cfRule type="cellIs" dxfId="9830" priority="507" operator="lessThan">
      <formula>2100</formula>
    </cfRule>
  </conditionalFormatting>
  <conditionalFormatting sqref="F97">
    <cfRule type="cellIs" dxfId="9829" priority="482" operator="greaterThan">
      <formula>3001</formula>
    </cfRule>
  </conditionalFormatting>
  <conditionalFormatting sqref="F100">
    <cfRule type="expression" dxfId="9828" priority="438">
      <formula>(C100="LED STRIP")</formula>
    </cfRule>
    <cfRule type="expression" dxfId="9827" priority="439">
      <formula>(C100="LIGHT SELECTION")</formula>
    </cfRule>
    <cfRule type="expression" dxfId="9826" priority="441">
      <formula>(C100="FLO")</formula>
    </cfRule>
  </conditionalFormatting>
  <conditionalFormatting sqref="F107:F108">
    <cfRule type="expression" dxfId="9825" priority="333">
      <formula>D107="NF"</formula>
    </cfRule>
    <cfRule type="expression" dxfId="9824" priority="334">
      <formula>D107="WW PODS"</formula>
    </cfRule>
    <cfRule type="expression" dxfId="9823" priority="335">
      <formula>D107="GRILLE"</formula>
    </cfRule>
    <cfRule type="expression" dxfId="9822" priority="336">
      <formula>D107="CENTREX"</formula>
    </cfRule>
    <cfRule type="expression" dxfId="9821" priority="337" stopIfTrue="1">
      <formula>D99="canopy type"</formula>
    </cfRule>
    <cfRule type="expression" dxfId="9820" priority="338">
      <formula>(((I99*3600)/(C107*I96))^2+20)&gt;300</formula>
    </cfRule>
    <cfRule type="expression" dxfId="9819" priority="339" stopIfTrue="1">
      <formula>(ISNUMBER(SEARCH("UV",D99)))</formula>
    </cfRule>
    <cfRule type="expression" dxfId="9818" priority="340">
      <formula>(((I99*3600)/(C107*I96))^2+20)&gt;180</formula>
    </cfRule>
    <cfRule type="expression" dxfId="9817" priority="341">
      <formula>D107="KSA"</formula>
    </cfRule>
  </conditionalFormatting>
  <conditionalFormatting sqref="F109">
    <cfRule type="cellIs" dxfId="9816" priority="476" operator="lessThan">
      <formula>2100</formula>
    </cfRule>
  </conditionalFormatting>
  <conditionalFormatting sqref="F114">
    <cfRule type="cellIs" dxfId="9815" priority="314" operator="greaterThan">
      <formula>3001</formula>
    </cfRule>
  </conditionalFormatting>
  <conditionalFormatting sqref="F117">
    <cfRule type="expression" dxfId="9814" priority="292">
      <formula>(C117="LED STRIP")</formula>
    </cfRule>
    <cfRule type="expression" dxfId="9813" priority="293">
      <formula>(C117="LIGHT SELECTION")</formula>
    </cfRule>
    <cfRule type="expression" dxfId="9812" priority="295">
      <formula>(C117="FLO")</formula>
    </cfRule>
  </conditionalFormatting>
  <conditionalFormatting sqref="F124:F125">
    <cfRule type="expression" dxfId="9811" priority="280">
      <formula>D124="NF"</formula>
    </cfRule>
    <cfRule type="expression" dxfId="9810" priority="281">
      <formula>D124="WW PODS"</formula>
    </cfRule>
    <cfRule type="expression" dxfId="9809" priority="282">
      <formula>D124="GRILLE"</formula>
    </cfRule>
    <cfRule type="expression" dxfId="9808" priority="283">
      <formula>D124="CENTREX"</formula>
    </cfRule>
    <cfRule type="expression" dxfId="9807" priority="284" stopIfTrue="1">
      <formula>D116="canopy type"</formula>
    </cfRule>
    <cfRule type="expression" dxfId="9806" priority="285">
      <formula>(((I116*3600)/(C124*I113))^2+20)&gt;300</formula>
    </cfRule>
    <cfRule type="expression" dxfId="9805" priority="286" stopIfTrue="1">
      <formula>(ISNUMBER(SEARCH("UV",D116)))</formula>
    </cfRule>
    <cfRule type="expression" dxfId="9804" priority="287">
      <formula>(((I116*3600)/(C124*I113))^2+20)&gt;180</formula>
    </cfRule>
    <cfRule type="expression" dxfId="9803" priority="288">
      <formula>D124="KSA"</formula>
    </cfRule>
  </conditionalFormatting>
  <conditionalFormatting sqref="F126">
    <cfRule type="cellIs" dxfId="9802" priority="308" operator="lessThan">
      <formula>2100</formula>
    </cfRule>
  </conditionalFormatting>
  <conditionalFormatting sqref="F131">
    <cfRule type="cellIs" dxfId="9801" priority="177" operator="greaterThan">
      <formula>3001</formula>
    </cfRule>
  </conditionalFormatting>
  <conditionalFormatting sqref="F134">
    <cfRule type="expression" dxfId="9800" priority="123">
      <formula>(C134="LED STRIP")</formula>
    </cfRule>
    <cfRule type="expression" dxfId="9799" priority="124">
      <formula>(C134="LIGHT SELECTION")</formula>
    </cfRule>
    <cfRule type="expression" dxfId="9798" priority="126">
      <formula>(C134="FLO")</formula>
    </cfRule>
  </conditionalFormatting>
  <conditionalFormatting sqref="F141:F142">
    <cfRule type="expression" dxfId="9797" priority="104">
      <formula>D141="NF"</formula>
    </cfRule>
    <cfRule type="expression" dxfId="9796" priority="105">
      <formula>D141="WW PODS"</formula>
    </cfRule>
    <cfRule type="expression" dxfId="9795" priority="106">
      <formula>D141="GRILLE"</formula>
    </cfRule>
    <cfRule type="expression" dxfId="9794" priority="107">
      <formula>D141="CENTREX"</formula>
    </cfRule>
    <cfRule type="expression" dxfId="9793" priority="108" stopIfTrue="1">
      <formula>D133="canopy type"</formula>
    </cfRule>
    <cfRule type="expression" dxfId="9792" priority="109">
      <formula>(((I133*3600)/(C141*I130))^2+20)&gt;300</formula>
    </cfRule>
    <cfRule type="expression" dxfId="9791" priority="110" stopIfTrue="1">
      <formula>(ISNUMBER(SEARCH("UV",D133)))</formula>
    </cfRule>
    <cfRule type="expression" dxfId="9790" priority="111">
      <formula>(((I133*3600)/(C141*I130))^2+20)&gt;180</formula>
    </cfRule>
    <cfRule type="expression" dxfId="9789" priority="112">
      <formula>D141="KSA"</formula>
    </cfRule>
  </conditionalFormatting>
  <conditionalFormatting sqref="F143">
    <cfRule type="cellIs" dxfId="9788" priority="171" operator="lessThan">
      <formula>2100</formula>
    </cfRule>
  </conditionalFormatting>
  <conditionalFormatting sqref="F148">
    <cfRule type="cellIs" dxfId="9787" priority="146" operator="greaterThan">
      <formula>3001</formula>
    </cfRule>
  </conditionalFormatting>
  <conditionalFormatting sqref="F151">
    <cfRule type="expression" dxfId="9786" priority="119">
      <formula>(C151="LED STRIP")</formula>
    </cfRule>
    <cfRule type="expression" dxfId="9785" priority="120">
      <formula>(C151="LIGHT SELECTION")</formula>
    </cfRule>
    <cfRule type="expression" dxfId="9784" priority="122">
      <formula>(C151="FLO")</formula>
    </cfRule>
  </conditionalFormatting>
  <conditionalFormatting sqref="F158:F159">
    <cfRule type="expression" dxfId="9783" priority="89">
      <formula>D158="NF"</formula>
    </cfRule>
    <cfRule type="expression" dxfId="9782" priority="90">
      <formula>D158="WW PODS"</formula>
    </cfRule>
    <cfRule type="expression" dxfId="9781" priority="91">
      <formula>D158="GRILLE"</formula>
    </cfRule>
    <cfRule type="expression" dxfId="9780" priority="92">
      <formula>D158="CENTREX"</formula>
    </cfRule>
    <cfRule type="expression" dxfId="9779" priority="93" stopIfTrue="1">
      <formula>D150="canopy type"</formula>
    </cfRule>
    <cfRule type="expression" dxfId="9778" priority="94">
      <formula>(((I150*3600)/(C158*I147))^2+20)&gt;300</formula>
    </cfRule>
    <cfRule type="expression" dxfId="9777" priority="95" stopIfTrue="1">
      <formula>(ISNUMBER(SEARCH("UV",D150)))</formula>
    </cfRule>
    <cfRule type="expression" dxfId="9776" priority="96">
      <formula>(((I150*3600)/(C158*I147))^2+20)&gt;180</formula>
    </cfRule>
    <cfRule type="expression" dxfId="9775" priority="97">
      <formula>D158="KSA"</formula>
    </cfRule>
  </conditionalFormatting>
  <conditionalFormatting sqref="F160">
    <cfRule type="cellIs" dxfId="9774" priority="140" operator="lessThan">
      <formula>2100</formula>
    </cfRule>
  </conditionalFormatting>
  <conditionalFormatting sqref="F165">
    <cfRule type="cellIs" dxfId="9773" priority="70" operator="greaterThan">
      <formula>3001</formula>
    </cfRule>
  </conditionalFormatting>
  <conditionalFormatting sqref="F168">
    <cfRule type="expression" dxfId="9772" priority="48">
      <formula>(C168="LED STRIP")</formula>
    </cfRule>
    <cfRule type="expression" dxfId="9771" priority="49">
      <formula>(C168="LIGHT SELECTION")</formula>
    </cfRule>
    <cfRule type="expression" dxfId="9770" priority="51">
      <formula>(C168="FLO")</formula>
    </cfRule>
  </conditionalFormatting>
  <conditionalFormatting sqref="F175:F176">
    <cfRule type="expression" dxfId="9769" priority="36">
      <formula>D175="NF"</formula>
    </cfRule>
    <cfRule type="expression" dxfId="9768" priority="37">
      <formula>D175="WW PODS"</formula>
    </cfRule>
    <cfRule type="expression" dxfId="9767" priority="38">
      <formula>D175="GRILLE"</formula>
    </cfRule>
    <cfRule type="expression" dxfId="9766" priority="39">
      <formula>D175="CENTREX"</formula>
    </cfRule>
    <cfRule type="expression" dxfId="9765" priority="40" stopIfTrue="1">
      <formula>D167="canopy type"</formula>
    </cfRule>
    <cfRule type="expression" dxfId="9764" priority="41">
      <formula>(((I167*3600)/(C175*I164))^2+20)&gt;300</formula>
    </cfRule>
    <cfRule type="expression" dxfId="9763" priority="42" stopIfTrue="1">
      <formula>(ISNUMBER(SEARCH("UV",D167)))</formula>
    </cfRule>
    <cfRule type="expression" dxfId="9762" priority="43">
      <formula>(((I167*3600)/(C175*I164))^2+20)&gt;180</formula>
    </cfRule>
    <cfRule type="expression" dxfId="9761" priority="44">
      <formula>D175="KSA"</formula>
    </cfRule>
  </conditionalFormatting>
  <conditionalFormatting sqref="F177">
    <cfRule type="cellIs" dxfId="9760" priority="64" operator="lessThan">
      <formula>2100</formula>
    </cfRule>
  </conditionalFormatting>
  <conditionalFormatting sqref="G11">
    <cfRule type="expression" dxfId="9759" priority="684">
      <formula>((F14-50)/H14)&lt;950</formula>
    </cfRule>
  </conditionalFormatting>
  <conditionalFormatting sqref="G12">
    <cfRule type="expression" dxfId="9758" priority="683">
      <formula>((F14-50)/H14)&lt;950</formula>
    </cfRule>
  </conditionalFormatting>
  <conditionalFormatting sqref="G14">
    <cfRule type="cellIs" dxfId="9757" priority="679" operator="lessThan">
      <formula>400</formula>
    </cfRule>
  </conditionalFormatting>
  <conditionalFormatting sqref="G28">
    <cfRule type="expression" dxfId="9756" priority="626">
      <formula>((F31-50)/H31)&lt;950</formula>
    </cfRule>
  </conditionalFormatting>
  <conditionalFormatting sqref="G29">
    <cfRule type="expression" dxfId="9755" priority="604">
      <formula>((F31-50)/H31)&lt;950</formula>
    </cfRule>
  </conditionalFormatting>
  <conditionalFormatting sqref="G31">
    <cfRule type="cellIs" dxfId="9754" priority="600" operator="lessThan">
      <formula>400</formula>
    </cfRule>
  </conditionalFormatting>
  <conditionalFormatting sqref="G45">
    <cfRule type="expression" dxfId="9753" priority="643">
      <formula>((F48-50)/H48)&lt;950</formula>
    </cfRule>
  </conditionalFormatting>
  <conditionalFormatting sqref="G46">
    <cfRule type="expression" dxfId="9752" priority="573">
      <formula>((F48-50)/H48)&lt;950</formula>
    </cfRule>
  </conditionalFormatting>
  <conditionalFormatting sqref="G48">
    <cfRule type="cellIs" dxfId="9751" priority="569" operator="lessThan">
      <formula>400</formula>
    </cfRule>
  </conditionalFormatting>
  <conditionalFormatting sqref="G62">
    <cfRule type="expression" dxfId="9750" priority="644">
      <formula>((F65-50)/H65)&lt;950</formula>
    </cfRule>
  </conditionalFormatting>
  <conditionalFormatting sqref="G63">
    <cfRule type="expression" dxfId="9749" priority="544">
      <formula>((F65-50)/H65)&lt;950</formula>
    </cfRule>
  </conditionalFormatting>
  <conditionalFormatting sqref="G65">
    <cfRule type="cellIs" dxfId="9748" priority="540" operator="lessThan">
      <formula>400</formula>
    </cfRule>
  </conditionalFormatting>
  <conditionalFormatting sqref="G79">
    <cfRule type="expression" dxfId="9747" priority="645">
      <formula>((F82-50)/H82)&lt;950</formula>
    </cfRule>
  </conditionalFormatting>
  <conditionalFormatting sqref="G80">
    <cfRule type="expression" dxfId="9746" priority="514">
      <formula>((F82-50)/H82)&lt;950</formula>
    </cfRule>
  </conditionalFormatting>
  <conditionalFormatting sqref="G82">
    <cfRule type="cellIs" dxfId="9745" priority="510" operator="lessThan">
      <formula>400</formula>
    </cfRule>
  </conditionalFormatting>
  <conditionalFormatting sqref="G96">
    <cfRule type="expression" dxfId="9744" priority="653">
      <formula>((F99-50)/H99)&lt;950</formula>
    </cfRule>
  </conditionalFormatting>
  <conditionalFormatting sqref="G97">
    <cfRule type="expression" dxfId="9743" priority="483">
      <formula>((F99-50)/H99)&lt;950</formula>
    </cfRule>
  </conditionalFormatting>
  <conditionalFormatting sqref="G99">
    <cfRule type="cellIs" dxfId="9742" priority="479" operator="lessThan">
      <formula>400</formula>
    </cfRule>
  </conditionalFormatting>
  <conditionalFormatting sqref="G113">
    <cfRule type="expression" dxfId="9741" priority="326">
      <formula>((F116-50)/H116)&lt;950</formula>
    </cfRule>
  </conditionalFormatting>
  <conditionalFormatting sqref="G114">
    <cfRule type="expression" dxfId="9740" priority="315">
      <formula>((F116-50)/H116)&lt;950</formula>
    </cfRule>
  </conditionalFormatting>
  <conditionalFormatting sqref="G116">
    <cfRule type="cellIs" dxfId="9739" priority="311" operator="lessThan">
      <formula>400</formula>
    </cfRule>
  </conditionalFormatting>
  <conditionalFormatting sqref="G130">
    <cfRule type="expression" dxfId="9738" priority="190">
      <formula>((F133-50)/H133)&lt;950</formula>
    </cfRule>
  </conditionalFormatting>
  <conditionalFormatting sqref="G131">
    <cfRule type="expression" dxfId="9737" priority="178">
      <formula>((F133-50)/H133)&lt;950</formula>
    </cfRule>
  </conditionalFormatting>
  <conditionalFormatting sqref="G133">
    <cfRule type="cellIs" dxfId="9736" priority="174" operator="lessThan">
      <formula>400</formula>
    </cfRule>
  </conditionalFormatting>
  <conditionalFormatting sqref="G147">
    <cfRule type="expression" dxfId="9735" priority="191">
      <formula>((F150-50)/H150)&lt;950</formula>
    </cfRule>
  </conditionalFormatting>
  <conditionalFormatting sqref="G148">
    <cfRule type="expression" dxfId="9734" priority="147">
      <formula>((F150-50)/H150)&lt;950</formula>
    </cfRule>
  </conditionalFormatting>
  <conditionalFormatting sqref="G150">
    <cfRule type="cellIs" dxfId="9733" priority="143" operator="lessThan">
      <formula>400</formula>
    </cfRule>
  </conditionalFormatting>
  <conditionalFormatting sqref="G164">
    <cfRule type="expression" dxfId="9732" priority="82">
      <formula>((F167-50)/H167)&lt;950</formula>
    </cfRule>
  </conditionalFormatting>
  <conditionalFormatting sqref="G165">
    <cfRule type="expression" dxfId="9731" priority="71">
      <formula>((F167-50)/H167)&lt;950</formula>
    </cfRule>
  </conditionalFormatting>
  <conditionalFormatting sqref="G167">
    <cfRule type="cellIs" dxfId="9730" priority="67" operator="lessThan">
      <formula>400</formula>
    </cfRule>
  </conditionalFormatting>
  <conditionalFormatting sqref="I14">
    <cfRule type="cellIs" dxfId="9729" priority="680" operator="lessThan">
      <formula>0.1</formula>
    </cfRule>
  </conditionalFormatting>
  <conditionalFormatting sqref="I31">
    <cfRule type="cellIs" dxfId="9728" priority="601" operator="lessThan">
      <formula>0.1</formula>
    </cfRule>
  </conditionalFormatting>
  <conditionalFormatting sqref="I48">
    <cfRule type="cellIs" dxfId="9727" priority="570" operator="lessThan">
      <formula>0.1</formula>
    </cfRule>
  </conditionalFormatting>
  <conditionalFormatting sqref="I65">
    <cfRule type="cellIs" dxfId="9726" priority="541" operator="lessThan">
      <formula>0.1</formula>
    </cfRule>
  </conditionalFormatting>
  <conditionalFormatting sqref="I82">
    <cfRule type="cellIs" dxfId="9725" priority="511" operator="lessThan">
      <formula>0.1</formula>
    </cfRule>
  </conditionalFormatting>
  <conditionalFormatting sqref="I99">
    <cfRule type="cellIs" dxfId="9724" priority="480" operator="lessThan">
      <formula>0.1</formula>
    </cfRule>
  </conditionalFormatting>
  <conditionalFormatting sqref="I116">
    <cfRule type="cellIs" dxfId="9723" priority="312" operator="lessThan">
      <formula>0.1</formula>
    </cfRule>
  </conditionalFormatting>
  <conditionalFormatting sqref="I133">
    <cfRule type="cellIs" dxfId="9722" priority="175" operator="lessThan">
      <formula>0.1</formula>
    </cfRule>
  </conditionalFormatting>
  <conditionalFormatting sqref="I150">
    <cfRule type="cellIs" dxfId="9721" priority="144" operator="lessThan">
      <formula>0.1</formula>
    </cfRule>
  </conditionalFormatting>
  <conditionalFormatting sqref="I167">
    <cfRule type="cellIs" dxfId="9720" priority="68" operator="lessThan">
      <formula>0.1</formula>
    </cfRule>
  </conditionalFormatting>
  <conditionalFormatting sqref="J14:J27">
    <cfRule type="cellIs" dxfId="9719" priority="404" operator="greaterThan">
      <formula>0</formula>
    </cfRule>
  </conditionalFormatting>
  <conditionalFormatting sqref="J31:J44">
    <cfRule type="cellIs" dxfId="9718" priority="261" operator="greaterThan">
      <formula>0</formula>
    </cfRule>
  </conditionalFormatting>
  <conditionalFormatting sqref="J48:J61">
    <cfRule type="cellIs" dxfId="9717" priority="250" operator="greaterThan">
      <formula>0</formula>
    </cfRule>
  </conditionalFormatting>
  <conditionalFormatting sqref="J65:J78">
    <cfRule type="cellIs" dxfId="9716" priority="239" operator="greaterThan">
      <formula>0</formula>
    </cfRule>
  </conditionalFormatting>
  <conditionalFormatting sqref="J82:J95">
    <cfRule type="cellIs" dxfId="9715" priority="228" operator="greaterThan">
      <formula>0</formula>
    </cfRule>
  </conditionalFormatting>
  <conditionalFormatting sqref="J99:J112">
    <cfRule type="cellIs" dxfId="9714" priority="217" operator="greaterThan">
      <formula>0</formula>
    </cfRule>
  </conditionalFormatting>
  <conditionalFormatting sqref="J116:J129 J167:J180">
    <cfRule type="cellIs" dxfId="9713" priority="206" operator="greaterThan">
      <formula>0</formula>
    </cfRule>
  </conditionalFormatting>
  <conditionalFormatting sqref="J133:J146">
    <cfRule type="cellIs" dxfId="9712" priority="19" operator="greaterThan">
      <formula>0</formula>
    </cfRule>
  </conditionalFormatting>
  <conditionalFormatting sqref="J150:J163">
    <cfRule type="cellIs" dxfId="9711" priority="8" operator="greaterThan">
      <formula>0</formula>
    </cfRule>
  </conditionalFormatting>
  <conditionalFormatting sqref="J183:J197">
    <cfRule type="expression" dxfId="9710" priority="654">
      <formula>C183&gt;0</formula>
    </cfRule>
  </conditionalFormatting>
  <conditionalFormatting sqref="J199">
    <cfRule type="expression" dxfId="9709" priority="659">
      <formula>#REF!="EURO"</formula>
    </cfRule>
  </conditionalFormatting>
  <conditionalFormatting sqref="K14:K27">
    <cfRule type="cellIs" dxfId="9708" priority="418" operator="greaterThan">
      <formula>0</formula>
    </cfRule>
  </conditionalFormatting>
  <conditionalFormatting sqref="K31:K44">
    <cfRule type="cellIs" dxfId="9707" priority="262" operator="greaterThan">
      <formula>0</formula>
    </cfRule>
  </conditionalFormatting>
  <conditionalFormatting sqref="K48:K61">
    <cfRule type="cellIs" dxfId="9706" priority="251" operator="greaterThan">
      <formula>0</formula>
    </cfRule>
  </conditionalFormatting>
  <conditionalFormatting sqref="K65:K78">
    <cfRule type="cellIs" dxfId="9705" priority="240" operator="greaterThan">
      <formula>0</formula>
    </cfRule>
  </conditionalFormatting>
  <conditionalFormatting sqref="K82:K95">
    <cfRule type="cellIs" dxfId="9704" priority="229" operator="greaterThan">
      <formula>0</formula>
    </cfRule>
  </conditionalFormatting>
  <conditionalFormatting sqref="K99:K112">
    <cfRule type="cellIs" dxfId="9703" priority="218" operator="greaterThan">
      <formula>0</formula>
    </cfRule>
  </conditionalFormatting>
  <conditionalFormatting sqref="K116:K129 K167:K180">
    <cfRule type="cellIs" dxfId="9702" priority="207" operator="greaterThan">
      <formula>0</formula>
    </cfRule>
  </conditionalFormatting>
  <conditionalFormatting sqref="K133:K146">
    <cfRule type="cellIs" dxfId="9701" priority="20" operator="greaterThan">
      <formula>0</formula>
    </cfRule>
  </conditionalFormatting>
  <conditionalFormatting sqref="K150:K163">
    <cfRule type="cellIs" dxfId="9700" priority="9" operator="greaterThan">
      <formula>0</formula>
    </cfRule>
  </conditionalFormatting>
  <conditionalFormatting sqref="K183:K197">
    <cfRule type="cellIs" dxfId="9699" priority="661" operator="greaterThan">
      <formula>0</formula>
    </cfRule>
  </conditionalFormatting>
  <conditionalFormatting sqref="K199">
    <cfRule type="expression" dxfId="9698" priority="655">
      <formula>$B$9="PLN"</formula>
    </cfRule>
    <cfRule type="expression" dxfId="9697" priority="656">
      <formula>$B$9="CZK"</formula>
    </cfRule>
    <cfRule type="expression" dxfId="9696" priority="657">
      <formula>$B$9="USD"</formula>
    </cfRule>
    <cfRule type="expression" dxfId="9695" priority="658">
      <formula>$B$9="EURO"</formula>
    </cfRule>
  </conditionalFormatting>
  <conditionalFormatting sqref="L14:L27">
    <cfRule type="expression" dxfId="9694" priority="415">
      <formula>$C$9&lt;0</formula>
    </cfRule>
    <cfRule type="expression" dxfId="9693" priority="416">
      <formula>$C$9&gt;0</formula>
    </cfRule>
  </conditionalFormatting>
  <conditionalFormatting sqref="L31:L44">
    <cfRule type="expression" dxfId="9692" priority="204">
      <formula>$C$9&lt;0</formula>
    </cfRule>
    <cfRule type="expression" dxfId="9691" priority="205">
      <formula>$C$9&gt;0</formula>
    </cfRule>
  </conditionalFormatting>
  <conditionalFormatting sqref="L48:L61">
    <cfRule type="expression" dxfId="9690" priority="202">
      <formula>$C$9&lt;0</formula>
    </cfRule>
    <cfRule type="expression" dxfId="9689" priority="203">
      <formula>$C$9&gt;0</formula>
    </cfRule>
  </conditionalFormatting>
  <conditionalFormatting sqref="L65:L78">
    <cfRule type="expression" dxfId="9688" priority="200">
      <formula>$C$9&lt;0</formula>
    </cfRule>
    <cfRule type="expression" dxfId="9687" priority="201">
      <formula>$C$9&gt;0</formula>
    </cfRule>
  </conditionalFormatting>
  <conditionalFormatting sqref="L82:L95">
    <cfRule type="expression" dxfId="9686" priority="198">
      <formula>$C$9&lt;0</formula>
    </cfRule>
    <cfRule type="expression" dxfId="9685" priority="199">
      <formula>$C$9&gt;0</formula>
    </cfRule>
  </conditionalFormatting>
  <conditionalFormatting sqref="L99:L112">
    <cfRule type="expression" dxfId="9684" priority="196">
      <formula>$C$9&lt;0</formula>
    </cfRule>
    <cfRule type="expression" dxfId="9683" priority="197">
      <formula>$C$9&gt;0</formula>
    </cfRule>
  </conditionalFormatting>
  <conditionalFormatting sqref="L116:L129 L167:L180">
    <cfRule type="expression" dxfId="9682" priority="194">
      <formula>$C$9&lt;0</formula>
    </cfRule>
    <cfRule type="expression" dxfId="9681" priority="195">
      <formula>$C$9&gt;0</formula>
    </cfRule>
  </conditionalFormatting>
  <conditionalFormatting sqref="L133:L146">
    <cfRule type="expression" dxfId="9680" priority="3">
      <formula>$C$9&lt;0</formula>
    </cfRule>
    <cfRule type="expression" dxfId="9679" priority="4">
      <formula>$C$9&gt;0</formula>
    </cfRule>
  </conditionalFormatting>
  <conditionalFormatting sqref="L150:L163">
    <cfRule type="expression" dxfId="9678" priority="1">
      <formula>$C$9&lt;0</formula>
    </cfRule>
    <cfRule type="expression" dxfId="9677" priority="2">
      <formula>$C$9&gt;0</formula>
    </cfRule>
  </conditionalFormatting>
  <conditionalFormatting sqref="L183:L197">
    <cfRule type="expression" dxfId="9676" priority="192">
      <formula>$C$9&lt;0</formula>
    </cfRule>
    <cfRule type="expression" dxfId="9675" priority="193">
      <formula>$C$9&gt;0</formula>
    </cfRule>
  </conditionalFormatting>
  <conditionalFormatting sqref="N9 N12">
    <cfRule type="expression" dxfId="9674" priority="691">
      <formula>$B$9="PLN"</formula>
    </cfRule>
    <cfRule type="expression" dxfId="9673" priority="692">
      <formula>$B$9="CZK"</formula>
    </cfRule>
    <cfRule type="expression" dxfId="9672" priority="693">
      <formula>$B$9="USD"</formula>
    </cfRule>
    <cfRule type="expression" dxfId="9671" priority="694">
      <formula>$B$9="EURO"</formula>
    </cfRule>
  </conditionalFormatting>
  <conditionalFormatting sqref="N14:N27">
    <cfRule type="cellIs" dxfId="9670" priority="630" operator="greaterThan">
      <formula>0</formula>
    </cfRule>
    <cfRule type="expression" dxfId="9669" priority="631">
      <formula>$B$9="EURO"</formula>
    </cfRule>
    <cfRule type="expression" dxfId="9668" priority="632">
      <formula>$B$9="USD"</formula>
    </cfRule>
    <cfRule type="expression" dxfId="9667" priority="633">
      <formula>$B$9="PLN"</formula>
    </cfRule>
    <cfRule type="expression" dxfId="9666" priority="634">
      <formula>$B$9="CZK"</formula>
    </cfRule>
  </conditionalFormatting>
  <conditionalFormatting sqref="N29">
    <cfRule type="expression" dxfId="9665" priority="610">
      <formula>$B$9="PLN"</formula>
    </cfRule>
    <cfRule type="expression" dxfId="9664" priority="611">
      <formula>$B$9="CZK"</formula>
    </cfRule>
    <cfRule type="expression" dxfId="9663" priority="612">
      <formula>$B$9="USD"</formula>
    </cfRule>
    <cfRule type="expression" dxfId="9662" priority="613">
      <formula>$B$9="EURO"</formula>
    </cfRule>
  </conditionalFormatting>
  <conditionalFormatting sqref="N31:N44">
    <cfRule type="cellIs" dxfId="9661" priority="265" operator="greaterThan">
      <formula>0</formula>
    </cfRule>
    <cfRule type="expression" dxfId="9660" priority="266">
      <formula>$B$9="EURO"</formula>
    </cfRule>
    <cfRule type="expression" dxfId="9659" priority="267">
      <formula>$B$9="USD"</formula>
    </cfRule>
    <cfRule type="expression" dxfId="9658" priority="268">
      <formula>$B$9="PLN"</formula>
    </cfRule>
    <cfRule type="expression" dxfId="9657" priority="269">
      <formula>$B$9="CZK"</formula>
    </cfRule>
  </conditionalFormatting>
  <conditionalFormatting sqref="N46">
    <cfRule type="expression" dxfId="9656" priority="579">
      <formula>$B$9="PLN"</formula>
    </cfRule>
    <cfRule type="expression" dxfId="9655" priority="580">
      <formula>$B$9="CZK"</formula>
    </cfRule>
    <cfRule type="expression" dxfId="9654" priority="581">
      <formula>$B$9="USD"</formula>
    </cfRule>
    <cfRule type="expression" dxfId="9653" priority="582">
      <formula>$B$9="EURO"</formula>
    </cfRule>
  </conditionalFormatting>
  <conditionalFormatting sqref="N48:N61">
    <cfRule type="cellIs" dxfId="9652" priority="254" operator="greaterThan">
      <formula>0</formula>
    </cfRule>
    <cfRule type="expression" dxfId="9651" priority="255">
      <formula>$B$9="EURO"</formula>
    </cfRule>
    <cfRule type="expression" dxfId="9650" priority="256">
      <formula>$B$9="USD"</formula>
    </cfRule>
    <cfRule type="expression" dxfId="9649" priority="257">
      <formula>$B$9="PLN"</formula>
    </cfRule>
    <cfRule type="expression" dxfId="9648" priority="258">
      <formula>$B$9="CZK"</formula>
    </cfRule>
  </conditionalFormatting>
  <conditionalFormatting sqref="N63">
    <cfRule type="expression" dxfId="9647" priority="550">
      <formula>$B$9="PLN"</formula>
    </cfRule>
    <cfRule type="expression" dxfId="9646" priority="551">
      <formula>$B$9="CZK"</formula>
    </cfRule>
    <cfRule type="expression" dxfId="9645" priority="552">
      <formula>$B$9="USD"</formula>
    </cfRule>
    <cfRule type="expression" dxfId="9644" priority="553">
      <formula>$B$9="EURO"</formula>
    </cfRule>
  </conditionalFormatting>
  <conditionalFormatting sqref="N65:N78">
    <cfRule type="cellIs" dxfId="9643" priority="243" operator="greaterThan">
      <formula>0</formula>
    </cfRule>
    <cfRule type="expression" dxfId="9642" priority="244">
      <formula>$B$9="EURO"</formula>
    </cfRule>
    <cfRule type="expression" dxfId="9641" priority="245">
      <formula>$B$9="USD"</formula>
    </cfRule>
    <cfRule type="expression" dxfId="9640" priority="246">
      <formula>$B$9="PLN"</formula>
    </cfRule>
    <cfRule type="expression" dxfId="9639" priority="247">
      <formula>$B$9="CZK"</formula>
    </cfRule>
  </conditionalFormatting>
  <conditionalFormatting sqref="N80">
    <cfRule type="expression" dxfId="9638" priority="520">
      <formula>$B$9="PLN"</formula>
    </cfRule>
    <cfRule type="expression" dxfId="9637" priority="521">
      <formula>$B$9="CZK"</formula>
    </cfRule>
    <cfRule type="expression" dxfId="9636" priority="522">
      <formula>$B$9="USD"</formula>
    </cfRule>
    <cfRule type="expression" dxfId="9635" priority="523">
      <formula>$B$9="EURO"</formula>
    </cfRule>
  </conditionalFormatting>
  <conditionalFormatting sqref="N82:N95">
    <cfRule type="cellIs" dxfId="9634" priority="232" operator="greaterThan">
      <formula>0</formula>
    </cfRule>
    <cfRule type="expression" dxfId="9633" priority="233">
      <formula>$B$9="EURO"</formula>
    </cfRule>
    <cfRule type="expression" dxfId="9632" priority="234">
      <formula>$B$9="USD"</formula>
    </cfRule>
    <cfRule type="expression" dxfId="9631" priority="235">
      <formula>$B$9="PLN"</formula>
    </cfRule>
    <cfRule type="expression" dxfId="9630" priority="236">
      <formula>$B$9="CZK"</formula>
    </cfRule>
  </conditionalFormatting>
  <conditionalFormatting sqref="N97">
    <cfRule type="expression" dxfId="9629" priority="489">
      <formula>$B$9="PLN"</formula>
    </cfRule>
    <cfRule type="expression" dxfId="9628" priority="490">
      <formula>$B$9="CZK"</formula>
    </cfRule>
    <cfRule type="expression" dxfId="9627" priority="491">
      <formula>$B$9="USD"</formula>
    </cfRule>
    <cfRule type="expression" dxfId="9626" priority="492">
      <formula>$B$9="EURO"</formula>
    </cfRule>
  </conditionalFormatting>
  <conditionalFormatting sqref="N99:N112">
    <cfRule type="cellIs" dxfId="9625" priority="221" operator="greaterThan">
      <formula>0</formula>
    </cfRule>
    <cfRule type="expression" dxfId="9624" priority="222">
      <formula>$B$9="EURO"</formula>
    </cfRule>
    <cfRule type="expression" dxfId="9623" priority="223">
      <formula>$B$9="USD"</formula>
    </cfRule>
    <cfRule type="expression" dxfId="9622" priority="224">
      <formula>$B$9="PLN"</formula>
    </cfRule>
    <cfRule type="expression" dxfId="9621" priority="225">
      <formula>$B$9="CZK"</formula>
    </cfRule>
  </conditionalFormatting>
  <conditionalFormatting sqref="N114">
    <cfRule type="expression" dxfId="9620" priority="321">
      <formula>$B$9="PLN"</formula>
    </cfRule>
    <cfRule type="expression" dxfId="9619" priority="322">
      <formula>$B$9="CZK"</formula>
    </cfRule>
    <cfRule type="expression" dxfId="9618" priority="323">
      <formula>$B$9="USD"</formula>
    </cfRule>
    <cfRule type="expression" dxfId="9617" priority="324">
      <formula>$B$9="EURO"</formula>
    </cfRule>
  </conditionalFormatting>
  <conditionalFormatting sqref="N116:N129 N167:N180">
    <cfRule type="cellIs" dxfId="9616" priority="210" operator="greaterThan">
      <formula>0</formula>
    </cfRule>
    <cfRule type="expression" dxfId="9615" priority="211">
      <formula>$B$9="EURO"</formula>
    </cfRule>
    <cfRule type="expression" dxfId="9614" priority="212">
      <formula>$B$9="USD"</formula>
    </cfRule>
    <cfRule type="expression" dxfId="9613" priority="213">
      <formula>$B$9="PLN"</formula>
    </cfRule>
    <cfRule type="expression" dxfId="9612" priority="214">
      <formula>$B$9="CZK"</formula>
    </cfRule>
  </conditionalFormatting>
  <conditionalFormatting sqref="N131">
    <cfRule type="expression" dxfId="9611" priority="184">
      <formula>$B$9="PLN"</formula>
    </cfRule>
    <cfRule type="expression" dxfId="9610" priority="185">
      <formula>$B$9="CZK"</formula>
    </cfRule>
    <cfRule type="expression" dxfId="9609" priority="186">
      <formula>$B$9="USD"</formula>
    </cfRule>
    <cfRule type="expression" dxfId="9608" priority="187">
      <formula>$B$9="EURO"</formula>
    </cfRule>
  </conditionalFormatting>
  <conditionalFormatting sqref="N133:N146">
    <cfRule type="cellIs" dxfId="9607" priority="23" operator="greaterThan">
      <formula>0</formula>
    </cfRule>
    <cfRule type="expression" dxfId="9606" priority="24">
      <formula>$B$9="EURO"</formula>
    </cfRule>
    <cfRule type="expression" dxfId="9605" priority="25">
      <formula>$B$9="USD"</formula>
    </cfRule>
    <cfRule type="expression" dxfId="9604" priority="26">
      <formula>$B$9="PLN"</formula>
    </cfRule>
    <cfRule type="expression" dxfId="9603" priority="27">
      <formula>$B$9="CZK"</formula>
    </cfRule>
  </conditionalFormatting>
  <conditionalFormatting sqref="N148">
    <cfRule type="expression" dxfId="9602" priority="153">
      <formula>$B$9="PLN"</formula>
    </cfRule>
    <cfRule type="expression" dxfId="9601" priority="154">
      <formula>$B$9="CZK"</formula>
    </cfRule>
    <cfRule type="expression" dxfId="9600" priority="155">
      <formula>$B$9="USD"</formula>
    </cfRule>
    <cfRule type="expression" dxfId="9599" priority="156">
      <formula>$B$9="EURO"</formula>
    </cfRule>
  </conditionalFormatting>
  <conditionalFormatting sqref="N150:N163">
    <cfRule type="cellIs" dxfId="9598" priority="12" operator="greaterThan">
      <formula>0</formula>
    </cfRule>
    <cfRule type="expression" dxfId="9597" priority="13">
      <formula>$B$9="EURO"</formula>
    </cfRule>
    <cfRule type="expression" dxfId="9596" priority="14">
      <formula>$B$9="USD"</formula>
    </cfRule>
    <cfRule type="expression" dxfId="9595" priority="15">
      <formula>$B$9="PLN"</formula>
    </cfRule>
    <cfRule type="expression" dxfId="9594" priority="16">
      <formula>$B$9="CZK"</formula>
    </cfRule>
  </conditionalFormatting>
  <conditionalFormatting sqref="N165">
    <cfRule type="expression" dxfId="9593" priority="77">
      <formula>$B$9="PLN"</formula>
    </cfRule>
    <cfRule type="expression" dxfId="9592" priority="78">
      <formula>$B$9="CZK"</formula>
    </cfRule>
    <cfRule type="expression" dxfId="9591" priority="79">
      <formula>$B$9="USD"</formula>
    </cfRule>
    <cfRule type="expression" dxfId="9590" priority="80">
      <formula>$B$9="EURO"</formula>
    </cfRule>
  </conditionalFormatting>
  <conditionalFormatting sqref="N183:N197">
    <cfRule type="cellIs" dxfId="9589" priority="638" operator="greaterThan">
      <formula>0</formula>
    </cfRule>
    <cfRule type="expression" dxfId="9588" priority="639">
      <formula>$B$9="EURO"</formula>
    </cfRule>
    <cfRule type="expression" dxfId="9587" priority="640">
      <formula>$B$9="USD"</formula>
    </cfRule>
    <cfRule type="expression" dxfId="9586" priority="641">
      <formula>$B$9="PLN"</formula>
    </cfRule>
    <cfRule type="expression" dxfId="9585" priority="642">
      <formula>$B$9="CZK"</formula>
    </cfRule>
  </conditionalFormatting>
  <conditionalFormatting sqref="N182:O182">
    <cfRule type="expression" dxfId="9584" priority="646">
      <formula>$B$9="PLN"</formula>
    </cfRule>
    <cfRule type="expression" dxfId="9583" priority="647">
      <formula>$B$9="CZK"</formula>
    </cfRule>
    <cfRule type="expression" dxfId="9582" priority="648">
      <formula>$B$9="USD"</formula>
    </cfRule>
    <cfRule type="expression" dxfId="9581" priority="649">
      <formula>$B$9="EURO"</formula>
    </cfRule>
  </conditionalFormatting>
  <conditionalFormatting sqref="O14:O27">
    <cfRule type="cellIs" dxfId="9580" priority="635" operator="greaterThan">
      <formula>0</formula>
    </cfRule>
  </conditionalFormatting>
  <conditionalFormatting sqref="O31:O44">
    <cfRule type="cellIs" dxfId="9579" priority="270" operator="greaterThan">
      <formula>0</formula>
    </cfRule>
  </conditionalFormatting>
  <conditionalFormatting sqref="O48:O61">
    <cfRule type="cellIs" dxfId="9578" priority="259" operator="greaterThan">
      <formula>0</formula>
    </cfRule>
  </conditionalFormatting>
  <conditionalFormatting sqref="O65:O78">
    <cfRule type="cellIs" dxfId="9577" priority="248" operator="greaterThan">
      <formula>0</formula>
    </cfRule>
  </conditionalFormatting>
  <conditionalFormatting sqref="O82:O95">
    <cfRule type="cellIs" dxfId="9576" priority="237" operator="greaterThan">
      <formula>0</formula>
    </cfRule>
  </conditionalFormatting>
  <conditionalFormatting sqref="O99:O112">
    <cfRule type="cellIs" dxfId="9575" priority="226" operator="greaterThan">
      <formula>0</formula>
    </cfRule>
  </conditionalFormatting>
  <conditionalFormatting sqref="O116:O129 O167:O180">
    <cfRule type="cellIs" dxfId="9574" priority="215" operator="greaterThan">
      <formula>0</formula>
    </cfRule>
  </conditionalFormatting>
  <conditionalFormatting sqref="O133:O146">
    <cfRule type="cellIs" dxfId="9573" priority="28" operator="greaterThan">
      <formula>0</formula>
    </cfRule>
  </conditionalFormatting>
  <conditionalFormatting sqref="O150:O163">
    <cfRule type="cellIs" dxfId="9572" priority="17" operator="greaterThan">
      <formula>0</formula>
    </cfRule>
  </conditionalFormatting>
  <conditionalFormatting sqref="O183:O197">
    <cfRule type="cellIs" dxfId="9571" priority="660" operator="greaterThan">
      <formula>0</formula>
    </cfRule>
  </conditionalFormatting>
  <conditionalFormatting sqref="Q16">
    <cfRule type="cellIs" dxfId="9570" priority="405" operator="greaterThan">
      <formula>0</formula>
    </cfRule>
    <cfRule type="expression" dxfId="9569" priority="406">
      <formula>$B$9="EURO"</formula>
    </cfRule>
    <cfRule type="expression" dxfId="9568" priority="407">
      <formula>$B$9="USD"</formula>
    </cfRule>
    <cfRule type="expression" dxfId="9567" priority="408">
      <formula>$B$9="PLN"</formula>
    </cfRule>
    <cfRule type="expression" dxfId="9566" priority="409">
      <formula>$B$9="CZK"</formula>
    </cfRule>
  </conditionalFormatting>
  <dataValidations count="7">
    <dataValidation type="list" allowBlank="1" showInputMessage="1" showErrorMessage="1" sqref="D26 D94 D77 D60 D43 D111 D128 D145 D162 D179" xr:uid="{EAC9589F-FA0C-C947-9D6B-419638F44798}">
      <formula1>"0,1,2,3,4,5,6,7,8,9,10"</formula1>
    </dataValidation>
    <dataValidation type="list" allowBlank="1" showInputMessage="1" showErrorMessage="1" sqref="G181" xr:uid="{9B29FBF7-D8A7-3B4A-B845-6F4FA31FFBBA}">
      <formula1>#REF!</formula1>
    </dataValidation>
    <dataValidation type="list" allowBlank="1" showInputMessage="1" showErrorMessage="1" sqref="C99 C31 C82 C65 C48 C14 C116 C150 C133 C167" xr:uid="{200038B2-DEEF-B749-B5AF-14482C90B117}">
      <formula1>"WALL, ISLAND"</formula1>
    </dataValidation>
    <dataValidation operator="greaterThan" allowBlank="1" showInputMessage="1" showErrorMessage="1" sqref="E14 E65 E48 E31 E82 E99 E116 E133 E150 E167" xr:uid="{E037376C-AA94-C048-8994-D8435A88F8C6}"/>
    <dataValidation type="list" allowBlank="1" showInputMessage="1" showErrorMessage="1" sqref="C71:C72 C37:C38 C88:C89 C20:C21 I84 I16 C54:C55 I67 I33 I50 C105:C106 I101 C122:C123 I118 C139:C140 I135 C156:C157 I152 C173:C174 I169" xr:uid="{482B9022-62AF-E74B-AC53-B262C9C7BCEC}">
      <formula1>"0,1,2,3,4,5,6,7,8,9,10,11,12,13,14,15,16,17,18,19,20"</formula1>
    </dataValidation>
    <dataValidation type="list" allowBlank="1" showInputMessage="1" showErrorMessage="1" errorTitle="Minimum number of sections " error="Must be greater than zero" sqref="H14 H65 H48 H31 H82 H99 H116 H133 H150 H167" xr:uid="{881D5D28-B496-7A47-93BC-F5B5081FE4B4}">
      <formula1>"1,2,3,4,5,6,7,8,9,10"</formula1>
    </dataValidation>
    <dataValidation type="list" allowBlank="1" showInputMessage="1" showErrorMessage="1" sqref="C27 C78 C95 C44 C61 C112 C129 C146 C163 C180" xr:uid="{AEEE10BD-9353-384D-A12A-BB2F52C8CF87}">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B0173AEA-450D-6941-92BB-C10B75609A30}">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2FE38CC7-FB7D-9F41-B256-F012F2164718}">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AA65D6CA-65B4-BD46-9A09-0DAD306ED9D2}">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E7BA96DB-6615-654E-A70B-B70D240B360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C0A23836-EB07-E645-96D0-2D885939BF53}">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A344E351-FE5D-8E44-8775-196FC8A5D296}">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B26693E0-A5F3-C344-911B-B13BA28E5C87}">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486475B3-E4C3-B648-92D0-A3733D9A205C}">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03422874-8D00-9245-9C7E-F08D6BCF9B01}">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3E071D14-CA75-E04E-A90D-1CA956AC44A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D7D150A3-24CB-CE4F-93BC-CD50F6EA1FA1}">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E43A212D-4FE1-524C-A18B-82704BE77372}">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E1004D44-1468-8849-B748-9D692012AC49}">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0348AB91-6DCF-F249-8591-0D82151BB581}">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3BEF1E2B-BB3D-BD44-A38D-8DF5E6E1DEBC}">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B23E0D3A-F73E-D241-95A6-F5E5B056EA55}">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CC71D78-EA86-AB4A-9BA0-196C6F61709C}">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1BE16113-75AA-9D49-98BD-D87FAE38E41A}">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A59F9CCD-F242-3F4F-9203-5B50A5652DC7}">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928154EF-0839-7542-A0E4-8453BEE18E1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E7FC2DB9-E513-C140-9A6D-1796D9B7CAA9}">
          <x14:formula1>
            <xm:f>'Base Costs'!$U$44:$U$56</xm:f>
          </x14:formula1>
          <xm:sqref>C17 C170 C153 C136 C119 C102 C85 C68 C51 C34</xm:sqref>
        </x14:dataValidation>
        <x14:dataValidation type="list" allowBlank="1" showInputMessage="1" showErrorMessage="1" xr:uid="{5BF95443-D95D-0349-A282-88CEED5100F1}">
          <x14:formula1>
            <xm:f>'Base Costs'!$U$4:$U$41</xm:f>
          </x14:formula1>
          <xm:sqref>C33 C152 C135 C169 C16 C101 C84 C67 C50 C118</xm:sqref>
        </x14:dataValidation>
        <x14:dataValidation type="list" allowBlank="1" showInputMessage="1" showErrorMessage="1" xr:uid="{F5178A96-0817-1B47-A485-22D8D4F92E9A}">
          <x14:formula1>
            <xm:f>'Base Costs'!$Q$35:$Q$45</xm:f>
          </x14:formula1>
          <xm:sqref>C43 C145 C162 C179 C60 C77 C94 C111 C26 C128</xm:sqref>
        </x14:dataValidation>
        <x14:dataValidation type="list" allowBlank="1" showInputMessage="1" showErrorMessage="1" xr:uid="{4F412A28-3C44-4241-8E50-D6DF923EAC38}">
          <x14:formula1>
            <xm:f>'Base Costs'!$A$19:$A$22</xm:f>
          </x14:formula1>
          <xm:sqref>C19 C138 C155 C172 C36 C87 C70 C53 C104 C121</xm:sqref>
        </x14:dataValidation>
        <x14:dataValidation type="list" allowBlank="1" showInputMessage="1" showErrorMessage="1" xr:uid="{D0C67158-A18E-B54B-A3F7-F0215156A9F4}">
          <x14:formula1>
            <xm:f>'Base Costs'!$A$4:$A$16</xm:f>
          </x14:formula1>
          <xm:sqref>D184:D185</xm:sqref>
        </x14:dataValidation>
        <x14:dataValidation type="list" allowBlank="1" showInputMessage="1" showErrorMessage="1" xr:uid="{6F90F0B7-91B3-AE41-BB71-DE5AE5D6D48A}">
          <x14:formula1>
            <xm:f>'Base Costs'!$E$4:$E$213</xm:f>
          </x14:formula1>
          <xm:sqref>D183 D186</xm:sqref>
        </x14:dataValidation>
        <x14:dataValidation type="list" allowBlank="1" showInputMessage="1" showErrorMessage="1" xr:uid="{3AF16C5E-0D1B-EB49-9B60-01AE5CD8B753}">
          <x14:formula1>
            <xm:f>'Base Costs'!$A$32:$A$37</xm:f>
          </x14:formula1>
          <xm:sqref>B9</xm:sqref>
        </x14:dataValidation>
        <x14:dataValidation type="list" allowBlank="1" showInputMessage="1" showErrorMessage="1" xr:uid="{22837412-71E2-F046-ACD9-60DA602E912E}">
          <x14:formula1>
            <xm:f>CCBASE!$A$81:$A$85</xm:f>
          </x14:formula1>
          <xm:sqref>C25 C42 C93 C76 C59 C110 C127 C144 C161 C178</xm:sqref>
        </x14:dataValidation>
        <x14:dataValidation type="list" allowBlank="1" showInputMessage="1" showErrorMessage="1" xr:uid="{C8A5A1D0-A456-0C44-8D94-9713B44048B4}">
          <x14:formula1>
            <xm:f>CCBASE!$A$53:$A$73</xm:f>
          </x14:formula1>
          <xm:sqref>C52 C69 C18 C35 C103 C86 C120 C154 C137 C171</xm:sqref>
        </x14:dataValidation>
        <x14:dataValidation type="list" allowBlank="1" showInputMessage="1" showErrorMessage="1" xr:uid="{8153956A-E1FA-3446-B8F5-6E24CDE7401F}">
          <x14:formula1>
            <xm:f>'Base Costs'!$A$39:$A$53</xm:f>
          </x14:formula1>
          <xm:sqref>D14 D150 D133 D167 D31 D99 D48 D82 D65 D116</xm:sqref>
        </x14:dataValidation>
        <x14:dataValidation type="list" allowBlank="1" showInputMessage="1" showErrorMessage="1" xr:uid="{80144FDB-E7B6-784E-A52E-6D3E8035ACDA}">
          <x14:formula1>
            <xm:f>'Base Costs'!$M$4:$M$21</xm:f>
          </x14:formula1>
          <xm:sqref>C32 C151 C134 C168 C100 C49 C66 C83 C117</xm:sqref>
        </x14:dataValidation>
        <x14:dataValidation type="list" allowBlank="1" showInputMessage="1" showErrorMessage="1" xr:uid="{C179635E-A99F-DB41-88C9-EC26B731A49C}">
          <x14:formula1>
            <xm:f>'Base Costs'!$M$4:$M$23</xm:f>
          </x14:formula1>
          <xm:sqref>C15</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DA39F-F4E2-864A-92F9-19745476780A}">
  <sheetPr>
    <tabColor theme="8" tint="0.79998168889431442"/>
    <pageSetUpPr fitToPage="1"/>
  </sheetPr>
  <dimension ref="A1:AE117"/>
  <sheetViews>
    <sheetView topLeftCell="A14" zoomScale="80" zoomScaleNormal="80" workbookViewId="0">
      <selection activeCell="R29" sqref="R29"/>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56" t="s">
        <v>1502</v>
      </c>
      <c r="C1" s="1156"/>
      <c r="D1" s="1156"/>
      <c r="E1" s="160"/>
      <c r="F1" s="161"/>
      <c r="G1" s="162"/>
      <c r="H1" s="163"/>
      <c r="I1" s="161"/>
      <c r="J1" s="161"/>
      <c r="K1" s="989" t="s">
        <v>1501</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8" t="e">
        <f>IF(#REF!="","",#REF!)</f>
        <v>#REF!</v>
      </c>
      <c r="D4" s="1158"/>
      <c r="E4" s="177" t="s">
        <v>78</v>
      </c>
      <c r="F4" s="1159" t="e">
        <f>IF(#REF!="","",#REF!)</f>
        <v>#REF!</v>
      </c>
      <c r="G4" s="1159"/>
      <c r="H4" s="1159"/>
      <c r="I4" s="1157"/>
      <c r="J4" s="1157"/>
      <c r="K4" s="1157"/>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8" t="e">
        <f>IF(#REF!="","",#REF!)</f>
        <v>#REF!</v>
      </c>
      <c r="D6" s="1158"/>
      <c r="E6" s="177" t="s">
        <v>77</v>
      </c>
      <c r="F6" s="1159" t="e">
        <f>IF(#REF!="","",#REF!)</f>
        <v>#REF!</v>
      </c>
      <c r="G6" s="1159"/>
      <c r="H6" s="1159"/>
      <c r="I6" s="1157"/>
      <c r="J6" s="1157"/>
      <c r="K6" s="1157"/>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8" t="e">
        <f>IF(#REF!="","",#REF!)</f>
        <v>#REF!</v>
      </c>
      <c r="D8" s="1158"/>
      <c r="E8" s="181" t="s">
        <v>76</v>
      </c>
      <c r="F8" s="1160" t="e">
        <f>IF(#REF!="","",#REF!)</f>
        <v>#REF!</v>
      </c>
      <c r="G8" s="1160"/>
      <c r="H8" s="1160"/>
      <c r="J8" s="187" t="s">
        <v>79</v>
      </c>
      <c r="K8" s="1148" t="e">
        <f>IF(#REF!="","",#REF!)</f>
        <v>#REF!</v>
      </c>
      <c r="L8" s="1148"/>
      <c r="M8" s="467"/>
      <c r="N8" s="1094" t="s">
        <v>1409</v>
      </c>
      <c r="O8" s="1094"/>
      <c r="P8" s="1094"/>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0"/>
      <c r="F10" s="1151"/>
      <c r="G10" s="25">
        <f>SUBTOTAL(9,G14:G102)</f>
        <v>1488</v>
      </c>
      <c r="H10" s="981">
        <f>IF(K10=0,"-",K10/I10)</f>
        <v>0.40143664399961704</v>
      </c>
      <c r="I10" s="25">
        <f>SUBTOTAL(9,I14:I102)</f>
        <v>2485.9523809523807</v>
      </c>
      <c r="J10" s="464">
        <f>SUBTOTAL(9,J14:J102)</f>
        <v>2485.9523809523807</v>
      </c>
      <c r="K10" s="25">
        <f>SUBTOTAL(9,K14:K102)</f>
        <v>997.95238095238119</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1488</v>
      </c>
      <c r="H13" s="145">
        <f>IF(G13=0,"-",K13/I13)</f>
        <v>0.40143664399961704</v>
      </c>
      <c r="I13" s="61">
        <f>SUBTOTAL(9,I14:I32)</f>
        <v>2485.9523809523807</v>
      </c>
      <c r="J13" s="465">
        <f>SUBTOTAL(9,J14:J32)</f>
        <v>2485.9523809523807</v>
      </c>
      <c r="K13" s="61">
        <f>SUBTOTAL(9,K14:K32)</f>
        <v>997.95238095238119</v>
      </c>
      <c r="L13" s="469"/>
      <c r="O13" s="840" t="s">
        <v>918</v>
      </c>
      <c r="Q13" s="1154" t="s">
        <v>664</v>
      </c>
      <c r="R13" s="1155"/>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K32"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si="1"/>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1"/>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1"/>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1"/>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1"/>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1"/>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1"/>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1"/>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1"/>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1"/>
        <v>0</v>
      </c>
      <c r="L24" s="469"/>
      <c r="M24" s="469"/>
      <c r="N24" s="469"/>
      <c r="Q24" s="164"/>
      <c r="R24" s="164"/>
    </row>
    <row r="25" spans="1:18" ht="15.75" customHeight="1" x14ac:dyDescent="0.2">
      <c r="B25" s="992" t="s">
        <v>1351</v>
      </c>
      <c r="C25" s="1007">
        <v>1</v>
      </c>
      <c r="D25" s="992" t="s">
        <v>1405</v>
      </c>
      <c r="E25" s="1008"/>
      <c r="F25" s="1009">
        <v>50</v>
      </c>
      <c r="G25" s="1010">
        <f t="shared" si="2"/>
        <v>50</v>
      </c>
      <c r="H25" s="1011">
        <v>0.44</v>
      </c>
      <c r="I25" s="1012">
        <f t="shared" si="0"/>
        <v>89.285714285714278</v>
      </c>
      <c r="J25" s="1010">
        <f>I25*VLOOKUP($B$10,'Base Costs'!$A$32:$B$37,2,FALSE)</f>
        <v>89.285714285714278</v>
      </c>
      <c r="K25" s="1013">
        <f t="shared" si="1"/>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1"/>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1"/>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1"/>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1"/>
        <v>0</v>
      </c>
      <c r="L29" s="469"/>
      <c r="M29" s="469"/>
      <c r="N29" s="469"/>
      <c r="Q29" s="164"/>
      <c r="R29" s="164"/>
    </row>
    <row r="30" spans="1:18" ht="15.75" customHeight="1" x14ac:dyDescent="0.2">
      <c r="A30" s="299">
        <v>268</v>
      </c>
      <c r="B30" s="269" t="s">
        <v>54</v>
      </c>
      <c r="C30" s="314">
        <v>1</v>
      </c>
      <c r="D30" s="269" t="s">
        <v>491</v>
      </c>
      <c r="E30" s="315"/>
      <c r="F30" s="380">
        <f>'Base Costs'!AX22</f>
        <v>700</v>
      </c>
      <c r="G30" s="378">
        <f t="shared" si="2"/>
        <v>700</v>
      </c>
      <c r="H30" s="381">
        <v>0.4</v>
      </c>
      <c r="I30" s="311">
        <f t="shared" si="0"/>
        <v>1166.6666666666667</v>
      </c>
      <c r="J30" s="378">
        <f>I30*VLOOKUP($B$10,'Base Costs'!$A$32:$B$37,2,FALSE)</f>
        <v>1166.6666666666667</v>
      </c>
      <c r="K30" s="379">
        <f t="shared" si="1"/>
        <v>466.66666666666674</v>
      </c>
      <c r="L30" s="469"/>
      <c r="M30" s="469"/>
      <c r="N30" s="469"/>
      <c r="Q30" s="164"/>
      <c r="R30" s="164"/>
    </row>
    <row r="31" spans="1:18" ht="15.75" customHeight="1" x14ac:dyDescent="0.2">
      <c r="A31" s="299">
        <v>268</v>
      </c>
      <c r="B31" s="269" t="s">
        <v>55</v>
      </c>
      <c r="C31" s="314">
        <v>1</v>
      </c>
      <c r="D31" s="269" t="s">
        <v>491</v>
      </c>
      <c r="E31" s="315"/>
      <c r="F31" s="380">
        <f>'Base Costs'!AX23</f>
        <v>380</v>
      </c>
      <c r="G31" s="378">
        <f t="shared" si="2"/>
        <v>380</v>
      </c>
      <c r="H31" s="381">
        <v>0.4</v>
      </c>
      <c r="I31" s="311">
        <f t="shared" si="0"/>
        <v>633.33333333333337</v>
      </c>
      <c r="J31" s="378">
        <f>I31*VLOOKUP($B$10,'Base Costs'!$A$32:$B$37,2,FALSE)</f>
        <v>633.33333333333337</v>
      </c>
      <c r="K31" s="379">
        <f t="shared" si="1"/>
        <v>253.33333333333337</v>
      </c>
      <c r="L31" s="469"/>
      <c r="M31" s="469"/>
      <c r="N31" s="469"/>
      <c r="Q31" s="164"/>
      <c r="R31" s="164"/>
    </row>
    <row r="32" spans="1:18" ht="15.75" customHeight="1" x14ac:dyDescent="0.2">
      <c r="A32" s="299">
        <v>268</v>
      </c>
      <c r="B32" s="269" t="s">
        <v>56</v>
      </c>
      <c r="C32" s="314">
        <v>1</v>
      </c>
      <c r="D32" s="269" t="s">
        <v>442</v>
      </c>
      <c r="E32" s="315"/>
      <c r="F32" s="380">
        <f>'Base Costs'!AX24</f>
        <v>358</v>
      </c>
      <c r="G32" s="378">
        <f t="shared" si="2"/>
        <v>358</v>
      </c>
      <c r="H32" s="381">
        <v>0.4</v>
      </c>
      <c r="I32" s="311">
        <f t="shared" si="0"/>
        <v>596.66666666666674</v>
      </c>
      <c r="J32" s="378">
        <f>I32*VLOOKUP($B$10,'Base Costs'!$A$32:$B$37,2,FALSE)</f>
        <v>596.66666666666674</v>
      </c>
      <c r="K32" s="379">
        <f t="shared" si="1"/>
        <v>238.66666666666674</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61"/>
      <c r="P34" s="1161"/>
      <c r="Q34" s="815"/>
      <c r="R34" s="815"/>
      <c r="S34" s="1162"/>
      <c r="T34" s="1162"/>
      <c r="U34" s="1162"/>
      <c r="V34" s="1162"/>
      <c r="Y34" s="1163"/>
      <c r="Z34" s="1163"/>
      <c r="AA34" s="1163"/>
      <c r="AB34" s="1163"/>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3">G35/(1-H35)*(1+$C$10)</f>
        <v>0</v>
      </c>
      <c r="J35" s="378">
        <f>I35*VLOOKUP($B$10,'Base Costs'!$A$32:$B$37,2,FALSE)</f>
        <v>0</v>
      </c>
      <c r="K35" s="379">
        <f t="shared" ref="K35:K68" si="4">I35-G35</f>
        <v>0</v>
      </c>
      <c r="L35" s="818"/>
      <c r="M35" s="818"/>
      <c r="O35" s="1149"/>
      <c r="P35" s="1149"/>
      <c r="Q35" s="815"/>
      <c r="R35" s="815"/>
      <c r="S35" s="1152"/>
      <c r="T35" s="1152"/>
      <c r="U35" s="1152"/>
      <c r="V35" s="1152"/>
      <c r="W35" s="822"/>
      <c r="Y35" s="1152"/>
      <c r="Z35" s="1152"/>
      <c r="AA35" s="1152"/>
      <c r="AB35" s="1152"/>
      <c r="AC35" s="822"/>
      <c r="AE35" s="166"/>
    </row>
    <row r="36" spans="1:31" ht="15.75" customHeight="1" x14ac:dyDescent="0.2">
      <c r="A36" s="299">
        <v>266</v>
      </c>
      <c r="B36" s="269" t="s">
        <v>917</v>
      </c>
      <c r="C36" s="314"/>
      <c r="D36" s="816"/>
      <c r="E36" s="269"/>
      <c r="F36" s="380">
        <f>'Base Costs'!AX50</f>
        <v>151.72839999999999</v>
      </c>
      <c r="G36" s="378">
        <f t="shared" ref="G36:G68" si="5">C36*F36</f>
        <v>0</v>
      </c>
      <c r="H36" s="381">
        <v>0.37</v>
      </c>
      <c r="I36" s="378">
        <f t="shared" si="3"/>
        <v>0</v>
      </c>
      <c r="J36" s="378">
        <f>I36*VLOOKUP($B$10,'Base Costs'!$A$32:$B$37,2,FALSE)</f>
        <v>0</v>
      </c>
      <c r="K36" s="379">
        <f t="shared" si="4"/>
        <v>0</v>
      </c>
      <c r="L36" s="818"/>
      <c r="M36" s="818"/>
      <c r="O36" s="1149"/>
      <c r="P36" s="1149"/>
      <c r="Q36" s="815"/>
      <c r="R36" s="815"/>
      <c r="S36" s="1152"/>
      <c r="T36" s="1152"/>
      <c r="U36" s="1152"/>
      <c r="V36" s="1152"/>
      <c r="W36" s="822"/>
      <c r="Y36" s="1152"/>
      <c r="Z36" s="1152"/>
      <c r="AA36" s="1152"/>
      <c r="AB36" s="1152"/>
      <c r="AC36" s="822"/>
      <c r="AE36" s="166"/>
    </row>
    <row r="37" spans="1:31" ht="15.75" customHeight="1" x14ac:dyDescent="0.2">
      <c r="A37" s="299">
        <v>266</v>
      </c>
      <c r="B37" s="269"/>
      <c r="C37" s="314"/>
      <c r="D37" s="816"/>
      <c r="E37" s="269"/>
      <c r="F37" s="380">
        <f>'Base Costs'!AX51</f>
        <v>0</v>
      </c>
      <c r="G37" s="378">
        <f t="shared" si="5"/>
        <v>0</v>
      </c>
      <c r="H37" s="381">
        <v>0.37</v>
      </c>
      <c r="I37" s="378">
        <f t="shared" si="3"/>
        <v>0</v>
      </c>
      <c r="J37" s="378">
        <f>I37*VLOOKUP($B$10,'Base Costs'!$A$32:$B$37,2,FALSE)</f>
        <v>0</v>
      </c>
      <c r="K37" s="379">
        <f t="shared" si="4"/>
        <v>0</v>
      </c>
      <c r="L37" s="818"/>
      <c r="M37" s="818"/>
      <c r="O37" s="1149"/>
      <c r="P37" s="1149"/>
      <c r="Q37" s="815"/>
      <c r="R37" s="815"/>
      <c r="S37" s="1152"/>
      <c r="T37" s="1152"/>
      <c r="U37" s="1152"/>
      <c r="V37" s="1152"/>
      <c r="W37" s="822"/>
      <c r="Y37" s="1152"/>
      <c r="Z37" s="1152"/>
      <c r="AA37" s="1152"/>
      <c r="AB37" s="1152"/>
      <c r="AC37" s="822"/>
      <c r="AE37" s="166"/>
    </row>
    <row r="38" spans="1:31" ht="15.75" customHeight="1" x14ac:dyDescent="0.2">
      <c r="A38" s="299">
        <v>266</v>
      </c>
      <c r="B38" s="269" t="s">
        <v>474</v>
      </c>
      <c r="C38" s="314"/>
      <c r="D38" s="1077"/>
      <c r="E38" s="269"/>
      <c r="F38" s="380">
        <f>'Base Costs'!AX52</f>
        <v>0</v>
      </c>
      <c r="G38" s="378">
        <f t="shared" si="5"/>
        <v>0</v>
      </c>
      <c r="H38" s="381">
        <v>0.37</v>
      </c>
      <c r="I38" s="378">
        <f t="shared" si="3"/>
        <v>0</v>
      </c>
      <c r="J38" s="839">
        <f>I38*VLOOKUP($B$10,'Base Costs'!$A$32:$B$37,2,FALSE)</f>
        <v>0</v>
      </c>
      <c r="K38" s="379">
        <f t="shared" si="4"/>
        <v>0</v>
      </c>
      <c r="L38" s="818"/>
      <c r="M38" s="818"/>
      <c r="N38" s="97" t="s">
        <v>1481</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5"/>
        <v>0</v>
      </c>
      <c r="H39" s="381">
        <v>0.37</v>
      </c>
      <c r="I39" s="378">
        <f t="shared" si="3"/>
        <v>0</v>
      </c>
      <c r="J39" s="378">
        <f>I39*VLOOKUP($B$10,'Base Costs'!$A$32:$B$37,2,FALSE)</f>
        <v>0</v>
      </c>
      <c r="K39" s="379">
        <f t="shared" si="4"/>
        <v>0</v>
      </c>
      <c r="L39" s="818"/>
      <c r="M39" s="818"/>
      <c r="O39" s="1149"/>
      <c r="P39" s="1149"/>
      <c r="Q39" s="815"/>
      <c r="R39" s="815"/>
      <c r="S39" s="1152"/>
      <c r="T39" s="1152"/>
      <c r="U39" s="1152"/>
      <c r="V39" s="1152"/>
      <c r="W39" s="822"/>
      <c r="Y39" s="1152"/>
      <c r="Z39" s="1152"/>
      <c r="AA39" s="1152"/>
      <c r="AB39" s="1152"/>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3"/>
        <v>0</v>
      </c>
      <c r="J40" s="378">
        <f>IFERROR((I40*VLOOKUP($B$10,'Base Costs'!$A$32:$B$37,2,FALSE)),0)</f>
        <v>0</v>
      </c>
      <c r="K40" s="379">
        <f>I40-G40</f>
        <v>0</v>
      </c>
      <c r="L40" s="818"/>
      <c r="M40" s="818"/>
      <c r="O40" s="1149"/>
      <c r="P40" s="1149"/>
      <c r="Q40" s="815"/>
      <c r="R40" s="815"/>
      <c r="S40" s="1152"/>
      <c r="T40" s="1152"/>
      <c r="U40" s="1152"/>
      <c r="V40" s="1152"/>
      <c r="W40" s="822"/>
      <c r="Y40" s="1152"/>
      <c r="Z40" s="1152"/>
      <c r="AA40" s="1152"/>
      <c r="AB40" s="1152"/>
      <c r="AC40" s="822"/>
      <c r="AE40" s="166"/>
    </row>
    <row r="41" spans="1:31" ht="15.75" customHeight="1" x14ac:dyDescent="0.2">
      <c r="A41" s="299">
        <v>266</v>
      </c>
      <c r="B41" s="269" t="s">
        <v>927</v>
      </c>
      <c r="C41" s="314"/>
      <c r="D41" s="269"/>
      <c r="E41" s="269"/>
      <c r="F41" s="380">
        <f>IFERROR((VLOOKUP(D41,'Base Costs'!$AU$56:$AX$61,4,FALSE)),0)</f>
        <v>0</v>
      </c>
      <c r="G41" s="378">
        <f t="shared" ref="G41:G47" si="6">C41*F41</f>
        <v>0</v>
      </c>
      <c r="H41" s="381">
        <v>0.37</v>
      </c>
      <c r="I41" s="378">
        <f t="shared" si="3"/>
        <v>0</v>
      </c>
      <c r="J41" s="378">
        <f>IFERROR((I41*VLOOKUP($B$10,'Base Costs'!$A$32:$B$37,2,FALSE)),0)</f>
        <v>0</v>
      </c>
      <c r="K41" s="379">
        <f t="shared" ref="K41:K47" si="7">I41-G41</f>
        <v>0</v>
      </c>
      <c r="L41" s="165"/>
      <c r="M41" s="165"/>
      <c r="O41" s="1149"/>
      <c r="P41" s="1149"/>
      <c r="Q41" s="815"/>
      <c r="R41" s="815"/>
      <c r="Y41" s="1153"/>
      <c r="Z41" s="1153"/>
      <c r="AA41" s="1153"/>
      <c r="AB41" s="1153"/>
      <c r="AC41" s="824"/>
      <c r="AE41" s="166"/>
    </row>
    <row r="42" spans="1:31" ht="15.75" customHeight="1" x14ac:dyDescent="0.2">
      <c r="B42" s="269" t="s">
        <v>928</v>
      </c>
      <c r="C42" s="314"/>
      <c r="D42" s="269"/>
      <c r="E42" s="269"/>
      <c r="F42" s="380">
        <f>IFERROR((VLOOKUP(D42,'Base Costs'!$AU$56:$AX$61,4,FALSE)),0)</f>
        <v>0</v>
      </c>
      <c r="G42" s="378">
        <f t="shared" si="6"/>
        <v>0</v>
      </c>
      <c r="H42" s="381">
        <v>0.37</v>
      </c>
      <c r="I42" s="378">
        <f t="shared" si="3"/>
        <v>0</v>
      </c>
      <c r="J42" s="378">
        <f>IFERROR((I42*VLOOKUP($B$10,'Base Costs'!$A$32:$B$37,2,FALSE)),0)</f>
        <v>0</v>
      </c>
      <c r="K42" s="379">
        <f t="shared" si="7"/>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6"/>
        <v>0</v>
      </c>
      <c r="H43" s="381">
        <v>0.37</v>
      </c>
      <c r="I43" s="378">
        <f t="shared" si="3"/>
        <v>0</v>
      </c>
      <c r="J43" s="378">
        <f>IFERROR((I43*VLOOKUP($B$10,'Base Costs'!$A$32:$B$37,2,FALSE)),0)</f>
        <v>0</v>
      </c>
      <c r="K43" s="379">
        <f t="shared" si="7"/>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6"/>
        <v>0</v>
      </c>
      <c r="H44" s="381">
        <v>0.37</v>
      </c>
      <c r="I44" s="378">
        <f t="shared" si="3"/>
        <v>0</v>
      </c>
      <c r="J44" s="378">
        <f>IFERROR((I44*VLOOKUP($B$10,'Base Costs'!$A$32:$B$37,2,FALSE)),0)</f>
        <v>0</v>
      </c>
      <c r="K44" s="379">
        <f t="shared" si="7"/>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6"/>
        <v>0</v>
      </c>
      <c r="H45" s="381">
        <v>0.37</v>
      </c>
      <c r="I45" s="378">
        <f t="shared" si="3"/>
        <v>0</v>
      </c>
      <c r="J45" s="378">
        <f>IFERROR((I45*VLOOKUP($B$10,'Base Costs'!$A$32:$B$37,2,FALSE)),0)</f>
        <v>0</v>
      </c>
      <c r="K45" s="379">
        <f t="shared" si="7"/>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6"/>
        <v>0</v>
      </c>
      <c r="H46" s="381">
        <v>0.37</v>
      </c>
      <c r="I46" s="378">
        <f t="shared" si="3"/>
        <v>0</v>
      </c>
      <c r="J46" s="378">
        <f>IFERROR((I46*VLOOKUP($B$10,'Base Costs'!$A$32:$B$37,2,FALSE)),0)</f>
        <v>0</v>
      </c>
      <c r="K46" s="379">
        <f t="shared" si="7"/>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6"/>
        <v>0</v>
      </c>
      <c r="H47" s="381">
        <v>0.37</v>
      </c>
      <c r="I47" s="378">
        <f t="shared" si="3"/>
        <v>0</v>
      </c>
      <c r="J47" s="378">
        <f>IFERROR((I47*VLOOKUP($B$10,'Base Costs'!$A$32:$B$37,2,FALSE)),0)</f>
        <v>0</v>
      </c>
      <c r="K47" s="379">
        <f t="shared" si="7"/>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Costs'!$AU$65:$BA$72,7,FALSE)),0)</f>
        <v>0</v>
      </c>
      <c r="M49" s="820">
        <f>L49*C49</f>
        <v>0</v>
      </c>
      <c r="N49" s="469"/>
      <c r="O49" s="1149"/>
      <c r="P49" s="1149"/>
      <c r="Q49" s="815"/>
      <c r="R49" s="815"/>
      <c r="Y49" s="1153"/>
      <c r="Z49" s="1153"/>
      <c r="AA49" s="1153"/>
      <c r="AB49" s="1153"/>
      <c r="AC49" s="824"/>
    </row>
    <row r="50" spans="1:29" ht="15.75" customHeight="1" x14ac:dyDescent="0.2">
      <c r="B50" s="269" t="s">
        <v>935</v>
      </c>
      <c r="C50" s="314"/>
      <c r="D50" s="269"/>
      <c r="E50" s="269"/>
      <c r="F50" s="380">
        <f>IFERROR((VLOOKUP(D50,'Base Costs'!$AU$65:$AX$72,4,FALSE)),0)</f>
        <v>0</v>
      </c>
      <c r="G50" s="378">
        <f t="shared" ref="G50:G56" si="8">C50*F50</f>
        <v>0</v>
      </c>
      <c r="H50" s="381">
        <v>0.37</v>
      </c>
      <c r="I50" s="378">
        <f t="shared" ref="I50:I56" si="9">G50/(1-H50)*(1+$C$10)</f>
        <v>0</v>
      </c>
      <c r="J50" s="378">
        <f>IFERROR((I50*VLOOKUP($B$10,'Base Costs'!$A$32:$B$37,2,FALSE)),0)</f>
        <v>0</v>
      </c>
      <c r="K50" s="379">
        <f t="shared" ref="K50:K56" si="10">I50-G50</f>
        <v>0</v>
      </c>
      <c r="L50" s="819">
        <f>IFERROR((VLOOKUP(D50,'Base Costs'!$AU$65:$BA$72,7,FALSE)),0)</f>
        <v>0</v>
      </c>
      <c r="M50" s="820">
        <f t="shared" ref="M50:M56" si="11">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8"/>
        <v>0</v>
      </c>
      <c r="H51" s="381">
        <v>0.37</v>
      </c>
      <c r="I51" s="378">
        <f t="shared" si="9"/>
        <v>0</v>
      </c>
      <c r="J51" s="378">
        <f>IFERROR((I51*VLOOKUP($B$10,'Base Costs'!$A$32:$B$37,2,FALSE)),0)</f>
        <v>0</v>
      </c>
      <c r="K51" s="379">
        <f t="shared" si="10"/>
        <v>0</v>
      </c>
      <c r="L51" s="819">
        <f>IFERROR((VLOOKUP(D51,'Base Costs'!$AU$65:$BA$72,7,FALSE)),0)</f>
        <v>0</v>
      </c>
      <c r="M51" s="820">
        <f t="shared" si="11"/>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8"/>
        <v>0</v>
      </c>
      <c r="H52" s="381">
        <v>0.37</v>
      </c>
      <c r="I52" s="378">
        <f t="shared" si="9"/>
        <v>0</v>
      </c>
      <c r="J52" s="378">
        <f>IFERROR((I52*VLOOKUP($B$10,'Base Costs'!$A$32:$B$37,2,FALSE)),0)</f>
        <v>0</v>
      </c>
      <c r="K52" s="379">
        <f t="shared" si="10"/>
        <v>0</v>
      </c>
      <c r="L52" s="819">
        <f>IFERROR((VLOOKUP(D52,'Base Costs'!$AU$65:$BA$72,7,FALSE)),0)</f>
        <v>0</v>
      </c>
      <c r="M52" s="820">
        <f t="shared" si="11"/>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8"/>
        <v>0</v>
      </c>
      <c r="H53" s="381">
        <v>0.37</v>
      </c>
      <c r="I53" s="378">
        <f t="shared" si="9"/>
        <v>0</v>
      </c>
      <c r="J53" s="378">
        <f>IFERROR((I53*VLOOKUP($B$10,'Base Costs'!$A$32:$B$37,2,FALSE)),0)</f>
        <v>0</v>
      </c>
      <c r="K53" s="379">
        <f t="shared" si="10"/>
        <v>0</v>
      </c>
      <c r="L53" s="819">
        <f>IFERROR((VLOOKUP(D53,'Base Costs'!$AU$65:$BA$72,7,FALSE)),0)</f>
        <v>0</v>
      </c>
      <c r="M53" s="820">
        <f t="shared" si="11"/>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8"/>
        <v>0</v>
      </c>
      <c r="H54" s="381">
        <v>0.37</v>
      </c>
      <c r="I54" s="378">
        <f t="shared" si="9"/>
        <v>0</v>
      </c>
      <c r="J54" s="378">
        <f>IFERROR((I54*VLOOKUP($B$10,'Base Costs'!$A$32:$B$37,2,FALSE)),0)</f>
        <v>0</v>
      </c>
      <c r="K54" s="379">
        <f t="shared" si="10"/>
        <v>0</v>
      </c>
      <c r="L54" s="819">
        <f>IFERROR((VLOOKUP(D54,'Base Costs'!$AU$65:$BA$72,7,FALSE)),0)</f>
        <v>0</v>
      </c>
      <c r="M54" s="820">
        <f t="shared" si="11"/>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8"/>
        <v>0</v>
      </c>
      <c r="H55" s="381">
        <v>0.37</v>
      </c>
      <c r="I55" s="378">
        <f t="shared" si="9"/>
        <v>0</v>
      </c>
      <c r="J55" s="378">
        <f>IFERROR((I55*VLOOKUP($B$10,'Base Costs'!$A$32:$B$37,2,FALSE)),0)</f>
        <v>0</v>
      </c>
      <c r="K55" s="379">
        <f t="shared" si="10"/>
        <v>0</v>
      </c>
      <c r="L55" s="819">
        <f>IFERROR((VLOOKUP(D55,'Base Costs'!$AU$65:$BA$72,7,FALSE)),0)</f>
        <v>0</v>
      </c>
      <c r="M55" s="820">
        <f t="shared" si="11"/>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8"/>
        <v>0</v>
      </c>
      <c r="H56" s="381">
        <v>0.37</v>
      </c>
      <c r="I56" s="378">
        <f t="shared" si="9"/>
        <v>0</v>
      </c>
      <c r="J56" s="378">
        <f>IFERROR((I56*VLOOKUP($B$10,'Base Costs'!$A$32:$B$37,2,FALSE)),0)</f>
        <v>0</v>
      </c>
      <c r="K56" s="379">
        <f t="shared" si="10"/>
        <v>0</v>
      </c>
      <c r="L56" s="819">
        <f>IFERROR((VLOOKUP(D56,'Base Costs'!$AU$65:$BA$72,7,FALSE)),0)</f>
        <v>0</v>
      </c>
      <c r="M56" s="820">
        <f t="shared" si="11"/>
        <v>0</v>
      </c>
      <c r="N56" s="469"/>
      <c r="O56" s="1149"/>
      <c r="P56" s="1149"/>
      <c r="Q56" s="815"/>
      <c r="R56" s="815"/>
      <c r="Y56" s="166"/>
    </row>
    <row r="57" spans="1:29" ht="15.75" customHeight="1" x14ac:dyDescent="0.2">
      <c r="A57" s="299">
        <v>266</v>
      </c>
      <c r="B57" s="269"/>
      <c r="C57" s="314"/>
      <c r="D57" s="269"/>
      <c r="E57" s="269"/>
      <c r="F57" s="380">
        <f>'Base Costs'!AX77</f>
        <v>0</v>
      </c>
      <c r="G57" s="378">
        <f t="shared" si="5"/>
        <v>0</v>
      </c>
      <c r="H57" s="381">
        <v>0.37</v>
      </c>
      <c r="I57" s="378">
        <f t="shared" si="3"/>
        <v>0</v>
      </c>
      <c r="J57" s="378">
        <f>I57*VLOOKUP($B$10,'Base Costs'!$A$32:$B$37,2,FALSE)</f>
        <v>0</v>
      </c>
      <c r="K57" s="379">
        <f t="shared" si="4"/>
        <v>0</v>
      </c>
      <c r="L57" s="469"/>
      <c r="M57" s="469"/>
      <c r="N57" s="469"/>
      <c r="O57" s="1149"/>
      <c r="P57" s="1149"/>
      <c r="Q57" s="815"/>
      <c r="R57" s="815"/>
      <c r="Y57" s="166"/>
    </row>
    <row r="58" spans="1:29" ht="15.75" customHeight="1" x14ac:dyDescent="0.2">
      <c r="A58" s="299">
        <v>266</v>
      </c>
      <c r="B58" s="269"/>
      <c r="C58" s="314"/>
      <c r="D58" s="269"/>
      <c r="E58" s="269"/>
      <c r="F58" s="380">
        <f>'Base Costs'!AX78</f>
        <v>0</v>
      </c>
      <c r="G58" s="378">
        <f t="shared" si="5"/>
        <v>0</v>
      </c>
      <c r="H58" s="381">
        <v>0.37</v>
      </c>
      <c r="I58" s="378">
        <f t="shared" si="3"/>
        <v>0</v>
      </c>
      <c r="J58" s="378">
        <f>I58*VLOOKUP($B$10,'Base Costs'!$A$32:$B$37,2,FALSE)</f>
        <v>0</v>
      </c>
      <c r="K58" s="379">
        <f t="shared" si="4"/>
        <v>0</v>
      </c>
      <c r="L58" s="469"/>
      <c r="M58" s="469"/>
      <c r="N58" s="469"/>
      <c r="O58" s="1149"/>
      <c r="P58" s="1149"/>
      <c r="Q58" s="815"/>
      <c r="R58" s="815"/>
      <c r="Y58" s="166"/>
    </row>
    <row r="59" spans="1:29" ht="15.75" customHeight="1" x14ac:dyDescent="0.2">
      <c r="A59" s="299">
        <v>266</v>
      </c>
      <c r="B59" s="269"/>
      <c r="C59" s="314"/>
      <c r="D59" s="269"/>
      <c r="E59" s="269"/>
      <c r="F59" s="380">
        <f>'Base Costs'!AX79</f>
        <v>0</v>
      </c>
      <c r="G59" s="378">
        <f t="shared" si="5"/>
        <v>0</v>
      </c>
      <c r="H59" s="381">
        <v>0.37</v>
      </c>
      <c r="I59" s="378">
        <f t="shared" si="3"/>
        <v>0</v>
      </c>
      <c r="J59" s="378">
        <f>I59*VLOOKUP($B$10,'Base Costs'!$A$32:$B$37,2,FALSE)</f>
        <v>0</v>
      </c>
      <c r="K59" s="379">
        <f t="shared" si="4"/>
        <v>0</v>
      </c>
      <c r="L59" s="469"/>
      <c r="M59" s="469"/>
      <c r="N59" s="469"/>
      <c r="O59" s="1149"/>
      <c r="P59" s="1149"/>
      <c r="Q59" s="815"/>
      <c r="R59" s="815"/>
      <c r="AC59" s="825"/>
    </row>
    <row r="60" spans="1:29" ht="15.75" customHeight="1" x14ac:dyDescent="0.2">
      <c r="A60" s="299">
        <v>266</v>
      </c>
      <c r="B60" s="269"/>
      <c r="C60" s="314"/>
      <c r="D60" s="269"/>
      <c r="E60" s="269"/>
      <c r="F60" s="380">
        <f>'Base Costs'!AX80</f>
        <v>0</v>
      </c>
      <c r="G60" s="378">
        <f t="shared" si="5"/>
        <v>0</v>
      </c>
      <c r="H60" s="381">
        <v>0.37</v>
      </c>
      <c r="I60" s="378">
        <f t="shared" si="3"/>
        <v>0</v>
      </c>
      <c r="J60" s="378">
        <f>I60*VLOOKUP($B$10,'Base Costs'!$A$32:$B$37,2,FALSE)</f>
        <v>0</v>
      </c>
      <c r="K60" s="379">
        <f t="shared" si="4"/>
        <v>0</v>
      </c>
      <c r="L60" s="469"/>
      <c r="M60" s="469"/>
      <c r="N60" s="469"/>
      <c r="O60" s="1149"/>
      <c r="P60" s="1149"/>
      <c r="Q60" s="815"/>
      <c r="R60" s="815"/>
    </row>
    <row r="61" spans="1:29" ht="15.75" customHeight="1" x14ac:dyDescent="0.2">
      <c r="A61" s="299">
        <v>266</v>
      </c>
      <c r="B61" s="269"/>
      <c r="C61" s="314"/>
      <c r="D61" s="269"/>
      <c r="E61" s="269"/>
      <c r="F61" s="380">
        <f>'Base Costs'!AX81</f>
        <v>0</v>
      </c>
      <c r="G61" s="378">
        <f t="shared" si="5"/>
        <v>0</v>
      </c>
      <c r="H61" s="381">
        <v>0.37</v>
      </c>
      <c r="I61" s="378">
        <f t="shared" si="3"/>
        <v>0</v>
      </c>
      <c r="J61" s="378">
        <f>I61*VLOOKUP($B$10,'Base Costs'!$A$32:$B$37,2,FALSE)</f>
        <v>0</v>
      </c>
      <c r="K61" s="379">
        <f t="shared" si="4"/>
        <v>0</v>
      </c>
      <c r="L61" s="469"/>
      <c r="M61" s="469"/>
      <c r="N61" s="469"/>
      <c r="O61" s="1149"/>
      <c r="P61" s="1149"/>
      <c r="Q61" s="815"/>
      <c r="R61" s="815"/>
    </row>
    <row r="62" spans="1:29" ht="15.75" customHeight="1" x14ac:dyDescent="0.2">
      <c r="A62" s="299">
        <v>266</v>
      </c>
      <c r="B62" s="269"/>
      <c r="C62" s="314"/>
      <c r="D62" s="269"/>
      <c r="E62" s="269"/>
      <c r="F62" s="380">
        <f>'Base Costs'!AX82</f>
        <v>0</v>
      </c>
      <c r="G62" s="378">
        <f t="shared" si="5"/>
        <v>0</v>
      </c>
      <c r="H62" s="381">
        <v>0.37</v>
      </c>
      <c r="I62" s="378">
        <f t="shared" si="3"/>
        <v>0</v>
      </c>
      <c r="J62" s="378">
        <f>I62*VLOOKUP($B$10,'Base Costs'!$A$32:$B$37,2,FALSE)</f>
        <v>0</v>
      </c>
      <c r="K62" s="379">
        <f t="shared" si="4"/>
        <v>0</v>
      </c>
      <c r="L62" s="469"/>
      <c r="M62" s="469"/>
      <c r="N62" s="469"/>
      <c r="O62" s="1149"/>
      <c r="P62" s="1149"/>
      <c r="Q62" s="815"/>
      <c r="R62" s="815"/>
    </row>
    <row r="63" spans="1:29" ht="15.75" customHeight="1" x14ac:dyDescent="0.2">
      <c r="A63" s="299">
        <v>266</v>
      </c>
      <c r="B63" s="269"/>
      <c r="C63" s="314"/>
      <c r="D63" s="269"/>
      <c r="E63" s="269"/>
      <c r="F63" s="380">
        <f>'Base Costs'!AX83</f>
        <v>0</v>
      </c>
      <c r="G63" s="378">
        <f t="shared" si="5"/>
        <v>0</v>
      </c>
      <c r="H63" s="381">
        <v>0.37</v>
      </c>
      <c r="I63" s="378">
        <f t="shared" si="3"/>
        <v>0</v>
      </c>
      <c r="J63" s="378">
        <f>I63*VLOOKUP($B$10,'Base Costs'!$A$32:$B$37,2,FALSE)</f>
        <v>0</v>
      </c>
      <c r="K63" s="379">
        <f t="shared" si="4"/>
        <v>0</v>
      </c>
      <c r="L63" s="469"/>
      <c r="M63" s="469"/>
      <c r="N63" s="469"/>
      <c r="O63" s="1149"/>
      <c r="P63" s="1149"/>
      <c r="Q63" s="815"/>
      <c r="R63" s="815"/>
    </row>
    <row r="64" spans="1:29" ht="15.75" customHeight="1" x14ac:dyDescent="0.2">
      <c r="A64" s="299">
        <v>266</v>
      </c>
      <c r="B64" s="269"/>
      <c r="C64" s="314"/>
      <c r="D64" s="269"/>
      <c r="E64" s="269"/>
      <c r="F64" s="380">
        <f>'Base Costs'!AX84</f>
        <v>0</v>
      </c>
      <c r="G64" s="378">
        <f t="shared" si="5"/>
        <v>0</v>
      </c>
      <c r="H64" s="381">
        <v>0.37</v>
      </c>
      <c r="I64" s="378">
        <f t="shared" si="3"/>
        <v>0</v>
      </c>
      <c r="J64" s="378">
        <f>I64*VLOOKUP($B$10,'Base Costs'!$A$32:$B$37,2,FALSE)</f>
        <v>0</v>
      </c>
      <c r="K64" s="379">
        <f t="shared" si="4"/>
        <v>0</v>
      </c>
      <c r="L64" s="469"/>
      <c r="M64" s="469"/>
      <c r="N64" s="469"/>
      <c r="O64" s="1149"/>
      <c r="P64" s="1149"/>
      <c r="Q64" s="815"/>
      <c r="R64" s="815"/>
    </row>
    <row r="65" spans="1:18" ht="15.75" customHeight="1" x14ac:dyDescent="0.2">
      <c r="A65" s="299">
        <v>266</v>
      </c>
      <c r="B65" s="269" t="s">
        <v>478</v>
      </c>
      <c r="C65" s="314"/>
      <c r="D65" s="269" t="s">
        <v>498</v>
      </c>
      <c r="E65" s="269"/>
      <c r="F65" s="380">
        <f>'Base Costs'!AX85</f>
        <v>90.619399999999999</v>
      </c>
      <c r="G65" s="378">
        <f t="shared" si="5"/>
        <v>0</v>
      </c>
      <c r="H65" s="381">
        <v>0.37</v>
      </c>
      <c r="I65" s="378">
        <f t="shared" si="3"/>
        <v>0</v>
      </c>
      <c r="J65" s="378">
        <f>I65*VLOOKUP($B$10,'Base Costs'!$A$32:$B$37,2,FALSE)</f>
        <v>0</v>
      </c>
      <c r="K65" s="379">
        <f t="shared" si="4"/>
        <v>0</v>
      </c>
      <c r="L65" s="469"/>
      <c r="M65" s="469"/>
      <c r="N65" s="469"/>
      <c r="O65" s="1149"/>
      <c r="P65" s="1149"/>
      <c r="Q65" s="815"/>
      <c r="R65" s="815"/>
    </row>
    <row r="66" spans="1:18" ht="15.75" customHeight="1" x14ac:dyDescent="0.2">
      <c r="A66" s="299">
        <v>266</v>
      </c>
      <c r="B66" s="269" t="s">
        <v>479</v>
      </c>
      <c r="C66" s="314"/>
      <c r="D66" s="269" t="s">
        <v>442</v>
      </c>
      <c r="E66" s="269"/>
      <c r="F66" s="380">
        <f>'Base Costs'!AX86</f>
        <v>40.396599999999999</v>
      </c>
      <c r="G66" s="378">
        <f t="shared" si="5"/>
        <v>0</v>
      </c>
      <c r="H66" s="381">
        <v>0.37</v>
      </c>
      <c r="I66" s="378">
        <f t="shared" si="3"/>
        <v>0</v>
      </c>
      <c r="J66" s="378">
        <f>I66*VLOOKUP($B$10,'Base Costs'!$A$32:$B$37,2,FALSE)</f>
        <v>0</v>
      </c>
      <c r="K66" s="379">
        <f t="shared" si="4"/>
        <v>0</v>
      </c>
      <c r="L66" s="469"/>
      <c r="M66" s="469"/>
      <c r="N66" s="469"/>
      <c r="O66" s="1149"/>
      <c r="P66" s="1149"/>
      <c r="Q66" s="815"/>
      <c r="R66" s="815"/>
    </row>
    <row r="67" spans="1:18" ht="15.75" customHeight="1" x14ac:dyDescent="0.2">
      <c r="A67" s="299">
        <v>266</v>
      </c>
      <c r="B67" s="269" t="s">
        <v>35</v>
      </c>
      <c r="C67" s="314"/>
      <c r="D67" s="269" t="s">
        <v>499</v>
      </c>
      <c r="E67" s="269"/>
      <c r="F67" s="380">
        <f>'Base Costs'!AX87</f>
        <v>836.34</v>
      </c>
      <c r="G67" s="378">
        <f t="shared" si="5"/>
        <v>0</v>
      </c>
      <c r="H67" s="381">
        <v>0.37</v>
      </c>
      <c r="I67" s="378">
        <f t="shared" si="3"/>
        <v>0</v>
      </c>
      <c r="J67" s="378">
        <f>I67*VLOOKUP($B$10,'Base Costs'!$A$32:$B$37,2,FALSE)</f>
        <v>0</v>
      </c>
      <c r="K67" s="379">
        <f t="shared" si="4"/>
        <v>0</v>
      </c>
      <c r="L67" s="469"/>
      <c r="M67" s="469"/>
      <c r="N67" s="469"/>
      <c r="O67" s="1149"/>
      <c r="P67" s="1149"/>
      <c r="Q67" s="815"/>
      <c r="R67" s="815"/>
    </row>
    <row r="68" spans="1:18" ht="15.75" customHeight="1" x14ac:dyDescent="0.2">
      <c r="A68" s="299">
        <v>266</v>
      </c>
      <c r="B68" s="269" t="s">
        <v>478</v>
      </c>
      <c r="C68" s="314"/>
      <c r="D68" s="269" t="s">
        <v>500</v>
      </c>
      <c r="E68" s="269"/>
      <c r="F68" s="380">
        <f>'Base Costs'!AX88</f>
        <v>146.30120000000002</v>
      </c>
      <c r="G68" s="378">
        <f t="shared" si="5"/>
        <v>0</v>
      </c>
      <c r="H68" s="381">
        <v>0.37</v>
      </c>
      <c r="I68" s="378">
        <f t="shared" si="3"/>
        <v>0</v>
      </c>
      <c r="J68" s="378">
        <f>I68*VLOOKUP($B$10,'Base Costs'!$A$32:$B$37,2,FALSE)</f>
        <v>0</v>
      </c>
      <c r="K68" s="379">
        <f t="shared" si="4"/>
        <v>0</v>
      </c>
      <c r="L68" s="469"/>
      <c r="M68" s="469"/>
      <c r="N68" s="469"/>
      <c r="O68" s="1149"/>
      <c r="P68" s="1149"/>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2">SUBTOTAL(9,I71:I82)</f>
        <v>0</v>
      </c>
      <c r="J70" s="465">
        <f>SUBTOTAL(9,J71:J82)</f>
        <v>0</v>
      </c>
      <c r="K70" s="61">
        <f t="shared" si="12"/>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3">G71/(1-H71)*(1+$C$10)</f>
        <v>0</v>
      </c>
      <c r="J71" s="378">
        <f>I71*VLOOKUP($B$10,'Base Costs'!$A$32:$B$37,2,FALSE)</f>
        <v>0</v>
      </c>
      <c r="K71" s="379">
        <f t="shared" ref="K71:K82" si="14">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15">C72*F72</f>
        <v>0</v>
      </c>
      <c r="H72" s="381">
        <v>0.37</v>
      </c>
      <c r="I72" s="378">
        <f t="shared" si="13"/>
        <v>0</v>
      </c>
      <c r="J72" s="378">
        <f>I72*VLOOKUP($B$10,'Base Costs'!$A$32:$B$37,2,FALSE)</f>
        <v>0</v>
      </c>
      <c r="K72" s="379">
        <f t="shared" si="14"/>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15"/>
        <v>0</v>
      </c>
      <c r="H73" s="381">
        <v>0.37</v>
      </c>
      <c r="I73" s="378">
        <f t="shared" si="13"/>
        <v>0</v>
      </c>
      <c r="J73" s="378">
        <f>I73*VLOOKUP($B$10,'Base Costs'!$A$32:$B$37,2,FALSE)</f>
        <v>0</v>
      </c>
      <c r="K73" s="379">
        <f t="shared" si="14"/>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15"/>
        <v>0</v>
      </c>
      <c r="H74" s="381">
        <v>0.37</v>
      </c>
      <c r="I74" s="378">
        <f t="shared" si="13"/>
        <v>0</v>
      </c>
      <c r="J74" s="378">
        <f>I74*VLOOKUP($B$10,'Base Costs'!$A$32:$B$37,2,FALSE)</f>
        <v>0</v>
      </c>
      <c r="K74" s="379">
        <f t="shared" si="14"/>
        <v>0</v>
      </c>
      <c r="L74" s="469"/>
      <c r="M74" s="469"/>
      <c r="N74" s="469"/>
      <c r="Q74" s="164"/>
      <c r="R74" s="164"/>
    </row>
    <row r="75" spans="1:18" ht="15.75" customHeight="1" x14ac:dyDescent="0.2">
      <c r="A75" s="299">
        <v>269</v>
      </c>
      <c r="B75" s="269" t="s">
        <v>20</v>
      </c>
      <c r="C75" s="314"/>
      <c r="D75" s="269" t="s">
        <v>505</v>
      </c>
      <c r="E75" s="269"/>
      <c r="F75" s="380">
        <f>'Base Costs'!AX94</f>
        <v>70.3416</v>
      </c>
      <c r="G75" s="378">
        <f t="shared" si="15"/>
        <v>0</v>
      </c>
      <c r="H75" s="381">
        <v>0.37</v>
      </c>
      <c r="I75" s="378">
        <f t="shared" si="13"/>
        <v>0</v>
      </c>
      <c r="J75" s="378">
        <f>I75*VLOOKUP($B$10,'Base Costs'!$A$32:$B$37,2,FALSE)</f>
        <v>0</v>
      </c>
      <c r="K75" s="379">
        <f t="shared" si="14"/>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15"/>
        <v>0</v>
      </c>
      <c r="H76" s="381">
        <v>0.37</v>
      </c>
      <c r="I76" s="378">
        <f t="shared" si="13"/>
        <v>0</v>
      </c>
      <c r="J76" s="378">
        <f>I76*VLOOKUP($B$10,'Base Costs'!$A$32:$B$37,2,FALSE)</f>
        <v>0</v>
      </c>
      <c r="K76" s="379">
        <f t="shared" si="14"/>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15"/>
        <v>0</v>
      </c>
      <c r="H77" s="381">
        <v>0.37</v>
      </c>
      <c r="I77" s="378">
        <f t="shared" si="13"/>
        <v>0</v>
      </c>
      <c r="J77" s="378">
        <f>I77*VLOOKUP($B$10,'Base Costs'!$A$32:$B$37,2,FALSE)</f>
        <v>0</v>
      </c>
      <c r="K77" s="379">
        <f t="shared" si="14"/>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15"/>
        <v>0</v>
      </c>
      <c r="H78" s="381">
        <v>0.37</v>
      </c>
      <c r="I78" s="378">
        <f t="shared" si="13"/>
        <v>0</v>
      </c>
      <c r="J78" s="378">
        <f>I78*VLOOKUP($B$10,'Base Costs'!$A$32:$B$37,2,FALSE)</f>
        <v>0</v>
      </c>
      <c r="K78" s="379">
        <f t="shared" si="14"/>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15"/>
        <v>0</v>
      </c>
      <c r="H79" s="381">
        <v>0.37</v>
      </c>
      <c r="I79" s="378">
        <f t="shared" si="13"/>
        <v>0</v>
      </c>
      <c r="J79" s="378">
        <f>I79*VLOOKUP($B$10,'Base Costs'!$A$32:$B$37,2,FALSE)</f>
        <v>0</v>
      </c>
      <c r="K79" s="379">
        <f t="shared" si="14"/>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15"/>
        <v>0</v>
      </c>
      <c r="H80" s="381">
        <v>0.37</v>
      </c>
      <c r="I80" s="378">
        <f t="shared" si="13"/>
        <v>0</v>
      </c>
      <c r="J80" s="378">
        <f>I80*VLOOKUP($B$10,'Base Costs'!$A$32:$B$37,2,FALSE)</f>
        <v>0</v>
      </c>
      <c r="K80" s="379">
        <f t="shared" si="14"/>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15"/>
        <v>0</v>
      </c>
      <c r="H81" s="381">
        <v>0.37</v>
      </c>
      <c r="I81" s="378">
        <f t="shared" si="13"/>
        <v>0</v>
      </c>
      <c r="J81" s="378">
        <f>I81*VLOOKUP($B$10,'Base Costs'!$A$32:$B$37,2,FALSE)</f>
        <v>0</v>
      </c>
      <c r="K81" s="379">
        <f t="shared" si="14"/>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15"/>
        <v>0</v>
      </c>
      <c r="H82" s="381">
        <v>0.37</v>
      </c>
      <c r="I82" s="378">
        <f t="shared" si="13"/>
        <v>0</v>
      </c>
      <c r="J82" s="378">
        <f>I82*VLOOKUP($B$10,'Base Costs'!$A$32:$B$37,2,FALSE)</f>
        <v>0</v>
      </c>
      <c r="K82" s="379">
        <f t="shared" si="14"/>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3" si="16">C85*F85</f>
        <v>0</v>
      </c>
      <c r="H85" s="381">
        <v>0.37</v>
      </c>
      <c r="I85" s="378">
        <f t="shared" ref="I85:I93" si="17">G85/(1-H85)*(1+$C$10)</f>
        <v>0</v>
      </c>
      <c r="J85" s="378">
        <f>I85*VLOOKUP($B$10,'Base Costs'!$A$32:$B$37,2,FALSE)</f>
        <v>0</v>
      </c>
      <c r="K85" s="379">
        <f t="shared" ref="K85:K93" si="18">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16"/>
        <v>0</v>
      </c>
      <c r="H86" s="381">
        <v>0.37</v>
      </c>
      <c r="I86" s="378">
        <f t="shared" si="17"/>
        <v>0</v>
      </c>
      <c r="J86" s="378">
        <f>I86*VLOOKUP($B$10,'Base Costs'!$A$32:$B$37,2,FALSE)</f>
        <v>0</v>
      </c>
      <c r="K86" s="379">
        <f t="shared" si="18"/>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16"/>
        <v>0</v>
      </c>
      <c r="H87" s="381">
        <v>0.37</v>
      </c>
      <c r="I87" s="378">
        <f t="shared" si="17"/>
        <v>0</v>
      </c>
      <c r="J87" s="378">
        <f>I87*VLOOKUP($B$10,'Base Costs'!$A$32:$B$37,2,FALSE)</f>
        <v>0</v>
      </c>
      <c r="K87" s="379">
        <f t="shared" si="18"/>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16"/>
        <v>0</v>
      </c>
      <c r="H88" s="381">
        <v>0.37</v>
      </c>
      <c r="I88" s="378">
        <f t="shared" si="17"/>
        <v>0</v>
      </c>
      <c r="J88" s="378">
        <f>I88*VLOOKUP($B$10,'Base Costs'!$A$32:$B$37,2,FALSE)</f>
        <v>0</v>
      </c>
      <c r="K88" s="379">
        <f t="shared" si="18"/>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16"/>
        <v>0</v>
      </c>
      <c r="H89" s="381">
        <v>0.37</v>
      </c>
      <c r="I89" s="378">
        <f t="shared" si="17"/>
        <v>0</v>
      </c>
      <c r="J89" s="378">
        <f>I89*VLOOKUP($B$10,'Base Costs'!$A$32:$B$37,2,FALSE)</f>
        <v>0</v>
      </c>
      <c r="K89" s="379">
        <f t="shared" si="18"/>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16"/>
        <v>0</v>
      </c>
      <c r="H90" s="381">
        <v>0.37</v>
      </c>
      <c r="I90" s="378">
        <f t="shared" si="17"/>
        <v>0</v>
      </c>
      <c r="J90" s="378">
        <f>I90*VLOOKUP($B$10,'Base Costs'!$A$32:$B$37,2,FALSE)</f>
        <v>0</v>
      </c>
      <c r="K90" s="379">
        <f t="shared" si="18"/>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16"/>
        <v>0</v>
      </c>
      <c r="H91" s="381">
        <v>0.37</v>
      </c>
      <c r="I91" s="378">
        <f t="shared" si="17"/>
        <v>0</v>
      </c>
      <c r="J91" s="378">
        <f>I91*VLOOKUP($B$10,'Base Costs'!$A$32:$B$37,2,FALSE)</f>
        <v>0</v>
      </c>
      <c r="K91" s="379">
        <f t="shared" si="18"/>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si="16"/>
        <v>0</v>
      </c>
      <c r="H92" s="381">
        <v>0.37</v>
      </c>
      <c r="I92" s="378">
        <f t="shared" si="17"/>
        <v>0</v>
      </c>
      <c r="J92" s="378">
        <f>I92*VLOOKUP($B$10,'Base Costs'!$A$32:$B$37,2,FALSE)</f>
        <v>0</v>
      </c>
      <c r="K92" s="379">
        <f t="shared" si="18"/>
        <v>0</v>
      </c>
      <c r="L92" s="469"/>
      <c r="M92" s="469"/>
      <c r="N92" s="469"/>
      <c r="Q92" s="164"/>
      <c r="R92" s="164"/>
    </row>
    <row r="93" spans="1:18" ht="15.75" customHeight="1" x14ac:dyDescent="0.2">
      <c r="A93" s="299">
        <v>269</v>
      </c>
      <c r="B93" s="269" t="s">
        <v>61</v>
      </c>
      <c r="C93" s="314"/>
      <c r="D93" s="269" t="s">
        <v>519</v>
      </c>
      <c r="E93" s="269"/>
      <c r="F93" s="380">
        <f>'Base Costs'!AX111</f>
        <v>93.28</v>
      </c>
      <c r="G93" s="378">
        <f t="shared" si="16"/>
        <v>0</v>
      </c>
      <c r="H93" s="381">
        <v>0.37</v>
      </c>
      <c r="I93" s="378">
        <f t="shared" si="17"/>
        <v>0</v>
      </c>
      <c r="J93" s="378">
        <f>I93*VLOOKUP($B$10,'Base Costs'!$A$32:$B$37,2,FALSE)</f>
        <v>0</v>
      </c>
      <c r="K93" s="379">
        <f t="shared" si="18"/>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19">C96*F96</f>
        <v>0</v>
      </c>
      <c r="H96" s="381">
        <v>0.33</v>
      </c>
      <c r="I96" s="378">
        <f t="shared" ref="I96:I102" si="20">G96/(1-H96)*(1+$C$10)</f>
        <v>0</v>
      </c>
      <c r="J96" s="378">
        <f>I96*VLOOKUP($B$10,'Base Costs'!$A$32:$B$37,2,FALSE)</f>
        <v>0</v>
      </c>
      <c r="K96" s="379">
        <f t="shared" ref="K96:K102" si="21">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19"/>
        <v>0</v>
      </c>
      <c r="H97" s="381">
        <v>0.33</v>
      </c>
      <c r="I97" s="378">
        <f t="shared" si="20"/>
        <v>0</v>
      </c>
      <c r="J97" s="378">
        <f>I97*VLOOKUP($B$10,'Base Costs'!$A$32:$B$37,2,FALSE)</f>
        <v>0</v>
      </c>
      <c r="K97" s="379">
        <f t="shared" si="21"/>
        <v>0</v>
      </c>
      <c r="L97" s="469"/>
      <c r="M97" s="469"/>
      <c r="N97" s="469"/>
      <c r="Q97" s="164"/>
      <c r="R97" s="164"/>
    </row>
    <row r="98" spans="1:18" ht="15.75" customHeight="1" x14ac:dyDescent="0.2">
      <c r="A98" s="299">
        <v>265</v>
      </c>
      <c r="B98" s="269" t="s">
        <v>11</v>
      </c>
      <c r="C98" s="314"/>
      <c r="D98" s="269" t="s">
        <v>53</v>
      </c>
      <c r="E98" s="269"/>
      <c r="F98" s="380">
        <v>610</v>
      </c>
      <c r="G98" s="378">
        <f t="shared" si="19"/>
        <v>0</v>
      </c>
      <c r="H98" s="381">
        <v>0.4</v>
      </c>
      <c r="I98" s="378">
        <f t="shared" si="20"/>
        <v>0</v>
      </c>
      <c r="J98" s="378">
        <f>I98*VLOOKUP($B$10,'Base Costs'!$A$32:$B$37,2,FALSE)</f>
        <v>0</v>
      </c>
      <c r="K98" s="379">
        <f t="shared" si="21"/>
        <v>0</v>
      </c>
      <c r="L98" s="469"/>
      <c r="M98" s="469"/>
      <c r="N98" s="469"/>
      <c r="Q98" s="164"/>
      <c r="R98" s="164"/>
    </row>
    <row r="99" spans="1:18" ht="15.75" customHeight="1" x14ac:dyDescent="0.2">
      <c r="A99" s="299">
        <v>267</v>
      </c>
      <c r="B99" s="269" t="s">
        <v>11</v>
      </c>
      <c r="C99" s="314"/>
      <c r="D99" s="1146" t="s">
        <v>1478</v>
      </c>
      <c r="E99" s="1147"/>
      <c r="F99" s="380">
        <v>610</v>
      </c>
      <c r="G99" s="378">
        <f t="shared" si="19"/>
        <v>0</v>
      </c>
      <c r="H99" s="381">
        <v>0.4</v>
      </c>
      <c r="I99" s="378">
        <f t="shared" si="20"/>
        <v>0</v>
      </c>
      <c r="J99" s="378">
        <f>I99*VLOOKUP($B$10,'Base Costs'!$A$32:$B$37,2,FALSE)</f>
        <v>0</v>
      </c>
      <c r="K99" s="379">
        <f t="shared" si="21"/>
        <v>0</v>
      </c>
      <c r="L99" s="469"/>
      <c r="M99" s="469"/>
      <c r="N99" s="469"/>
      <c r="Q99" s="164"/>
      <c r="R99" s="164"/>
    </row>
    <row r="100" spans="1:18" ht="15.75" customHeight="1" x14ac:dyDescent="0.2">
      <c r="A100" s="299">
        <v>253</v>
      </c>
      <c r="B100" s="269" t="s">
        <v>12</v>
      </c>
      <c r="C100" s="314"/>
      <c r="D100" s="269"/>
      <c r="E100" s="269"/>
      <c r="F100" s="380">
        <f>'Base Costs'!AX117</f>
        <v>0</v>
      </c>
      <c r="G100" s="378">
        <f t="shared" si="19"/>
        <v>0</v>
      </c>
      <c r="H100" s="381">
        <v>0.33</v>
      </c>
      <c r="I100" s="378">
        <f t="shared" si="20"/>
        <v>0</v>
      </c>
      <c r="J100" s="378">
        <f>I100*VLOOKUP($B$10,'Base Costs'!$A$32:$B$37,2,FALSE)</f>
        <v>0</v>
      </c>
      <c r="K100" s="379">
        <f t="shared" si="21"/>
        <v>0</v>
      </c>
      <c r="L100" s="469"/>
      <c r="M100" s="469"/>
      <c r="N100" s="469"/>
      <c r="Q100" s="164"/>
      <c r="R100" s="164"/>
    </row>
    <row r="101" spans="1:18" ht="15.75" customHeight="1" x14ac:dyDescent="0.2">
      <c r="A101" s="299">
        <v>102</v>
      </c>
      <c r="B101" s="269" t="s">
        <v>13</v>
      </c>
      <c r="C101" s="314"/>
      <c r="D101" s="269"/>
      <c r="E101" s="269"/>
      <c r="F101" s="380">
        <f>'Base Costs'!AX118</f>
        <v>0</v>
      </c>
      <c r="G101" s="378">
        <f t="shared" si="19"/>
        <v>0</v>
      </c>
      <c r="H101" s="381">
        <v>0.33</v>
      </c>
      <c r="I101" s="378">
        <f t="shared" si="20"/>
        <v>0</v>
      </c>
      <c r="J101" s="378">
        <f>I101*VLOOKUP($B$10,'Base Costs'!$A$32:$B$37,2,FALSE)</f>
        <v>0</v>
      </c>
      <c r="K101" s="379">
        <f t="shared" si="21"/>
        <v>0</v>
      </c>
      <c r="L101" s="469"/>
      <c r="M101" s="469"/>
      <c r="N101" s="469"/>
      <c r="Q101" s="164"/>
      <c r="R101" s="164"/>
    </row>
    <row r="102" spans="1:18" ht="15.75" customHeight="1" x14ac:dyDescent="0.2">
      <c r="A102" s="299">
        <v>280</v>
      </c>
      <c r="B102" s="269" t="s">
        <v>249</v>
      </c>
      <c r="C102" s="314"/>
      <c r="D102" s="269" t="s">
        <v>118</v>
      </c>
      <c r="E102" s="315"/>
      <c r="F102" s="380">
        <v>604</v>
      </c>
      <c r="G102" s="378">
        <f t="shared" si="19"/>
        <v>0</v>
      </c>
      <c r="H102" s="381">
        <v>0.33</v>
      </c>
      <c r="I102" s="378">
        <f t="shared" si="20"/>
        <v>0</v>
      </c>
      <c r="J102" s="378">
        <f>I102*VLOOKUP($B$10,'Base Costs'!$A$32:$B$37,2,FALSE)</f>
        <v>0</v>
      </c>
      <c r="K102" s="379">
        <f t="shared" si="21"/>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2485.9523809523807</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2485.9523809523807</v>
      </c>
      <c r="D108" s="202"/>
      <c r="E108" s="204"/>
      <c r="F108" s="202"/>
      <c r="G108" s="209"/>
      <c r="H108" s="206"/>
      <c r="I108" s="203"/>
      <c r="J108" s="203"/>
      <c r="K108" s="209"/>
    </row>
    <row r="109" spans="1:18" ht="15.75" customHeight="1" thickBot="1" x14ac:dyDescent="0.25">
      <c r="A109" s="299">
        <v>280</v>
      </c>
      <c r="B109" s="580" t="s">
        <v>666</v>
      </c>
      <c r="C109" s="916">
        <f>C108+J102</f>
        <v>2485.9523809523807</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O64:P64"/>
    <mergeCell ref="O65:P65"/>
    <mergeCell ref="O66:P66"/>
    <mergeCell ref="O67:P67"/>
    <mergeCell ref="O68:P68"/>
    <mergeCell ref="D99:E99"/>
    <mergeCell ref="O58:P58"/>
    <mergeCell ref="O59:P59"/>
    <mergeCell ref="O60:P60"/>
    <mergeCell ref="O61:P61"/>
    <mergeCell ref="O62:P62"/>
    <mergeCell ref="O63:P63"/>
    <mergeCell ref="O41:P41"/>
    <mergeCell ref="Y41:AB41"/>
    <mergeCell ref="O49:P49"/>
    <mergeCell ref="Y49:AB49"/>
    <mergeCell ref="O56:P56"/>
    <mergeCell ref="O57:P57"/>
    <mergeCell ref="O39:P39"/>
    <mergeCell ref="S39:V39"/>
    <mergeCell ref="Y39:AB39"/>
    <mergeCell ref="O40:P40"/>
    <mergeCell ref="S40:V40"/>
    <mergeCell ref="Y40:AB40"/>
    <mergeCell ref="O36:P36"/>
    <mergeCell ref="S36:V36"/>
    <mergeCell ref="Y36:AB36"/>
    <mergeCell ref="O37:P37"/>
    <mergeCell ref="S37:V37"/>
    <mergeCell ref="Y37:AB37"/>
    <mergeCell ref="O34:P34"/>
    <mergeCell ref="S34:V34"/>
    <mergeCell ref="Y34:AB34"/>
    <mergeCell ref="O35:P35"/>
    <mergeCell ref="S35:V35"/>
    <mergeCell ref="Y35:AB35"/>
    <mergeCell ref="C8:D8"/>
    <mergeCell ref="F8:H8"/>
    <mergeCell ref="K8:L8"/>
    <mergeCell ref="N8:P8"/>
    <mergeCell ref="E10:F10"/>
    <mergeCell ref="Q13:R13"/>
    <mergeCell ref="B1:D1"/>
    <mergeCell ref="C4:D4"/>
    <mergeCell ref="F4:H4"/>
    <mergeCell ref="I4:K4"/>
    <mergeCell ref="C6:D6"/>
    <mergeCell ref="F6:H6"/>
    <mergeCell ref="I6:K6"/>
  </mergeCells>
  <conditionalFormatting sqref="B10">
    <cfRule type="containsText" dxfId="9565" priority="33" operator="containsText" text="SELECT">
      <formula>NOT(ISERROR(SEARCH("SELECT",B10)))</formula>
    </cfRule>
    <cfRule type="expression" dxfId="9564" priority="34">
      <formula>B10="CURRENCY"</formula>
    </cfRule>
  </conditionalFormatting>
  <conditionalFormatting sqref="B14:B40">
    <cfRule type="expression" dxfId="9563" priority="12">
      <formula>$C14&gt;0</formula>
    </cfRule>
  </conditionalFormatting>
  <conditionalFormatting sqref="B35 B41:B56">
    <cfRule type="expression" dxfId="9562" priority="42">
      <formula>$D35&gt;0</formula>
    </cfRule>
  </conditionalFormatting>
  <conditionalFormatting sqref="B57:B68">
    <cfRule type="expression" dxfId="9561" priority="17">
      <formula>$C57&gt;0</formula>
    </cfRule>
  </conditionalFormatting>
  <conditionalFormatting sqref="B71:B82">
    <cfRule type="expression" dxfId="9560" priority="16">
      <formula>$C71&gt;0</formula>
    </cfRule>
  </conditionalFormatting>
  <conditionalFormatting sqref="B85:B93">
    <cfRule type="expression" dxfId="9559" priority="15">
      <formula>$C85&gt;0</formula>
    </cfRule>
  </conditionalFormatting>
  <conditionalFormatting sqref="B96:B102">
    <cfRule type="expression" dxfId="9558" priority="14">
      <formula>$C96&gt;0</formula>
    </cfRule>
  </conditionalFormatting>
  <conditionalFormatting sqref="C14:C32 C71:C82 C85:C93">
    <cfRule type="cellIs" dxfId="9557" priority="35" operator="equal">
      <formula>0</formula>
    </cfRule>
  </conditionalFormatting>
  <conditionalFormatting sqref="C35:C68">
    <cfRule type="cellIs" dxfId="9556" priority="11" operator="equal">
      <formula>0</formula>
    </cfRule>
  </conditionalFormatting>
  <conditionalFormatting sqref="C96:C102">
    <cfRule type="cellIs" dxfId="9555" priority="13" operator="equal">
      <formula>0</formula>
    </cfRule>
  </conditionalFormatting>
  <conditionalFormatting sqref="C10:D10">
    <cfRule type="cellIs" dxfId="9554" priority="31" operator="lessThan">
      <formula>0</formula>
    </cfRule>
    <cfRule type="cellIs" dxfId="9553" priority="32" operator="greaterThan">
      <formula>0</formula>
    </cfRule>
  </conditionalFormatting>
  <conditionalFormatting sqref="F14:F68">
    <cfRule type="expression" dxfId="9552" priority="1">
      <formula>C14&gt;0</formula>
    </cfRule>
  </conditionalFormatting>
  <conditionalFormatting sqref="F35:F64">
    <cfRule type="expression" dxfId="9551" priority="2">
      <formula>D35&gt;0</formula>
    </cfRule>
  </conditionalFormatting>
  <conditionalFormatting sqref="F71:F82">
    <cfRule type="expression" dxfId="9550" priority="30">
      <formula>C71&gt;0</formula>
    </cfRule>
  </conditionalFormatting>
  <conditionalFormatting sqref="F85:F93">
    <cfRule type="expression" dxfId="9549" priority="28">
      <formula>C85&gt;0</formula>
    </cfRule>
  </conditionalFormatting>
  <conditionalFormatting sqref="F96:F102">
    <cfRule type="expression" dxfId="9548" priority="29">
      <formula>C96&gt;0</formula>
    </cfRule>
  </conditionalFormatting>
  <conditionalFormatting sqref="G14:G32">
    <cfRule type="cellIs" dxfId="9547" priority="27" operator="greaterThan">
      <formula>0</formula>
    </cfRule>
  </conditionalFormatting>
  <conditionalFormatting sqref="G35:G68">
    <cfRule type="cellIs" dxfId="9546" priority="3" operator="greaterThan">
      <formula>0</formula>
    </cfRule>
  </conditionalFormatting>
  <conditionalFormatting sqref="G71:G82 G85:G93 G96:G102">
    <cfRule type="cellIs" dxfId="9545" priority="26" operator="greaterThan">
      <formula>0</formula>
    </cfRule>
  </conditionalFormatting>
  <conditionalFormatting sqref="H14:H32">
    <cfRule type="expression" dxfId="9544" priority="40">
      <formula>$C$10&gt;0</formula>
    </cfRule>
    <cfRule type="expression" dxfId="9543" priority="41">
      <formula>$C$10&lt;0</formula>
    </cfRule>
  </conditionalFormatting>
  <conditionalFormatting sqref="H35:H68">
    <cfRule type="expression" dxfId="9542" priority="9">
      <formula>$C$10&gt;0</formula>
    </cfRule>
  </conditionalFormatting>
  <conditionalFormatting sqref="H35:H82">
    <cfRule type="expression" dxfId="9541" priority="23">
      <formula>$C$10&lt;0</formula>
    </cfRule>
  </conditionalFormatting>
  <conditionalFormatting sqref="H40:H68">
    <cfRule type="expression" dxfId="9540" priority="10">
      <formula>$C$10&lt;0</formula>
    </cfRule>
  </conditionalFormatting>
  <conditionalFormatting sqref="H71:H82">
    <cfRule type="expression" dxfId="9539" priority="22">
      <formula>$C$10&gt;0</formula>
    </cfRule>
  </conditionalFormatting>
  <conditionalFormatting sqref="H85:H93">
    <cfRule type="expression" dxfId="9538" priority="20">
      <formula>$C$10&gt;0</formula>
    </cfRule>
    <cfRule type="expression" dxfId="9537" priority="21">
      <formula>$C$10&lt;0</formula>
    </cfRule>
  </conditionalFormatting>
  <conditionalFormatting sqref="H96:H102">
    <cfRule type="expression" dxfId="9536" priority="18">
      <formula>$C$10&gt;0</formula>
    </cfRule>
    <cfRule type="expression" dxfId="9535" priority="19">
      <formula>$C$10&lt;0</formula>
    </cfRule>
  </conditionalFormatting>
  <conditionalFormatting sqref="J1:J7 J9:J33">
    <cfRule type="expression" dxfId="9534" priority="36">
      <formula>$B$10="EURO"</formula>
    </cfRule>
    <cfRule type="expression" dxfId="9533" priority="37">
      <formula>$B$10="USD"</formula>
    </cfRule>
    <cfRule type="expression" dxfId="9532" priority="38">
      <formula>$B$10="PLN"</formula>
    </cfRule>
    <cfRule type="expression" dxfId="9531" priority="39">
      <formula>$B$10="CZK"</formula>
    </cfRule>
  </conditionalFormatting>
  <conditionalFormatting sqref="J35:J69">
    <cfRule type="expression" dxfId="9530" priority="5">
      <formula>$B$10="EURO"</formula>
    </cfRule>
  </conditionalFormatting>
  <conditionalFormatting sqref="J35:J1048576">
    <cfRule type="expression" dxfId="9529" priority="6">
      <formula>$B$10="USD"</formula>
    </cfRule>
    <cfRule type="expression" dxfId="9528" priority="7">
      <formula>$B$10="PLN"</formula>
    </cfRule>
    <cfRule type="expression" dxfId="9527" priority="8">
      <formula>$B$10="CZK"</formula>
    </cfRule>
  </conditionalFormatting>
  <conditionalFormatting sqref="J71:J83 J85:J94 J96:J1048576">
    <cfRule type="expression" dxfId="9526" priority="25">
      <formula>$B$10="EURO"</formula>
    </cfRule>
  </conditionalFormatting>
  <conditionalFormatting sqref="J14:K68">
    <cfRule type="cellIs" dxfId="9525" priority="4" operator="greaterThan">
      <formula>0</formula>
    </cfRule>
  </conditionalFormatting>
  <conditionalFormatting sqref="J71:K82 J85:K93 J96:K102">
    <cfRule type="cellIs" dxfId="9524" priority="24"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22D0FA1F-D304-B44D-B25C-0D303EC71A8D}">
          <x14:formula1>
            <xm:f>'Base Costs'!$AU$55:$AU$61</xm:f>
          </x14:formula1>
          <xm:sqref>D40:D47</xm:sqref>
        </x14:dataValidation>
        <x14:dataValidation type="list" allowBlank="1" showInputMessage="1" showErrorMessage="1" xr:uid="{30FE3471-73E8-2C49-A917-7DAC0779DDE2}">
          <x14:formula1>
            <xm:f>'Base Costs'!$AU$64:$AU$72</xm:f>
          </x14:formula1>
          <xm:sqref>D49:D56</xm:sqref>
        </x14:dataValidation>
        <x14:dataValidation type="list" allowBlank="1" showInputMessage="1" showErrorMessage="1" xr:uid="{2A898E25-8BEF-9B45-96BB-A2D612E1B609}">
          <x14:formula1>
            <xm:f>'Base Costs'!$AU$26:$AU$48</xm:f>
          </x14:formula1>
          <xm:sqref>D35</xm:sqref>
        </x14:dataValidation>
        <x14:dataValidation type="list" allowBlank="1" showInputMessage="1" showErrorMessage="1" xr:uid="{17AF471A-CF53-5D44-ADDD-5A008D061F06}">
          <x14:formula1>
            <xm:f>'Base Costs'!$A$32:$A$37</xm:f>
          </x14:formula1>
          <xm:sqref>B10</xm:sqref>
        </x14:dataValidation>
        <x14:dataValidation type="list" allowBlank="1" showInputMessage="1" showErrorMessage="1" xr:uid="{8B0087DE-2B44-BD4B-AC03-10AA0698D0D6}">
          <x14:formula1>
            <xm:f>'Base Costs'!$E$4:$E$213</xm:f>
          </x14:formula1>
          <xm:sqref>D97</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57A57-2885-7446-8625-15593D1B9501}">
  <sheetPr>
    <tabColor theme="8" tint="0.79998168889431442"/>
    <pageSetUpPr fitToPage="1"/>
  </sheetPr>
  <dimension ref="A1:AD161"/>
  <sheetViews>
    <sheetView showGridLines="0" zoomScale="80" zoomScaleNormal="80" zoomScaleSheetLayoutView="50" workbookViewId="0">
      <selection activeCell="R29" sqref="R29"/>
    </sheetView>
  </sheetViews>
  <sheetFormatPr baseColWidth="10" defaultColWidth="8.83203125" defaultRowHeight="15" customHeight="1" x14ac:dyDescent="0.15"/>
  <cols>
    <col min="1" max="2" width="2" style="215" customWidth="1"/>
    <col min="3" max="3" width="42.83203125" style="217" bestFit="1"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1505</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1498</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1499</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1488</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1491</v>
      </c>
      <c r="D25" s="1080" t="s">
        <v>1497</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1489</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1493</v>
      </c>
      <c r="U27" s="229"/>
      <c r="AA27" s="217"/>
    </row>
    <row r="28" spans="1:27" ht="15" customHeight="1" x14ac:dyDescent="0.2">
      <c r="C28" s="869" t="s">
        <v>1490</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1492</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f>IF(K37=0,"-",O37/M37)</f>
        <v>0.39433325837643363</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9523" priority="35" operator="containsText" text="SELECT">
      <formula>NOT(ISERROR(SEARCH("SELECT",C9)))</formula>
    </cfRule>
    <cfRule type="expression" dxfId="9522" priority="36">
      <formula>C9="CURRENCY"</formula>
    </cfRule>
  </conditionalFormatting>
  <conditionalFormatting sqref="C14:C34">
    <cfRule type="expression" dxfId="9521" priority="1">
      <formula>$J14&gt;0</formula>
    </cfRule>
  </conditionalFormatting>
  <conditionalFormatting sqref="C38:C48">
    <cfRule type="expression" dxfId="9520" priority="12">
      <formula>$D38&gt;0</formula>
    </cfRule>
  </conditionalFormatting>
  <conditionalFormatting sqref="D38:D39 D41:D48">
    <cfRule type="cellIs" dxfId="9519" priority="37" operator="lessThan">
      <formula>1</formula>
    </cfRule>
  </conditionalFormatting>
  <conditionalFormatting sqref="D40">
    <cfRule type="cellIs" dxfId="9518" priority="32" operator="lessThan">
      <formula>1</formula>
    </cfRule>
  </conditionalFormatting>
  <conditionalFormatting sqref="D9:E9">
    <cfRule type="cellIs" dxfId="9517" priority="33" operator="lessThan">
      <formula>0</formula>
    </cfRule>
    <cfRule type="cellIs" dxfId="9516" priority="34" operator="greaterThan">
      <formula>0</formula>
    </cfRule>
  </conditionalFormatting>
  <conditionalFormatting sqref="F12">
    <cfRule type="expression" dxfId="9515" priority="42">
      <formula>AND((ISNUMBER(SEARCH("I-MUAP",$E$14))),F12&lt;2500)</formula>
    </cfRule>
    <cfRule type="expression" dxfId="9514" priority="43">
      <formula>ISNUMBER(SEARCH("I-MUAP",$E$14))</formula>
    </cfRule>
    <cfRule type="cellIs" dxfId="9513" priority="44" operator="greaterThan">
      <formula>2000</formula>
    </cfRule>
  </conditionalFormatting>
  <conditionalFormatting sqref="F12:G12">
    <cfRule type="cellIs" dxfId="9512" priority="38" operator="lessThan">
      <formula>1000</formula>
    </cfRule>
  </conditionalFormatting>
  <conditionalFormatting sqref="F14:G28">
    <cfRule type="cellIs" dxfId="9511" priority="5" operator="lessThan">
      <formula>1000</formula>
    </cfRule>
  </conditionalFormatting>
  <conditionalFormatting sqref="F31:G32">
    <cfRule type="cellIs" dxfId="9510" priority="2" operator="lessThan">
      <formula>1000</formula>
    </cfRule>
  </conditionalFormatting>
  <conditionalFormatting sqref="G12">
    <cfRule type="cellIs" dxfId="9509" priority="39" operator="greaterThan">
      <formula>3001</formula>
    </cfRule>
  </conditionalFormatting>
  <conditionalFormatting sqref="H11">
    <cfRule type="expression" dxfId="9508" priority="41">
      <formula>((G14-50)/I14)&lt;950</formula>
    </cfRule>
  </conditionalFormatting>
  <conditionalFormatting sqref="H12">
    <cfRule type="expression" dxfId="9507" priority="40">
      <formula>((G14-50)/I14)&lt;950</formula>
    </cfRule>
  </conditionalFormatting>
  <conditionalFormatting sqref="H14:H28">
    <cfRule type="cellIs" dxfId="9506" priority="6" operator="lessThan">
      <formula>400</formula>
    </cfRule>
  </conditionalFormatting>
  <conditionalFormatting sqref="H31:H32">
    <cfRule type="cellIs" dxfId="9505" priority="3" operator="lessThan">
      <formula>400</formula>
    </cfRule>
  </conditionalFormatting>
  <conditionalFormatting sqref="H35">
    <cfRule type="expression" dxfId="9504" priority="49">
      <formula>((#REF!-50)/#REF!)&lt;950</formula>
    </cfRule>
  </conditionalFormatting>
  <conditionalFormatting sqref="J14:J32">
    <cfRule type="cellIs" dxfId="9503" priority="17" operator="greaterThan">
      <formula>0</formula>
    </cfRule>
  </conditionalFormatting>
  <conditionalFormatting sqref="J38:J48">
    <cfRule type="expression" dxfId="9502" priority="25">
      <formula>D38&gt;0</formula>
    </cfRule>
  </conditionalFormatting>
  <conditionalFormatting sqref="J50:J56">
    <cfRule type="expression" dxfId="9501" priority="30">
      <formula>#REF!="EURO"</formula>
    </cfRule>
  </conditionalFormatting>
  <conditionalFormatting sqref="K14:K34">
    <cfRule type="cellIs" dxfId="9500" priority="4" operator="greaterThan">
      <formula>0</formula>
    </cfRule>
  </conditionalFormatting>
  <conditionalFormatting sqref="K38:K48">
    <cfRule type="cellIs" dxfId="9499" priority="31" operator="greaterThan">
      <formula>0</formula>
    </cfRule>
  </conditionalFormatting>
  <conditionalFormatting sqref="K50:K56">
    <cfRule type="expression" dxfId="9498" priority="26">
      <formula>$C$9="PLN"</formula>
    </cfRule>
    <cfRule type="expression" dxfId="9497" priority="27">
      <formula>$C$9="CZK"</formula>
    </cfRule>
    <cfRule type="expression" dxfId="9496" priority="28">
      <formula>$C$9="USD"</formula>
    </cfRule>
    <cfRule type="expression" dxfId="9495" priority="29">
      <formula>$C$9="EURO"</formula>
    </cfRule>
  </conditionalFormatting>
  <conditionalFormatting sqref="L14:L34">
    <cfRule type="expression" dxfId="9494" priority="15">
      <formula>$D$9&lt;0</formula>
    </cfRule>
    <cfRule type="expression" dxfId="9493" priority="16">
      <formula>$D$9&gt;0</formula>
    </cfRule>
  </conditionalFormatting>
  <conditionalFormatting sqref="L38:L48">
    <cfRule type="expression" dxfId="9492" priority="13">
      <formula>$D$9&lt;0</formula>
    </cfRule>
    <cfRule type="expression" dxfId="9491" priority="14">
      <formula>$D$9&gt;0</formula>
    </cfRule>
  </conditionalFormatting>
  <conditionalFormatting sqref="N9 N12">
    <cfRule type="expression" dxfId="9490" priority="45">
      <formula>$C$9="PLN"</formula>
    </cfRule>
    <cfRule type="expression" dxfId="9489" priority="46">
      <formula>$C$9="CZK"</formula>
    </cfRule>
    <cfRule type="expression" dxfId="9488" priority="47">
      <formula>$C$9="USD"</formula>
    </cfRule>
    <cfRule type="expression" dxfId="9487" priority="48">
      <formula>$C$9="EURO"</formula>
    </cfRule>
  </conditionalFormatting>
  <conditionalFormatting sqref="N14:N34">
    <cfRule type="expression" dxfId="9486" priority="19">
      <formula>$C$9="PLN"</formula>
    </cfRule>
    <cfRule type="expression" dxfId="9485" priority="20">
      <formula>$C$9="CZK"</formula>
    </cfRule>
    <cfRule type="expression" dxfId="9484" priority="21">
      <formula>$C$9="USD"</formula>
    </cfRule>
    <cfRule type="expression" dxfId="9483" priority="22">
      <formula>$C$9="EURO"</formula>
    </cfRule>
  </conditionalFormatting>
  <conditionalFormatting sqref="N18:N22">
    <cfRule type="cellIs" dxfId="9482" priority="23" operator="greaterThan">
      <formula>0</formula>
    </cfRule>
  </conditionalFormatting>
  <conditionalFormatting sqref="N37:N48">
    <cfRule type="expression" dxfId="9481" priority="8">
      <formula>$C$9="PLN"</formula>
    </cfRule>
    <cfRule type="expression" dxfId="9480" priority="9">
      <formula>$C$9="CZK"</formula>
    </cfRule>
    <cfRule type="expression" dxfId="9479" priority="10">
      <formula>$C$9="USD"</formula>
    </cfRule>
    <cfRule type="expression" dxfId="9478" priority="11">
      <formula>$C$9="EURO"</formula>
    </cfRule>
  </conditionalFormatting>
  <conditionalFormatting sqref="N14:O34">
    <cfRule type="cellIs" dxfId="9477" priority="18" operator="greaterThan">
      <formula>0</formula>
    </cfRule>
  </conditionalFormatting>
  <conditionalFormatting sqref="N38:O48">
    <cfRule type="cellIs" dxfId="9476" priority="7" operator="greaterThan">
      <formula>0</formula>
    </cfRule>
  </conditionalFormatting>
  <conditionalFormatting sqref="O14:O22">
    <cfRule type="cellIs" dxfId="9475" priority="24" operator="greaterThan">
      <formula>0</formula>
    </cfRule>
  </conditionalFormatting>
  <dataValidations count="3">
    <dataValidation type="list" allowBlank="1" showInputMessage="1" showErrorMessage="1" sqref="E14:E34" xr:uid="{45DCDCD8-D712-4D46-AA2E-9907FAD70F49}">
      <formula1>"0,1,2,3,4,5,6,7,8,9,10,11,12,13,14,15,16,17,18,19,20"</formula1>
    </dataValidation>
    <dataValidation operator="greaterThan" allowBlank="1" showInputMessage="1" showErrorMessage="1" sqref="F14:F28 F31:F32" xr:uid="{62DA5715-7911-AD41-B199-7A33FDA6621E}"/>
    <dataValidation type="list" allowBlank="1" showInputMessage="1" showErrorMessage="1" sqref="H36" xr:uid="{4D8C6FFF-261E-914D-8969-99237BB8D514}">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1A74F3B-6DDF-BC4D-9F0C-A732E676EF0C}">
          <x14:formula1>
            <xm:f>'Base Costs'!$A$32:$A$37</xm:f>
          </x14:formula1>
          <xm:sqref>C9</xm:sqref>
        </x14:dataValidation>
        <x14:dataValidation type="list" allowBlank="1" showInputMessage="1" showErrorMessage="1" xr:uid="{879CEDC4-1BC0-3A49-B37C-71E8A2CC4421}">
          <x14:formula1>
            <xm:f>'Base Costs'!$E$4:$E$213</xm:f>
          </x14:formula1>
          <xm:sqref>E38</xm:sqref>
        </x14:dataValidation>
        <x14:dataValidation type="list" allowBlank="1" showInputMessage="1" showErrorMessage="1" xr:uid="{B82FF1E1-8616-0F47-A2EE-5D6356A95F4B}">
          <x14:formula1>
            <xm:f>'Base Costs'!$A$4:$A$16</xm:f>
          </x14:formula1>
          <xm:sqref>E39:E40</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1931A-8090-8B4B-A0EE-7293B0EB5F77}">
  <sheetPr>
    <tabColor theme="8" tint="0.79998168889431442"/>
    <pageSetUpPr fitToPage="1"/>
  </sheetPr>
  <dimension ref="A1:AD160"/>
  <sheetViews>
    <sheetView showGridLines="0" topLeftCell="B4" zoomScale="90" zoomScaleNormal="90" zoomScaleSheetLayoutView="50" workbookViewId="0">
      <selection activeCell="R29" sqref="R29"/>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1509</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IF(K36=0,"-",O36/M36)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1" t="s">
        <v>1442</v>
      </c>
      <c r="G38" s="1121"/>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1393</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1" t="s">
        <v>1443</v>
      </c>
      <c r="G42" s="1121"/>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4" t="s">
        <v>1494</v>
      </c>
      <c r="F46" s="1185"/>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9474" priority="35" operator="containsText" text="SELECT">
      <formula>NOT(ISERROR(SEARCH("SELECT",C9)))</formula>
    </cfRule>
    <cfRule type="expression" dxfId="9473" priority="36">
      <formula>C9="CURRENCY"</formula>
    </cfRule>
  </conditionalFormatting>
  <conditionalFormatting sqref="C14:C33">
    <cfRule type="expression" dxfId="9472" priority="1">
      <formula>$J14&gt;0</formula>
    </cfRule>
  </conditionalFormatting>
  <conditionalFormatting sqref="C37:C47">
    <cfRule type="expression" dxfId="9471" priority="12">
      <formula>$D37&gt;0</formula>
    </cfRule>
  </conditionalFormatting>
  <conditionalFormatting sqref="D37:D38 D40:D47">
    <cfRule type="cellIs" dxfId="9470" priority="37" operator="lessThan">
      <formula>1</formula>
    </cfRule>
  </conditionalFormatting>
  <conditionalFormatting sqref="D39">
    <cfRule type="cellIs" dxfId="9469" priority="32" operator="lessThan">
      <formula>1</formula>
    </cfRule>
  </conditionalFormatting>
  <conditionalFormatting sqref="D9:E9">
    <cfRule type="cellIs" dxfId="9468" priority="33" operator="lessThan">
      <formula>0</formula>
    </cfRule>
    <cfRule type="cellIs" dxfId="9467" priority="34" operator="greaterThan">
      <formula>0</formula>
    </cfRule>
  </conditionalFormatting>
  <conditionalFormatting sqref="F12">
    <cfRule type="expression" dxfId="9466" priority="42">
      <formula>AND((ISNUMBER(SEARCH("I-MUAP",$E$14))),F12&lt;2500)</formula>
    </cfRule>
    <cfRule type="expression" dxfId="9465" priority="43">
      <formula>ISNUMBER(SEARCH("I-MUAP",$E$14))</formula>
    </cfRule>
    <cfRule type="cellIs" dxfId="9464" priority="44" operator="greaterThan">
      <formula>2000</formula>
    </cfRule>
  </conditionalFormatting>
  <conditionalFormatting sqref="F12:G12">
    <cfRule type="cellIs" dxfId="9463" priority="38" operator="lessThan">
      <formula>1000</formula>
    </cfRule>
  </conditionalFormatting>
  <conditionalFormatting sqref="F14:G26">
    <cfRule type="cellIs" dxfId="9462" priority="5" operator="lessThan">
      <formula>1000</formula>
    </cfRule>
  </conditionalFormatting>
  <conditionalFormatting sqref="F30:G31">
    <cfRule type="cellIs" dxfId="9461" priority="2" operator="lessThan">
      <formula>1000</formula>
    </cfRule>
  </conditionalFormatting>
  <conditionalFormatting sqref="G12">
    <cfRule type="cellIs" dxfId="9460" priority="39" operator="greaterThan">
      <formula>3001</formula>
    </cfRule>
  </conditionalFormatting>
  <conditionalFormatting sqref="H11">
    <cfRule type="expression" dxfId="9459" priority="41">
      <formula>((G14-50)/I14)&lt;950</formula>
    </cfRule>
  </conditionalFormatting>
  <conditionalFormatting sqref="H12">
    <cfRule type="expression" dxfId="9458" priority="40">
      <formula>((G14-50)/I14)&lt;950</formula>
    </cfRule>
  </conditionalFormatting>
  <conditionalFormatting sqref="H14:H26">
    <cfRule type="cellIs" dxfId="9457" priority="6" operator="lessThan">
      <formula>400</formula>
    </cfRule>
  </conditionalFormatting>
  <conditionalFormatting sqref="H30:H31">
    <cfRule type="cellIs" dxfId="9456" priority="3" operator="lessThan">
      <formula>400</formula>
    </cfRule>
  </conditionalFormatting>
  <conditionalFormatting sqref="H34">
    <cfRule type="expression" dxfId="9455" priority="49">
      <formula>((#REF!-50)/#REF!)&lt;950</formula>
    </cfRule>
  </conditionalFormatting>
  <conditionalFormatting sqref="J14:J31">
    <cfRule type="cellIs" dxfId="9454" priority="17" operator="greaterThan">
      <formula>0</formula>
    </cfRule>
  </conditionalFormatting>
  <conditionalFormatting sqref="J37:J47">
    <cfRule type="expression" dxfId="9453" priority="25">
      <formula>D37&gt;0</formula>
    </cfRule>
  </conditionalFormatting>
  <conditionalFormatting sqref="J49:J55">
    <cfRule type="expression" dxfId="9452" priority="30">
      <formula>#REF!="EURO"</formula>
    </cfRule>
  </conditionalFormatting>
  <conditionalFormatting sqref="K14:K33">
    <cfRule type="cellIs" dxfId="9451" priority="4" operator="greaterThan">
      <formula>0</formula>
    </cfRule>
  </conditionalFormatting>
  <conditionalFormatting sqref="K37:K47">
    <cfRule type="cellIs" dxfId="9450" priority="31" operator="greaterThan">
      <formula>0</formula>
    </cfRule>
  </conditionalFormatting>
  <conditionalFormatting sqref="K49:K55">
    <cfRule type="expression" dxfId="9449" priority="26">
      <formula>$C$9="PLN"</formula>
    </cfRule>
    <cfRule type="expression" dxfId="9448" priority="27">
      <formula>$C$9="CZK"</formula>
    </cfRule>
    <cfRule type="expression" dxfId="9447" priority="28">
      <formula>$C$9="USD"</formula>
    </cfRule>
    <cfRule type="expression" dxfId="9446" priority="29">
      <formula>$C$9="EURO"</formula>
    </cfRule>
  </conditionalFormatting>
  <conditionalFormatting sqref="L14:L33">
    <cfRule type="expression" dxfId="9445" priority="15">
      <formula>$D$9&lt;0</formula>
    </cfRule>
    <cfRule type="expression" dxfId="9444" priority="16">
      <formula>$D$9&gt;0</formula>
    </cfRule>
  </conditionalFormatting>
  <conditionalFormatting sqref="L37:L47">
    <cfRule type="expression" dxfId="9443" priority="13">
      <formula>$D$9&lt;0</formula>
    </cfRule>
    <cfRule type="expression" dxfId="9442" priority="14">
      <formula>$D$9&gt;0</formula>
    </cfRule>
  </conditionalFormatting>
  <conditionalFormatting sqref="N9 N12">
    <cfRule type="expression" dxfId="9441" priority="45">
      <formula>$C$9="PLN"</formula>
    </cfRule>
    <cfRule type="expression" dxfId="9440" priority="46">
      <formula>$C$9="CZK"</formula>
    </cfRule>
    <cfRule type="expression" dxfId="9439" priority="47">
      <formula>$C$9="USD"</formula>
    </cfRule>
    <cfRule type="expression" dxfId="9438" priority="48">
      <formula>$C$9="EURO"</formula>
    </cfRule>
  </conditionalFormatting>
  <conditionalFormatting sqref="N14:N33">
    <cfRule type="expression" dxfId="9437" priority="19">
      <formula>$C$9="PLN"</formula>
    </cfRule>
    <cfRule type="expression" dxfId="9436" priority="20">
      <formula>$C$9="CZK"</formula>
    </cfRule>
    <cfRule type="expression" dxfId="9435" priority="21">
      <formula>$C$9="USD"</formula>
    </cfRule>
    <cfRule type="expression" dxfId="9434" priority="22">
      <formula>$C$9="EURO"</formula>
    </cfRule>
  </conditionalFormatting>
  <conditionalFormatting sqref="N18:N20">
    <cfRule type="cellIs" dxfId="9433" priority="23" operator="greaterThan">
      <formula>0</formula>
    </cfRule>
  </conditionalFormatting>
  <conditionalFormatting sqref="N36:N47">
    <cfRule type="expression" dxfId="9432" priority="8">
      <formula>$C$9="PLN"</formula>
    </cfRule>
    <cfRule type="expression" dxfId="9431" priority="9">
      <formula>$C$9="CZK"</formula>
    </cfRule>
    <cfRule type="expression" dxfId="9430" priority="10">
      <formula>$C$9="USD"</formula>
    </cfRule>
    <cfRule type="expression" dxfId="9429" priority="11">
      <formula>$C$9="EURO"</formula>
    </cfRule>
  </conditionalFormatting>
  <conditionalFormatting sqref="N14:O33">
    <cfRule type="cellIs" dxfId="9428" priority="18" operator="greaterThan">
      <formula>0</formula>
    </cfRule>
  </conditionalFormatting>
  <conditionalFormatting sqref="N37:O47">
    <cfRule type="cellIs" dxfId="9427" priority="7" operator="greaterThan">
      <formula>0</formula>
    </cfRule>
  </conditionalFormatting>
  <conditionalFormatting sqref="O14:O20">
    <cfRule type="cellIs" dxfId="9426" priority="24" operator="greaterThan">
      <formula>0</formula>
    </cfRule>
  </conditionalFormatting>
  <dataValidations count="3">
    <dataValidation type="list" allowBlank="1" showInputMessage="1" showErrorMessage="1" sqref="H35" xr:uid="{F01B5FC1-6E92-EC43-B8FA-56EDBA1B8B71}">
      <formula1>#REF!</formula1>
    </dataValidation>
    <dataValidation operator="greaterThan" allowBlank="1" showInputMessage="1" showErrorMessage="1" sqref="F14:F26 F30:F31" xr:uid="{F0FC68DB-6C78-1E41-BD5D-C0A6C1502EF5}"/>
    <dataValidation type="list" allowBlank="1" showInputMessage="1" showErrorMessage="1" sqref="E14:E33" xr:uid="{5AB9523B-EDC8-A743-B2D2-234E185C2254}">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5F8E844-2F8D-B745-B732-713C5C80DC28}">
          <x14:formula1>
            <xm:f>'Base Costs'!$A$4:$A$16</xm:f>
          </x14:formula1>
          <xm:sqref>E38:E39</xm:sqref>
        </x14:dataValidation>
        <x14:dataValidation type="list" allowBlank="1" showInputMessage="1" showErrorMessage="1" xr:uid="{70B61230-B6E9-6F41-A146-25AC98B19398}">
          <x14:formula1>
            <xm:f>'Base Costs'!$E$4:$E$213</xm:f>
          </x14:formula1>
          <xm:sqref>E37</xm:sqref>
        </x14:dataValidation>
        <x14:dataValidation type="list" allowBlank="1" showInputMessage="1" showErrorMessage="1" xr:uid="{DF757A0C-63AE-C84F-9C8C-4B5087DC8D4B}">
          <x14:formula1>
            <xm:f>'Base Costs'!$A$32:$A$37</xm:f>
          </x14:formula1>
          <xm:sqref>C9</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17DF6-743F-1844-9DD8-1A9E2368AB6D}">
  <sheetPr>
    <tabColor theme="8" tint="0.79998168889431442"/>
    <pageSetUpPr fitToPage="1"/>
  </sheetPr>
  <dimension ref="A1:AB310"/>
  <sheetViews>
    <sheetView showGridLines="0" topLeftCell="A3" zoomScale="80" zoomScaleNormal="80" zoomScaleSheetLayoutView="50" workbookViewId="0">
      <selection activeCell="R29" sqref="R29"/>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13"/>
      <c r="F3" s="690" t="s">
        <v>78</v>
      </c>
      <c r="G3" s="1084"/>
      <c r="H3" s="1114"/>
      <c r="I3" s="1114"/>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13"/>
      <c r="F5" s="690" t="s">
        <v>77</v>
      </c>
      <c r="G5" s="1084"/>
      <c r="H5" s="1114"/>
      <c r="I5" s="1114"/>
      <c r="J5" s="1114"/>
      <c r="M5" s="684"/>
      <c r="N5" s="685"/>
      <c r="P5" s="1104" t="s">
        <v>1452</v>
      </c>
      <c r="Q5" s="1104"/>
      <c r="R5" s="1104"/>
      <c r="S5" s="1104"/>
      <c r="T5" s="1104"/>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13"/>
      <c r="F7" s="690" t="s">
        <v>76</v>
      </c>
      <c r="G7" s="1086"/>
      <c r="H7" s="1115"/>
      <c r="I7" s="1115"/>
      <c r="J7" s="1115"/>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2"/>
      <c r="F9" s="1112"/>
      <c r="G9" s="1125"/>
      <c r="H9" s="1126"/>
      <c r="I9" s="1126"/>
      <c r="J9" s="1126"/>
      <c r="K9" s="703">
        <f>SUBTOTAL(9,K12:K197)</f>
        <v>0</v>
      </c>
      <c r="L9" s="982" t="str">
        <f>IF(O9=0,"-",O9/M9)</f>
        <v>-</v>
      </c>
      <c r="M9" s="703">
        <f>SUBTOTAL(9,M12:M197)</f>
        <v>0</v>
      </c>
      <c r="N9" s="705">
        <f>SUBTOTAL(9,N12:N197)</f>
        <v>0</v>
      </c>
      <c r="O9" s="703">
        <f>SUBTOTAL(9,O12:O197)</f>
        <v>0</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344</v>
      </c>
      <c r="C16" s="752" t="s">
        <v>347</v>
      </c>
      <c r="D16" s="735"/>
      <c r="E16" s="753" t="str">
        <f>IF(C16="","",VLOOKUP(C16,CCBASE!$A$53:$D$73,4,FALSE))</f>
        <v/>
      </c>
      <c r="F16" s="754"/>
      <c r="G16" s="749"/>
      <c r="H16" s="750"/>
      <c r="I16" s="755"/>
      <c r="J16" s="736">
        <f>IF(C16="",0,VLOOKUP(C16,CCBASE!$A$53:$C$73,2,FALSE))</f>
        <v>0</v>
      </c>
      <c r="K16" s="737">
        <f>J16*D16</f>
        <v>0</v>
      </c>
      <c r="L16" s="738">
        <v>0.35</v>
      </c>
      <c r="M16" s="739">
        <f t="shared" si="0"/>
        <v>0</v>
      </c>
      <c r="N16" s="737">
        <f>M16*VLOOKUP($B$9,'Base Costs'!$A$32:$B$37,2,FALSE)</f>
        <v>0</v>
      </c>
      <c r="O16" s="740">
        <f t="shared" si="1"/>
        <v>0</v>
      </c>
      <c r="P16" s="745"/>
      <c r="Q16" s="940"/>
      <c r="S16" s="694"/>
      <c r="Y16" s="673"/>
    </row>
    <row r="17" spans="1:26" ht="15"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customHeight="1" outlineLevel="1" x14ac:dyDescent="0.15">
      <c r="B18" s="992" t="s">
        <v>344</v>
      </c>
      <c r="C18" s="993" t="s">
        <v>1404</v>
      </c>
      <c r="D18" s="994">
        <v>0</v>
      </c>
      <c r="E18" s="995" t="str">
        <f>IF(C18="","",VLOOKUP(C18,CCBASE!$A$53:$D$73,4,FALSE))</f>
        <v>SECTION(S) OF CANOPY</v>
      </c>
      <c r="F18" s="996"/>
      <c r="G18" s="991"/>
      <c r="H18" s="997"/>
      <c r="I18" s="998"/>
      <c r="J18" s="999">
        <f>IF(C18="",0,VLOOKUP(C18,CCBASE!$A$53:$C$73,2,FALSE))</f>
        <v>50</v>
      </c>
      <c r="K18" s="1000">
        <f>J18*D18</f>
        <v>0</v>
      </c>
      <c r="L18" s="1001">
        <v>0.44</v>
      </c>
      <c r="M18" s="1002">
        <f t="shared" si="0"/>
        <v>0</v>
      </c>
      <c r="N18" s="1000">
        <f>M18*VLOOKUP($B$9,'Base Costs'!$A$32:$B$37,2,FALSE)</f>
        <v>0</v>
      </c>
      <c r="O18" s="1003">
        <f t="shared" si="1"/>
        <v>0</v>
      </c>
      <c r="P18" s="1004" t="s">
        <v>1453</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P19" t="s">
        <v>1513</v>
      </c>
      <c r="Q19" t="s">
        <v>1514</v>
      </c>
      <c r="R19" s="217"/>
      <c r="S19" s="229" t="s">
        <v>1515</v>
      </c>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K32" si="2">J24*1</f>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344</v>
      </c>
      <c r="C33" s="752" t="s">
        <v>347</v>
      </c>
      <c r="D33" s="735"/>
      <c r="E33" s="753" t="str">
        <f>IF(C33="","",VLOOKUP(C33,CCBASE!$A$53:$D$73,4,FALSE))</f>
        <v/>
      </c>
      <c r="F33" s="754"/>
      <c r="G33" s="749"/>
      <c r="H33" s="750"/>
      <c r="I33" s="755"/>
      <c r="J33" s="736">
        <f>IF(C33="",0,VLOOKUP(C33,CCBASE!$A$53:$C$73,2,FALSE))</f>
        <v>0</v>
      </c>
      <c r="K33" s="737">
        <f>J33*D33</f>
        <v>0</v>
      </c>
      <c r="L33" s="738">
        <v>0.35</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8"/>
      <c r="F35" s="119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ROUNDUP($F31/1000,0)</f>
        <v>0</v>
      </c>
      <c r="E36" s="1110" t="s">
        <v>1092</v>
      </c>
      <c r="F36" s="1196"/>
      <c r="G36" s="754"/>
      <c r="H36" s="750"/>
      <c r="I36" s="755"/>
      <c r="J36" s="736">
        <f>IF(D36=0,0,VLOOKUP(C36,'Base Costs'!$A$19:$B$22,2,FALSE))</f>
        <v>0</v>
      </c>
      <c r="K36" s="737">
        <f>J36*D36</f>
        <v>0</v>
      </c>
      <c r="L36" s="738">
        <v>0.44</v>
      </c>
      <c r="M36" s="739">
        <f t="shared" si="3"/>
        <v>0</v>
      </c>
      <c r="N36" s="737">
        <f>M36*VLOOKUP($B$9,'Base Costs'!$A$32:$B$37,2,FALSE)</f>
        <v>0</v>
      </c>
      <c r="O36" s="740">
        <f>M36-K36</f>
        <v>0</v>
      </c>
      <c r="P36" t="s">
        <v>1513</v>
      </c>
      <c r="Q36" t="s">
        <v>1514</v>
      </c>
      <c r="R36" s="217"/>
      <c r="S36" s="229" t="s">
        <v>1515</v>
      </c>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269" t="s">
        <v>344</v>
      </c>
      <c r="C50" s="752" t="s">
        <v>347</v>
      </c>
      <c r="D50" s="735"/>
      <c r="E50" s="753" t="str">
        <f>IF(C50="","",VLOOKUP(C50,CCBASE!$A$53:$D$73,4,FALSE))</f>
        <v/>
      </c>
      <c r="F50" s="754"/>
      <c r="G50" s="749"/>
      <c r="H50" s="750"/>
      <c r="I50" s="755"/>
      <c r="J50" s="736">
        <f>IF(C50="",0,VLOOKUP(C50,CCBASE!$A$53:$C$73,2,FALSE))</f>
        <v>0</v>
      </c>
      <c r="K50" s="737">
        <f>J50*D50</f>
        <v>0</v>
      </c>
      <c r="L50" s="738">
        <v>0.35</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ROUNDUP($F48/1000,0)</f>
        <v>0</v>
      </c>
      <c r="E53" s="1110" t="s">
        <v>1092</v>
      </c>
      <c r="F53" s="1196"/>
      <c r="G53" s="754"/>
      <c r="H53" s="750"/>
      <c r="I53" s="755"/>
      <c r="J53" s="736">
        <f>IF(D53=0,0,VLOOKUP(C53,'Base Costs'!$A$19:$B$22,2,FALSE))</f>
        <v>0</v>
      </c>
      <c r="K53" s="737">
        <f>J53*D53</f>
        <v>0</v>
      </c>
      <c r="L53" s="738">
        <v>0.44</v>
      </c>
      <c r="M53" s="739">
        <f t="shared" si="7"/>
        <v>0</v>
      </c>
      <c r="N53" s="737">
        <f>M53*VLOOKUP($B$9,'Base Costs'!$A$32:$B$37,2,FALSE)</f>
        <v>0</v>
      </c>
      <c r="O53" s="740">
        <f>M53-K53</f>
        <v>0</v>
      </c>
      <c r="P53" t="s">
        <v>1513</v>
      </c>
      <c r="Q53" t="s">
        <v>1514</v>
      </c>
      <c r="R53" s="217"/>
      <c r="S53" s="229" t="s">
        <v>1515</v>
      </c>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269" t="s">
        <v>344</v>
      </c>
      <c r="C67" s="752" t="s">
        <v>347</v>
      </c>
      <c r="D67" s="735"/>
      <c r="E67" s="753" t="str">
        <f>IF(C67="","",VLOOKUP(C67,CCBASE!$A$53:$D$73,4,FALSE))</f>
        <v/>
      </c>
      <c r="F67" s="754"/>
      <c r="G67" s="749"/>
      <c r="H67" s="750"/>
      <c r="I67" s="755"/>
      <c r="J67" s="736">
        <f>IF(C67="",0,VLOOKUP(C67,CCBASE!$A$53:$C$73,2,FALSE))</f>
        <v>0</v>
      </c>
      <c r="K67" s="737">
        <f>J67*D67</f>
        <v>0</v>
      </c>
      <c r="L67" s="738">
        <v>0.35</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1"/>
        <v>0</v>
      </c>
      <c r="N70" s="737">
        <f>M70*VLOOKUP($B$9,'Base Costs'!$A$32:$B$37,2,FALSE)</f>
        <v>0</v>
      </c>
      <c r="O70" s="740">
        <f>M70-K70</f>
        <v>0</v>
      </c>
      <c r="P70" t="s">
        <v>1513</v>
      </c>
      <c r="Q70" t="s">
        <v>1514</v>
      </c>
      <c r="R70" s="217"/>
      <c r="S70" s="229" t="s">
        <v>1515</v>
      </c>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217"/>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269" t="s">
        <v>344</v>
      </c>
      <c r="C84" s="752" t="s">
        <v>347</v>
      </c>
      <c r="D84" s="735"/>
      <c r="E84" s="753" t="str">
        <f>IF(C84="","",VLOOKUP(C84,CCBASE!$A$53:$D$73,4,FALSE))</f>
        <v/>
      </c>
      <c r="F84" s="754"/>
      <c r="G84" s="749"/>
      <c r="H84" s="750"/>
      <c r="I84" s="755"/>
      <c r="J84" s="736">
        <f>IF(C84="",0,VLOOKUP(C84,CCBASE!$A$53:$C$73,2,FALSE))</f>
        <v>0</v>
      </c>
      <c r="K84" s="737">
        <f>J84*D84</f>
        <v>0</v>
      </c>
      <c r="L84" s="738">
        <v>0.35</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5"/>
        <v>0</v>
      </c>
      <c r="N87" s="737">
        <f>M87*VLOOKUP($B$9,'Base Costs'!$A$32:$B$37,2,FALSE)</f>
        <v>0</v>
      </c>
      <c r="O87" s="740">
        <f>M87-K87</f>
        <v>0</v>
      </c>
      <c r="P87" t="s">
        <v>1513</v>
      </c>
      <c r="Q87" t="s">
        <v>1514</v>
      </c>
      <c r="R87" s="217"/>
      <c r="S87" s="229" t="s">
        <v>1515</v>
      </c>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269" t="s">
        <v>344</v>
      </c>
      <c r="C101" s="752" t="s">
        <v>347</v>
      </c>
      <c r="D101" s="735"/>
      <c r="E101" s="753" t="str">
        <f>IF(C101="","",VLOOKUP(C101,CCBASE!$A$53:$D$73,4,FALSE))</f>
        <v/>
      </c>
      <c r="F101" s="754"/>
      <c r="G101" s="749"/>
      <c r="H101" s="750"/>
      <c r="I101" s="755"/>
      <c r="J101" s="736">
        <f>IF(C101="",0,VLOOKUP(C101,CCBASE!$A$53:$C$73,2,FALSE))</f>
        <v>0</v>
      </c>
      <c r="K101" s="737">
        <f>J101*D101</f>
        <v>0</v>
      </c>
      <c r="L101" s="738">
        <v>0.35</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19"/>
        <v>0</v>
      </c>
      <c r="N104" s="737">
        <f>M104*VLOOKUP($B$9,'Base Costs'!$A$32:$B$37,2,FALSE)</f>
        <v>0</v>
      </c>
      <c r="O104" s="740">
        <f>M104-K104</f>
        <v>0</v>
      </c>
      <c r="P104" t="s">
        <v>1513</v>
      </c>
      <c r="Q104" t="s">
        <v>1514</v>
      </c>
      <c r="R104" s="217"/>
      <c r="S104" s="229" t="s">
        <v>1515</v>
      </c>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269" t="s">
        <v>344</v>
      </c>
      <c r="C118" s="752" t="s">
        <v>347</v>
      </c>
      <c r="D118" s="735"/>
      <c r="E118" s="753" t="str">
        <f>IF(C118="","",VLOOKUP(C118,CCBASE!$A$53:$D$73,4,FALSE))</f>
        <v/>
      </c>
      <c r="F118" s="754"/>
      <c r="G118" s="749"/>
      <c r="H118" s="750"/>
      <c r="I118" s="755"/>
      <c r="J118" s="736">
        <f>IF(C118="",0,VLOOKUP(C118,CCBASE!$A$53:$C$73,2,FALSE))</f>
        <v>0</v>
      </c>
      <c r="K118" s="737">
        <f>J118*D118</f>
        <v>0</v>
      </c>
      <c r="L118" s="738">
        <v>0.35</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3"/>
        <v>0</v>
      </c>
      <c r="N121" s="737">
        <f>M121*VLOOKUP($B$9,'Base Costs'!$A$32:$B$37,2,FALSE)</f>
        <v>0</v>
      </c>
      <c r="O121" s="740">
        <f>M121-K121</f>
        <v>0</v>
      </c>
      <c r="P121" t="s">
        <v>1513</v>
      </c>
      <c r="Q121" t="s">
        <v>1514</v>
      </c>
      <c r="R121" s="217"/>
      <c r="S121" s="229" t="s">
        <v>1515</v>
      </c>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269" t="s">
        <v>344</v>
      </c>
      <c r="C135" s="752" t="s">
        <v>347</v>
      </c>
      <c r="D135" s="735"/>
      <c r="E135" s="753" t="str">
        <f>IF(C135="","",VLOOKUP(C135,CCBASE!$A$53:$D$73,4,FALSE))</f>
        <v/>
      </c>
      <c r="F135" s="754"/>
      <c r="G135" s="749"/>
      <c r="H135" s="750"/>
      <c r="I135" s="755"/>
      <c r="J135" s="736">
        <f>IF(C135="",0,VLOOKUP(C135,CCBASE!$A$53:$C$73,2,FALSE))</f>
        <v>0</v>
      </c>
      <c r="K135" s="737">
        <f>J135*D135</f>
        <v>0</v>
      </c>
      <c r="L135" s="738">
        <v>0.35</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ROUNDUP($F133/1000,0)</f>
        <v>0</v>
      </c>
      <c r="E138" s="1110" t="s">
        <v>1092</v>
      </c>
      <c r="F138" s="1108"/>
      <c r="G138" s="754"/>
      <c r="H138" s="750"/>
      <c r="I138" s="755"/>
      <c r="J138" s="736">
        <f>IF(D138=0,0,VLOOKUP(C138,'Base Costs'!$A$19:$B$22,2,FALSE))</f>
        <v>0</v>
      </c>
      <c r="K138" s="737">
        <f>J138*D138</f>
        <v>0</v>
      </c>
      <c r="L138" s="738">
        <v>0.44</v>
      </c>
      <c r="M138" s="739">
        <f t="shared" si="27"/>
        <v>0</v>
      </c>
      <c r="N138" s="737">
        <f>M138*VLOOKUP($B$9,'Base Costs'!$A$32:$B$37,2,FALSE)</f>
        <v>0</v>
      </c>
      <c r="O138" s="740">
        <f>M138-K138</f>
        <v>0</v>
      </c>
      <c r="P138" t="s">
        <v>1513</v>
      </c>
      <c r="Q138" t="s">
        <v>1514</v>
      </c>
      <c r="R138" s="217"/>
      <c r="S138" s="229" t="s">
        <v>1515</v>
      </c>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269" t="s">
        <v>344</v>
      </c>
      <c r="C152" s="752" t="s">
        <v>347</v>
      </c>
      <c r="D152" s="735"/>
      <c r="E152" s="753" t="str">
        <f>IF(C152="","",VLOOKUP(C152,CCBASE!$A$53:$D$73,4,FALSE))</f>
        <v/>
      </c>
      <c r="F152" s="754"/>
      <c r="G152" s="749"/>
      <c r="H152" s="750"/>
      <c r="I152" s="755"/>
      <c r="J152" s="736">
        <f>IF(C152="",0,VLOOKUP(C152,CCBASE!$A$53:$C$73,2,FALSE))</f>
        <v>0</v>
      </c>
      <c r="K152" s="737">
        <f>J152*D152</f>
        <v>0</v>
      </c>
      <c r="L152" s="738">
        <v>0.35</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1"/>
        <v>0</v>
      </c>
      <c r="N155" s="737">
        <f>M155*VLOOKUP($B$9,'Base Costs'!$A$32:$B$37,2,FALSE)</f>
        <v>0</v>
      </c>
      <c r="O155" s="740">
        <f>M155-K155</f>
        <v>0</v>
      </c>
      <c r="P155" t="s">
        <v>1513</v>
      </c>
      <c r="Q155" t="s">
        <v>1514</v>
      </c>
      <c r="R155" s="217"/>
      <c r="S155" s="229" t="s">
        <v>1515</v>
      </c>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269" t="s">
        <v>344</v>
      </c>
      <c r="C169" s="752" t="s">
        <v>347</v>
      </c>
      <c r="D169" s="735"/>
      <c r="E169" s="753" t="str">
        <f>IF(C169="","",VLOOKUP(C169,CCBASE!$A$53:$D$73,4,FALSE))</f>
        <v/>
      </c>
      <c r="F169" s="754"/>
      <c r="G169" s="749"/>
      <c r="H169" s="750"/>
      <c r="I169" s="755"/>
      <c r="J169" s="736">
        <f>IF(C169="",0,VLOOKUP(C169,CCBASE!$A$53:$C$73,2,FALSE))</f>
        <v>0</v>
      </c>
      <c r="K169" s="737">
        <f>J169*D169</f>
        <v>0</v>
      </c>
      <c r="L169" s="738">
        <v>0.35</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35"/>
        <v>0</v>
      </c>
      <c r="N172" s="737">
        <f>M172*VLOOKUP($B$9,'Base Costs'!$A$32:$B$37,2,FALSE)</f>
        <v>0</v>
      </c>
      <c r="O172" s="740">
        <f>M172-K172</f>
        <v>0</v>
      </c>
      <c r="P172" t="s">
        <v>1513</v>
      </c>
      <c r="Q172" t="s">
        <v>1514</v>
      </c>
      <c r="R172" s="217"/>
      <c r="S172" s="229" t="s">
        <v>1515</v>
      </c>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0</v>
      </c>
      <c r="L182" s="704" t="str">
        <f>IF(K182=0,"-",O182/M182)</f>
        <v>-</v>
      </c>
      <c r="M182" s="723">
        <f>SUBTOTAL(9,M183:M197)</f>
        <v>0</v>
      </c>
      <c r="N182" s="705">
        <f>SUBTOTAL(9,N183:N197)</f>
        <v>0</v>
      </c>
      <c r="O182" s="703">
        <f>SUBTOTAL(9,O183:O197)</f>
        <v>0</v>
      </c>
      <c r="S182" s="694"/>
    </row>
    <row r="183" spans="1:25" ht="15" customHeight="1" x14ac:dyDescent="0.15">
      <c r="A183" s="666">
        <v>222</v>
      </c>
      <c r="B183" s="589" t="s">
        <v>1133</v>
      </c>
      <c r="C183" s="774"/>
      <c r="D183" s="775" t="s">
        <v>48</v>
      </c>
      <c r="E183" s="1118" t="s">
        <v>732</v>
      </c>
      <c r="F183" s="1119"/>
      <c r="G183" s="1109"/>
      <c r="H183" s="1109"/>
      <c r="I183" s="110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7"/>
      <c r="F186" s="1108"/>
      <c r="G186" s="1109"/>
      <c r="H186" s="1109"/>
      <c r="I186" s="110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6" t="s">
        <v>1495</v>
      </c>
      <c r="E193" s="1117"/>
      <c r="F193" s="111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D193:F193"/>
    <mergeCell ref="D194:F194"/>
    <mergeCell ref="D195:E195"/>
    <mergeCell ref="D196:E196"/>
    <mergeCell ref="D197:F197"/>
    <mergeCell ref="B200:O200"/>
    <mergeCell ref="E184:F184"/>
    <mergeCell ref="E185:F185"/>
    <mergeCell ref="E186:F186"/>
    <mergeCell ref="G186:I186"/>
    <mergeCell ref="D189:I189"/>
    <mergeCell ref="D190:I190"/>
    <mergeCell ref="E172:F172"/>
    <mergeCell ref="H174:I174"/>
    <mergeCell ref="H175:I175"/>
    <mergeCell ref="H176:I176"/>
    <mergeCell ref="B182:G182"/>
    <mergeCell ref="E183:F183"/>
    <mergeCell ref="G183:I183"/>
    <mergeCell ref="H141:I141"/>
    <mergeCell ref="H142:I142"/>
    <mergeCell ref="E155:F155"/>
    <mergeCell ref="H157:I157"/>
    <mergeCell ref="H158:I158"/>
    <mergeCell ref="H159:I159"/>
    <mergeCell ref="E121:F121"/>
    <mergeCell ref="H123:I123"/>
    <mergeCell ref="H124:I124"/>
    <mergeCell ref="H125:I125"/>
    <mergeCell ref="E138:F138"/>
    <mergeCell ref="H140:I140"/>
    <mergeCell ref="H90:I90"/>
    <mergeCell ref="H91:I91"/>
    <mergeCell ref="E104:F104"/>
    <mergeCell ref="H106:I106"/>
    <mergeCell ref="H107:I107"/>
    <mergeCell ref="H108:I108"/>
    <mergeCell ref="E70:F70"/>
    <mergeCell ref="H72:I72"/>
    <mergeCell ref="H73:I73"/>
    <mergeCell ref="H74:I74"/>
    <mergeCell ref="E87:F87"/>
    <mergeCell ref="H89:I89"/>
    <mergeCell ref="H39:I39"/>
    <mergeCell ref="H40:I40"/>
    <mergeCell ref="E53:F53"/>
    <mergeCell ref="H55:I55"/>
    <mergeCell ref="H56:I56"/>
    <mergeCell ref="H57:I57"/>
    <mergeCell ref="H21:I21"/>
    <mergeCell ref="H22:I22"/>
    <mergeCell ref="H23:I23"/>
    <mergeCell ref="E35:F35"/>
    <mergeCell ref="E36:F36"/>
    <mergeCell ref="H38:I38"/>
    <mergeCell ref="C7:D7"/>
    <mergeCell ref="G7:J7"/>
    <mergeCell ref="P7:R7"/>
    <mergeCell ref="E9:F9"/>
    <mergeCell ref="G9:J9"/>
    <mergeCell ref="E19:F19"/>
    <mergeCell ref="B1:C1"/>
    <mergeCell ref="C3:D3"/>
    <mergeCell ref="G3:J3"/>
    <mergeCell ref="C5:D5"/>
    <mergeCell ref="G5:J5"/>
    <mergeCell ref="P5:T5"/>
  </mergeCells>
  <conditionalFormatting sqref="B9">
    <cfRule type="containsText" dxfId="12889" priority="687" operator="containsText" text="SELECT">
      <formula>NOT(ISERROR(SEARCH("SELECT",B9)))</formula>
    </cfRule>
    <cfRule type="expression" dxfId="12888" priority="688">
      <formula>B9="CURRENCY"</formula>
    </cfRule>
  </conditionalFormatting>
  <conditionalFormatting sqref="B11">
    <cfRule type="expression" dxfId="12887" priority="650">
      <formula>$B11&lt;&gt;""</formula>
    </cfRule>
  </conditionalFormatting>
  <conditionalFormatting sqref="B14:B23">
    <cfRule type="expression" dxfId="12886" priority="642">
      <formula>$J14&gt;0</formula>
    </cfRule>
  </conditionalFormatting>
  <conditionalFormatting sqref="B24">
    <cfRule type="expression" dxfId="12885" priority="639">
      <formula>ISNUMBER(SEARCH("UV",$D14))</formula>
    </cfRule>
    <cfRule type="expression" dxfId="12884" priority="640">
      <formula>($D14="CANOPY TYPE")</formula>
    </cfRule>
  </conditionalFormatting>
  <conditionalFormatting sqref="B25:B27">
    <cfRule type="expression" dxfId="12883" priority="455">
      <formula>$J25&gt;0</formula>
    </cfRule>
  </conditionalFormatting>
  <conditionalFormatting sqref="B28">
    <cfRule type="expression" dxfId="12882" priority="648">
      <formula>$B28&lt;&gt;""</formula>
    </cfRule>
  </conditionalFormatting>
  <conditionalFormatting sqref="B31:B32 B34:B40">
    <cfRule type="expression" dxfId="12881" priority="400">
      <formula>$J31&gt;0</formula>
    </cfRule>
  </conditionalFormatting>
  <conditionalFormatting sqref="B41">
    <cfRule type="expression" dxfId="12880" priority="607">
      <formula>ISNUMBER(SEARCH("UV",$D31))</formula>
    </cfRule>
    <cfRule type="expression" dxfId="12879" priority="608">
      <formula>($D31="CANOPY TYPE")</formula>
    </cfRule>
  </conditionalFormatting>
  <conditionalFormatting sqref="B42:B44">
    <cfRule type="expression" dxfId="12878" priority="609">
      <formula>$J42&gt;0</formula>
    </cfRule>
  </conditionalFormatting>
  <conditionalFormatting sqref="B45">
    <cfRule type="expression" dxfId="12877" priority="647">
      <formula>$B45&lt;&gt;""</formula>
    </cfRule>
  </conditionalFormatting>
  <conditionalFormatting sqref="B48:B49 B51:B57">
    <cfRule type="expression" dxfId="12876" priority="374">
      <formula>$J48&gt;0</formula>
    </cfRule>
  </conditionalFormatting>
  <conditionalFormatting sqref="B58">
    <cfRule type="expression" dxfId="12875" priority="577">
      <formula>ISNUMBER(SEARCH("UV",$D48))</formula>
    </cfRule>
    <cfRule type="expression" dxfId="12874" priority="578">
      <formula>($D48="CANOPY TYPE")</formula>
    </cfRule>
  </conditionalFormatting>
  <conditionalFormatting sqref="B59:B61">
    <cfRule type="expression" dxfId="12873" priority="454">
      <formula>$J59&gt;0</formula>
    </cfRule>
  </conditionalFormatting>
  <conditionalFormatting sqref="B62">
    <cfRule type="expression" dxfId="12872" priority="646">
      <formula>$B62&lt;&gt;""</formula>
    </cfRule>
  </conditionalFormatting>
  <conditionalFormatting sqref="B65:B66 B68:B74">
    <cfRule type="expression" dxfId="12871" priority="348">
      <formula>$J65&gt;0</formula>
    </cfRule>
  </conditionalFormatting>
  <conditionalFormatting sqref="B75">
    <cfRule type="expression" dxfId="12870" priority="546">
      <formula>ISNUMBER(SEARCH("UV",$D65))</formula>
    </cfRule>
    <cfRule type="expression" dxfId="12869" priority="547">
      <formula>($D65="CANOPY TYPE")</formula>
    </cfRule>
  </conditionalFormatting>
  <conditionalFormatting sqref="B76:B78">
    <cfRule type="expression" dxfId="12868" priority="453">
      <formula>$J76&gt;0</formula>
    </cfRule>
  </conditionalFormatting>
  <conditionalFormatting sqref="B79">
    <cfRule type="expression" dxfId="12867" priority="645">
      <formula>$B79&lt;&gt;""</formula>
    </cfRule>
  </conditionalFormatting>
  <conditionalFormatting sqref="B82:B83 B85:B91">
    <cfRule type="expression" dxfId="12866" priority="322">
      <formula>$J82&gt;0</formula>
    </cfRule>
  </conditionalFormatting>
  <conditionalFormatting sqref="B92">
    <cfRule type="expression" dxfId="12865" priority="514">
      <formula>ISNUMBER(SEARCH("UV",$D82))</formula>
    </cfRule>
    <cfRule type="expression" dxfId="12864" priority="515">
      <formula>($D82="CANOPY TYPE")</formula>
    </cfRule>
  </conditionalFormatting>
  <conditionalFormatting sqref="B93:B95">
    <cfRule type="expression" dxfId="12863" priority="452">
      <formula>$J93&gt;0</formula>
    </cfRule>
  </conditionalFormatting>
  <conditionalFormatting sqref="B96">
    <cfRule type="expression" dxfId="12862" priority="644">
      <formula>$B96&lt;&gt;""</formula>
    </cfRule>
  </conditionalFormatting>
  <conditionalFormatting sqref="B99:B100 B102:B108">
    <cfRule type="expression" dxfId="12861" priority="296">
      <formula>$J99&gt;0</formula>
    </cfRule>
  </conditionalFormatting>
  <conditionalFormatting sqref="B109">
    <cfRule type="expression" dxfId="12860" priority="483">
      <formula>ISNUMBER(SEARCH("UV",$D99))</formula>
    </cfRule>
    <cfRule type="expression" dxfId="12859" priority="484">
      <formula>($D99="CANOPY TYPE")</formula>
    </cfRule>
  </conditionalFormatting>
  <conditionalFormatting sqref="B110:B112 B127:B129 B144:B146 B161:B163 B178:B180">
    <cfRule type="expression" dxfId="12858" priority="451">
      <formula>$J110&gt;0</formula>
    </cfRule>
  </conditionalFormatting>
  <conditionalFormatting sqref="B113">
    <cfRule type="expression" dxfId="12857" priority="288">
      <formula>$B113&lt;&gt;""</formula>
    </cfRule>
  </conditionalFormatting>
  <conditionalFormatting sqref="B116:B117 B119:B125">
    <cfRule type="expression" dxfId="12856" priority="231">
      <formula>$J116&gt;0</formula>
    </cfRule>
  </conditionalFormatting>
  <conditionalFormatting sqref="B126">
    <cfRule type="expression" dxfId="12855" priority="260">
      <formula>ISNUMBER(SEARCH("UV",$D116))</formula>
    </cfRule>
    <cfRule type="expression" dxfId="12854" priority="261">
      <formula>($D116="CANOPY TYPE")</formula>
    </cfRule>
  </conditionalFormatting>
  <conditionalFormatting sqref="B130">
    <cfRule type="expression" dxfId="12853" priority="219">
      <formula>$B130&lt;&gt;""</formula>
    </cfRule>
  </conditionalFormatting>
  <conditionalFormatting sqref="B133:B134 B136:B142">
    <cfRule type="expression" dxfId="12852" priority="168">
      <formula>$J133&gt;0</formula>
    </cfRule>
  </conditionalFormatting>
  <conditionalFormatting sqref="B143">
    <cfRule type="expression" dxfId="12851" priority="191">
      <formula>ISNUMBER(SEARCH("UV",$D133))</formula>
    </cfRule>
    <cfRule type="expression" dxfId="12850" priority="192">
      <formula>($D133="CANOPY TYPE")</formula>
    </cfRule>
  </conditionalFormatting>
  <conditionalFormatting sqref="B147">
    <cfRule type="expression" dxfId="12849" priority="164">
      <formula>$B147&lt;&gt;""</formula>
    </cfRule>
  </conditionalFormatting>
  <conditionalFormatting sqref="B150:B151 B153:B159">
    <cfRule type="expression" dxfId="12848" priority="113">
      <formula>$J150&gt;0</formula>
    </cfRule>
  </conditionalFormatting>
  <conditionalFormatting sqref="B160">
    <cfRule type="expression" dxfId="12847" priority="136">
      <formula>ISNUMBER(SEARCH("UV",$D150))</formula>
    </cfRule>
    <cfRule type="expression" dxfId="12846" priority="137">
      <formula>($D150="CANOPY TYPE")</formula>
    </cfRule>
  </conditionalFormatting>
  <conditionalFormatting sqref="B164">
    <cfRule type="expression" dxfId="12845" priority="109">
      <formula>$B164&lt;&gt;""</formula>
    </cfRule>
  </conditionalFormatting>
  <conditionalFormatting sqref="B167:B168 B170:B176">
    <cfRule type="expression" dxfId="12844" priority="58">
      <formula>$J167&gt;0</formula>
    </cfRule>
  </conditionalFormatting>
  <conditionalFormatting sqref="B177">
    <cfRule type="expression" dxfId="12843" priority="81">
      <formula>ISNUMBER(SEARCH("UV",$D167))</formula>
    </cfRule>
    <cfRule type="expression" dxfId="12842" priority="82">
      <formula>($D167="CANOPY TYPE")</formula>
    </cfRule>
  </conditionalFormatting>
  <conditionalFormatting sqref="B183:B197">
    <cfRule type="expression" dxfId="12841" priority="641">
      <formula>$C183&gt;0</formula>
    </cfRule>
  </conditionalFormatting>
  <conditionalFormatting sqref="C14">
    <cfRule type="containsText" dxfId="12840" priority="441" operator="containsText" text="CONFIG">
      <formula>NOT(ISERROR(SEARCH("CONFIG",C14)))</formula>
    </cfRule>
  </conditionalFormatting>
  <conditionalFormatting sqref="C15">
    <cfRule type="containsText" dxfId="12839" priority="446" operator="containsText" text="LIGHT SELECTION">
      <formula>NOT(ISERROR(SEARCH("LIGHT SELECTION",C15)))</formula>
    </cfRule>
  </conditionalFormatting>
  <conditionalFormatting sqref="C20:C21">
    <cfRule type="cellIs" dxfId="12836" priority="693" operator="lessThan">
      <formula>1</formula>
    </cfRule>
  </conditionalFormatting>
  <conditionalFormatting sqref="C22:C23">
    <cfRule type="expression" dxfId="12835" priority="421">
      <formula>D22="WW PODS"</formula>
    </cfRule>
  </conditionalFormatting>
  <conditionalFormatting sqref="C24">
    <cfRule type="expression" dxfId="12834" priority="710">
      <formula>ISNUMBER(SEARCH("UV",D14))</formula>
    </cfRule>
  </conditionalFormatting>
  <conditionalFormatting sqref="C25">
    <cfRule type="expression" dxfId="12833" priority="675">
      <formula>(ISNUMBER(SEARCH("CMW",D14)))=TRUE</formula>
    </cfRule>
  </conditionalFormatting>
  <conditionalFormatting sqref="C26">
    <cfRule type="expression" dxfId="12832" priority="674">
      <formula>(ISNUMBER(SEARCH("CMW",D14)))=TRUE</formula>
    </cfRule>
  </conditionalFormatting>
  <conditionalFormatting sqref="C27">
    <cfRule type="expression" dxfId="12831" priority="643">
      <formula>(ISNUMBER(SEARCH("CMW",$D14)))=TRUE</formula>
    </cfRule>
  </conditionalFormatting>
  <conditionalFormatting sqref="C31">
    <cfRule type="containsText" dxfId="12830" priority="618" operator="containsText" text="CONFIG">
      <formula>NOT(ISERROR(SEARCH("CONFIG",C31)))</formula>
    </cfRule>
  </conditionalFormatting>
  <conditionalFormatting sqref="C32">
    <cfRule type="containsText" dxfId="12829" priority="448" operator="containsText" text="LIGHT SELECTION">
      <formula>NOT(ISERROR(SEARCH("LIGHT SELECTION",C32)))</formula>
    </cfRule>
  </conditionalFormatting>
  <conditionalFormatting sqref="C37:C38">
    <cfRule type="cellIs" dxfId="12826" priority="617" operator="lessThan">
      <formula>1</formula>
    </cfRule>
  </conditionalFormatting>
  <conditionalFormatting sqref="C39:C40">
    <cfRule type="expression" dxfId="12825" priority="399">
      <formula>D39="WW PODS"</formula>
    </cfRule>
  </conditionalFormatting>
  <conditionalFormatting sqref="C41">
    <cfRule type="expression" dxfId="12824" priority="632">
      <formula>ISNUMBER(SEARCH("UV",D31))</formula>
    </cfRule>
  </conditionalFormatting>
  <conditionalFormatting sqref="C42">
    <cfRule type="expression" dxfId="12823" priority="615">
      <formula>(ISNUMBER(SEARCH("CMW",D31)))=TRUE</formula>
    </cfRule>
  </conditionalFormatting>
  <conditionalFormatting sqref="C43">
    <cfRule type="expression" dxfId="12822" priority="480">
      <formula>(ISNUMBER(SEARCH("CMW",D31)))=TRUE</formula>
    </cfRule>
  </conditionalFormatting>
  <conditionalFormatting sqref="C44">
    <cfRule type="expression" dxfId="12821" priority="610">
      <formula>(ISNUMBER(SEARCH("CMW",$D31)))=TRUE</formula>
    </cfRule>
  </conditionalFormatting>
  <conditionalFormatting sqref="C48">
    <cfRule type="containsText" dxfId="12820" priority="587" operator="containsText" text="CONFIG">
      <formula>NOT(ISERROR(SEARCH("CONFIG",C48)))</formula>
    </cfRule>
  </conditionalFormatting>
  <conditionalFormatting sqref="C49">
    <cfRule type="containsText" dxfId="12819" priority="445" operator="containsText" text="LIGHT SELECTION">
      <formula>NOT(ISERROR(SEARCH("LIGHT SELECTION",C49)))</formula>
    </cfRule>
  </conditionalFormatting>
  <conditionalFormatting sqref="C54:C55">
    <cfRule type="cellIs" dxfId="12816" priority="586" operator="lessThan">
      <formula>1</formula>
    </cfRule>
  </conditionalFormatting>
  <conditionalFormatting sqref="C56:C57">
    <cfRule type="expression" dxfId="12815" priority="373">
      <formula>D56="WW PODS"</formula>
    </cfRule>
  </conditionalFormatting>
  <conditionalFormatting sqref="C58">
    <cfRule type="expression" dxfId="12814" priority="600">
      <formula>ISNUMBER(SEARCH("UV",D48))</formula>
    </cfRule>
  </conditionalFormatting>
  <conditionalFormatting sqref="C59">
    <cfRule type="expression" dxfId="12813" priority="584">
      <formula>(ISNUMBER(SEARCH("CMW",D48)))=TRUE</formula>
    </cfRule>
  </conditionalFormatting>
  <conditionalFormatting sqref="C60">
    <cfRule type="expression" dxfId="12812" priority="479">
      <formula>(ISNUMBER(SEARCH("CMW",D48)))=TRUE</formula>
    </cfRule>
  </conditionalFormatting>
  <conditionalFormatting sqref="C61">
    <cfRule type="expression" dxfId="12811" priority="579">
      <formula>(ISNUMBER(SEARCH("CMW",$D48)))=TRUE</formula>
    </cfRule>
  </conditionalFormatting>
  <conditionalFormatting sqref="C65">
    <cfRule type="containsText" dxfId="12810" priority="557" operator="containsText" text="CONFIG">
      <formula>NOT(ISERROR(SEARCH("CONFIG",C65)))</formula>
    </cfRule>
  </conditionalFormatting>
  <conditionalFormatting sqref="C66">
    <cfRule type="containsText" dxfId="12809" priority="444" operator="containsText" text="LIGHT SELECTION">
      <formula>NOT(ISERROR(SEARCH("LIGHT SELECTION",C66)))</formula>
    </cfRule>
  </conditionalFormatting>
  <conditionalFormatting sqref="C71:C72">
    <cfRule type="cellIs" dxfId="12806" priority="556" operator="lessThan">
      <formula>1</formula>
    </cfRule>
  </conditionalFormatting>
  <conditionalFormatting sqref="C73:C74">
    <cfRule type="expression" dxfId="12805" priority="347">
      <formula>D73="WW PODS"</formula>
    </cfRule>
  </conditionalFormatting>
  <conditionalFormatting sqref="C75">
    <cfRule type="expression" dxfId="12804" priority="570">
      <formula>ISNUMBER(SEARCH("UV",D65))</formula>
    </cfRule>
  </conditionalFormatting>
  <conditionalFormatting sqref="C76">
    <cfRule type="expression" dxfId="12803" priority="553">
      <formula>(ISNUMBER(SEARCH("CMW",D65)))=TRUE</formula>
    </cfRule>
  </conditionalFormatting>
  <conditionalFormatting sqref="C77">
    <cfRule type="expression" dxfId="12802" priority="478">
      <formula>(ISNUMBER(SEARCH("CMW",D65)))=TRUE</formula>
    </cfRule>
  </conditionalFormatting>
  <conditionalFormatting sqref="C78">
    <cfRule type="expression" dxfId="12801" priority="548">
      <formula>(ISNUMBER(SEARCH("CMW",$D65)))=TRUE</formula>
    </cfRule>
  </conditionalFormatting>
  <conditionalFormatting sqref="C82">
    <cfRule type="containsText" dxfId="12800" priority="525" operator="containsText" text="CONFIG">
      <formula>NOT(ISERROR(SEARCH("CONFIG",C82)))</formula>
    </cfRule>
  </conditionalFormatting>
  <conditionalFormatting sqref="C83">
    <cfRule type="containsText" dxfId="12799" priority="443" operator="containsText" text="LIGHT SELECTION">
      <formula>NOT(ISERROR(SEARCH("LIGHT SELECTION",C83)))</formula>
    </cfRule>
  </conditionalFormatting>
  <conditionalFormatting sqref="C88:C89">
    <cfRule type="cellIs" dxfId="12796" priority="524" operator="lessThan">
      <formula>1</formula>
    </cfRule>
  </conditionalFormatting>
  <conditionalFormatting sqref="C90:C91">
    <cfRule type="expression" dxfId="12795" priority="321">
      <formula>D90="WW PODS"</formula>
    </cfRule>
  </conditionalFormatting>
  <conditionalFormatting sqref="C92">
    <cfRule type="expression" dxfId="12794" priority="539">
      <formula>ISNUMBER(SEARCH("UV",D82))</formula>
    </cfRule>
  </conditionalFormatting>
  <conditionalFormatting sqref="C93">
    <cfRule type="expression" dxfId="12793" priority="521">
      <formula>(ISNUMBER(SEARCH("CMW",D82)))=TRUE</formula>
    </cfRule>
  </conditionalFormatting>
  <conditionalFormatting sqref="C94">
    <cfRule type="expression" dxfId="12792" priority="477">
      <formula>(ISNUMBER(SEARCH("CMW",D82)))=TRUE</formula>
    </cfRule>
  </conditionalFormatting>
  <conditionalFormatting sqref="C95">
    <cfRule type="expression" dxfId="12791" priority="516">
      <formula>(ISNUMBER(SEARCH("CMW",$D82)))=TRUE</formula>
    </cfRule>
  </conditionalFormatting>
  <conditionalFormatting sqref="C99">
    <cfRule type="containsText" dxfId="12790" priority="493" operator="containsText" text="CONFIG">
      <formula>NOT(ISERROR(SEARCH("CONFIG",C99)))</formula>
    </cfRule>
  </conditionalFormatting>
  <conditionalFormatting sqref="C100">
    <cfRule type="containsText" dxfId="12789" priority="442" operator="containsText" text="LIGHT SELECTION">
      <formula>NOT(ISERROR(SEARCH("LIGHT SELECTION",C100)))</formula>
    </cfRule>
  </conditionalFormatting>
  <conditionalFormatting sqref="C105:C106">
    <cfRule type="cellIs" dxfId="12786" priority="492" operator="lessThan">
      <formula>1</formula>
    </cfRule>
  </conditionalFormatting>
  <conditionalFormatting sqref="C107:C108">
    <cfRule type="expression" dxfId="12785" priority="295">
      <formula>D107="WW PODS"</formula>
    </cfRule>
  </conditionalFormatting>
  <conditionalFormatting sqref="C109">
    <cfRule type="expression" dxfId="12784" priority="507">
      <formula>ISNUMBER(SEARCH("UV",D99))</formula>
    </cfRule>
  </conditionalFormatting>
  <conditionalFormatting sqref="C110">
    <cfRule type="expression" dxfId="12783" priority="490">
      <formula>(ISNUMBER(SEARCH("CMW",D99)))=TRUE</formula>
    </cfRule>
  </conditionalFormatting>
  <conditionalFormatting sqref="C111">
    <cfRule type="expression" dxfId="12782" priority="476">
      <formula>(ISNUMBER(SEARCH("CMW",D99)))=TRUE</formula>
    </cfRule>
  </conditionalFormatting>
  <conditionalFormatting sqref="C112 C129 C146 C163 C180">
    <cfRule type="expression" dxfId="12781" priority="485">
      <formula>(ISNUMBER(SEARCH("CMW",$D99)))=TRUE</formula>
    </cfRule>
  </conditionalFormatting>
  <conditionalFormatting sqref="C116">
    <cfRule type="containsText" dxfId="12780" priority="269" operator="containsText" text="CONFIG">
      <formula>NOT(ISERROR(SEARCH("CONFIG",C116)))</formula>
    </cfRule>
  </conditionalFormatting>
  <conditionalFormatting sqref="C117">
    <cfRule type="containsText" dxfId="12779" priority="253" operator="containsText" text="LIGHT SELECTION">
      <formula>NOT(ISERROR(SEARCH("LIGHT SELECTION",C117)))</formula>
    </cfRule>
  </conditionalFormatting>
  <conditionalFormatting sqref="C122:C123">
    <cfRule type="cellIs" dxfId="12776" priority="268" operator="lessThan">
      <formula>1</formula>
    </cfRule>
  </conditionalFormatting>
  <conditionalFormatting sqref="C124:C125">
    <cfRule type="expression" dxfId="12775" priority="230">
      <formula>D124="WW PODS"</formula>
    </cfRule>
  </conditionalFormatting>
  <conditionalFormatting sqref="C126">
    <cfRule type="expression" dxfId="12774" priority="283">
      <formula>ISNUMBER(SEARCH("UV",D116))</formula>
    </cfRule>
  </conditionalFormatting>
  <conditionalFormatting sqref="C127">
    <cfRule type="expression" dxfId="12773" priority="266">
      <formula>(ISNUMBER(SEARCH("CMW",D116)))=TRUE</formula>
    </cfRule>
  </conditionalFormatting>
  <conditionalFormatting sqref="C128">
    <cfRule type="expression" dxfId="12772" priority="258">
      <formula>(ISNUMBER(SEARCH("CMW",D116)))=TRUE</formula>
    </cfRule>
  </conditionalFormatting>
  <conditionalFormatting sqref="C133">
    <cfRule type="containsText" dxfId="12771" priority="200" operator="containsText" text="CONFIG">
      <formula>NOT(ISERROR(SEARCH("CONFIG",C133)))</formula>
    </cfRule>
  </conditionalFormatting>
  <conditionalFormatting sqref="C134">
    <cfRule type="containsText" dxfId="12770" priority="184" operator="containsText" text="LIGHT SELECTION">
      <formula>NOT(ISERROR(SEARCH("LIGHT SELECTION",C134)))</formula>
    </cfRule>
  </conditionalFormatting>
  <conditionalFormatting sqref="C139:C140">
    <cfRule type="cellIs" dxfId="12767" priority="199" operator="lessThan">
      <formula>1</formula>
    </cfRule>
  </conditionalFormatting>
  <conditionalFormatting sqref="C141:C142">
    <cfRule type="expression" dxfId="12766" priority="167">
      <formula>D141="WW PODS"</formula>
    </cfRule>
  </conditionalFormatting>
  <conditionalFormatting sqref="C143">
    <cfRule type="expression" dxfId="12765" priority="214">
      <formula>ISNUMBER(SEARCH("UV",D133))</formula>
    </cfRule>
  </conditionalFormatting>
  <conditionalFormatting sqref="C144">
    <cfRule type="expression" dxfId="12764" priority="197">
      <formula>(ISNUMBER(SEARCH("CMW",D133)))=TRUE</formula>
    </cfRule>
  </conditionalFormatting>
  <conditionalFormatting sqref="C145">
    <cfRule type="expression" dxfId="12763" priority="189">
      <formula>(ISNUMBER(SEARCH("CMW",D133)))=TRUE</formula>
    </cfRule>
  </conditionalFormatting>
  <conditionalFormatting sqref="C150">
    <cfRule type="containsText" dxfId="12762" priority="145" operator="containsText" text="CONFIG">
      <formula>NOT(ISERROR(SEARCH("CONFIG",C150)))</formula>
    </cfRule>
  </conditionalFormatting>
  <conditionalFormatting sqref="C151">
    <cfRule type="containsText" dxfId="12761" priority="129" operator="containsText" text="LIGHT SELECTION">
      <formula>NOT(ISERROR(SEARCH("LIGHT SELECTION",C151)))</formula>
    </cfRule>
  </conditionalFormatting>
  <conditionalFormatting sqref="C156:C157">
    <cfRule type="cellIs" dxfId="12758" priority="144" operator="lessThan">
      <formula>1</formula>
    </cfRule>
  </conditionalFormatting>
  <conditionalFormatting sqref="C158:C159">
    <cfRule type="expression" dxfId="12757" priority="112">
      <formula>D158="WW PODS"</formula>
    </cfRule>
  </conditionalFormatting>
  <conditionalFormatting sqref="C160">
    <cfRule type="expression" dxfId="12756" priority="159">
      <formula>ISNUMBER(SEARCH("UV",D150))</formula>
    </cfRule>
  </conditionalFormatting>
  <conditionalFormatting sqref="C161">
    <cfRule type="expression" dxfId="12755" priority="142">
      <formula>(ISNUMBER(SEARCH("CMW",D150)))=TRUE</formula>
    </cfRule>
  </conditionalFormatting>
  <conditionalFormatting sqref="C162">
    <cfRule type="expression" dxfId="12754" priority="134">
      <formula>(ISNUMBER(SEARCH("CMW",D150)))=TRUE</formula>
    </cfRule>
  </conditionalFormatting>
  <conditionalFormatting sqref="C167">
    <cfRule type="containsText" dxfId="12753" priority="90" operator="containsText" text="CONFIG">
      <formula>NOT(ISERROR(SEARCH("CONFIG",C167)))</formula>
    </cfRule>
  </conditionalFormatting>
  <conditionalFormatting sqref="C168">
    <cfRule type="containsText" dxfId="12752" priority="74" operator="containsText" text="LIGHT SELECTION">
      <formula>NOT(ISERROR(SEARCH("LIGHT SELECTION",C168)))</formula>
    </cfRule>
  </conditionalFormatting>
  <conditionalFormatting sqref="C173:C174">
    <cfRule type="cellIs" dxfId="12749" priority="89" operator="lessThan">
      <formula>1</formula>
    </cfRule>
  </conditionalFormatting>
  <conditionalFormatting sqref="C175:C176">
    <cfRule type="expression" dxfId="12748" priority="57">
      <formula>D175="WW PODS"</formula>
    </cfRule>
  </conditionalFormatting>
  <conditionalFormatting sqref="C177">
    <cfRule type="expression" dxfId="12747" priority="104">
      <formula>ISNUMBER(SEARCH("UV",D167))</formula>
    </cfRule>
  </conditionalFormatting>
  <conditionalFormatting sqref="C178">
    <cfRule type="expression" dxfId="12746" priority="87">
      <formula>(ISNUMBER(SEARCH("CMW",D167)))=TRUE</formula>
    </cfRule>
  </conditionalFormatting>
  <conditionalFormatting sqref="C179">
    <cfRule type="expression" dxfId="12745" priority="79">
      <formula>(ISNUMBER(SEARCH("CMW",D167)))=TRUE</formula>
    </cfRule>
  </conditionalFormatting>
  <conditionalFormatting sqref="C183:C184">
    <cfRule type="cellIs" dxfId="12744" priority="695" operator="lessThan">
      <formula>1</formula>
    </cfRule>
  </conditionalFormatting>
  <conditionalFormatting sqref="C185">
    <cfRule type="cellIs" dxfId="12743" priority="684" operator="lessThan">
      <formula>1</formula>
    </cfRule>
  </conditionalFormatting>
  <conditionalFormatting sqref="C186:C197">
    <cfRule type="cellIs" dxfId="12742" priority="224" operator="lessThan">
      <formula>1</formula>
    </cfRule>
  </conditionalFormatting>
  <conditionalFormatting sqref="C9:D9">
    <cfRule type="cellIs" dxfId="12741" priority="685" operator="lessThan">
      <formula>0</formula>
    </cfRule>
    <cfRule type="cellIs" dxfId="12740" priority="686" operator="greaterThan">
      <formula>0</formula>
    </cfRule>
  </conditionalFormatting>
  <conditionalFormatting sqref="D14">
    <cfRule type="containsText" dxfId="12739" priority="696" operator="containsText" text="CANOPY TYPE">
      <formula>NOT(ISERROR(SEARCH("CANOPY TYPE",D14)))</formula>
    </cfRule>
  </conditionalFormatting>
  <conditionalFormatting sqref="D15">
    <cfRule type="expression" dxfId="12738" priority="437">
      <formula>(C15="LIGHT SELECTION")</formula>
    </cfRule>
  </conditionalFormatting>
  <conditionalFormatting sqref="D16:D18">
    <cfRule type="expression" dxfId="12737" priority="651">
      <formula>($C16="SELECT WORKS")</formula>
    </cfRule>
  </conditionalFormatting>
  <conditionalFormatting sqref="D19">
    <cfRule type="expression" dxfId="12736" priority="223">
      <formula>$C19="SELECT CLADDING"</formula>
    </cfRule>
  </conditionalFormatting>
  <conditionalFormatting sqref="D22:D23">
    <cfRule type="expression" dxfId="12735" priority="420">
      <formula>($D$14="CANOPY TYPE")</formula>
    </cfRule>
  </conditionalFormatting>
  <conditionalFormatting sqref="D24">
    <cfRule type="expression" dxfId="12734" priority="709">
      <formula>ISNUMBER(SEARCH("UV",D14))</formula>
    </cfRule>
  </conditionalFormatting>
  <conditionalFormatting sqref="D25">
    <cfRule type="expression" dxfId="12733" priority="637">
      <formula>($D$14="CANOPY TYPE")</formula>
    </cfRule>
  </conditionalFormatting>
  <conditionalFormatting sqref="D26">
    <cfRule type="expression" dxfId="12732" priority="659">
      <formula>(ISNUMBER(SEARCH("CMW",D14)))=TRUE</formula>
    </cfRule>
  </conditionalFormatting>
  <conditionalFormatting sqref="D31">
    <cfRule type="containsText" dxfId="12731" priority="619" operator="containsText" text="CANOPY TYPE">
      <formula>NOT(ISERROR(SEARCH("CANOPY TYPE",D31)))</formula>
    </cfRule>
  </conditionalFormatting>
  <conditionalFormatting sqref="D32">
    <cfRule type="expression" dxfId="12730" priority="450">
      <formula>(C32="LIGHT SELECTION")</formula>
    </cfRule>
  </conditionalFormatting>
  <conditionalFormatting sqref="D34:D35">
    <cfRule type="expression" dxfId="12729" priority="612">
      <formula>($C34="SELECT WORKS")</formula>
    </cfRule>
  </conditionalFormatting>
  <conditionalFormatting sqref="D36">
    <cfRule type="expression" dxfId="12728" priority="429">
      <formula>$C36="SELECT CLADDING"</formula>
    </cfRule>
  </conditionalFormatting>
  <conditionalFormatting sqref="D39:D40">
    <cfRule type="expression" dxfId="12727" priority="394">
      <formula>($D$14="CANOPY TYPE")</formula>
    </cfRule>
  </conditionalFormatting>
  <conditionalFormatting sqref="D41">
    <cfRule type="expression" dxfId="12726" priority="631">
      <formula>ISNUMBER(SEARCH("UV",D31))</formula>
    </cfRule>
  </conditionalFormatting>
  <conditionalFormatting sqref="D42">
    <cfRule type="expression" dxfId="12725" priority="605">
      <formula>($D$14="CANOPY TYPE")</formula>
    </cfRule>
  </conditionalFormatting>
  <conditionalFormatting sqref="D43">
    <cfRule type="expression" dxfId="12724" priority="614">
      <formula>(ISNUMBER(SEARCH("CMW",D31)))=TRUE</formula>
    </cfRule>
  </conditionalFormatting>
  <conditionalFormatting sqref="D48">
    <cfRule type="containsText" dxfId="12723" priority="432" operator="containsText" text="CANOPY TYPE">
      <formula>NOT(ISERROR(SEARCH("CANOPY TYPE",D48)))</formula>
    </cfRule>
  </conditionalFormatting>
  <conditionalFormatting sqref="D49">
    <cfRule type="expression" dxfId="12722" priority="447">
      <formula>(C15="LIGHT SELECTION")</formula>
    </cfRule>
  </conditionalFormatting>
  <conditionalFormatting sqref="D51:D52">
    <cfRule type="expression" dxfId="12721" priority="581">
      <formula>($C51="SELECT WORKS")</formula>
    </cfRule>
  </conditionalFormatting>
  <conditionalFormatting sqref="D53">
    <cfRule type="expression" dxfId="12720" priority="430">
      <formula>$C53="SELECT CLADDING"</formula>
    </cfRule>
  </conditionalFormatting>
  <conditionalFormatting sqref="D56:D57">
    <cfRule type="expression" dxfId="12719" priority="368">
      <formula>($D$14="CANOPY TYPE")</formula>
    </cfRule>
  </conditionalFormatting>
  <conditionalFormatting sqref="D58">
    <cfRule type="expression" dxfId="12718" priority="599">
      <formula>ISNUMBER(SEARCH("UV",D48))</formula>
    </cfRule>
  </conditionalFormatting>
  <conditionalFormatting sqref="D59">
    <cfRule type="expression" dxfId="12717" priority="575">
      <formula>($D$14="CANOPY TYPE")</formula>
    </cfRule>
  </conditionalFormatting>
  <conditionalFormatting sqref="D60">
    <cfRule type="expression" dxfId="12716" priority="583">
      <formula>(ISNUMBER(SEARCH("CMW",D48)))=TRUE</formula>
    </cfRule>
  </conditionalFormatting>
  <conditionalFormatting sqref="D65">
    <cfRule type="containsText" dxfId="12715" priority="431" operator="containsText" text="CANOPY TYPE">
      <formula>NOT(ISERROR(SEARCH("CANOPY TYPE",D65)))</formula>
    </cfRule>
  </conditionalFormatting>
  <conditionalFormatting sqref="D66">
    <cfRule type="expression" dxfId="12714" priority="440">
      <formula>(C66="LIGHT SELECTION")</formula>
    </cfRule>
  </conditionalFormatting>
  <conditionalFormatting sqref="D68:D69">
    <cfRule type="expression" dxfId="12713" priority="550">
      <formula>($C68="SELECT WORKS")</formula>
    </cfRule>
  </conditionalFormatting>
  <conditionalFormatting sqref="D70">
    <cfRule type="expression" dxfId="12712" priority="554">
      <formula>$C70="SELECT CLADDING"</formula>
    </cfRule>
  </conditionalFormatting>
  <conditionalFormatting sqref="D73:D74">
    <cfRule type="expression" dxfId="12711" priority="342">
      <formula>($D$14="CANOPY TYPE")</formula>
    </cfRule>
  </conditionalFormatting>
  <conditionalFormatting sqref="D75">
    <cfRule type="expression" dxfId="12710" priority="569">
      <formula>ISNUMBER(SEARCH("UV",D65))</formula>
    </cfRule>
  </conditionalFormatting>
  <conditionalFormatting sqref="D76">
    <cfRule type="expression" dxfId="12709" priority="544">
      <formula>($D$14="CANOPY TYPE")</formula>
    </cfRule>
  </conditionalFormatting>
  <conditionalFormatting sqref="D77">
    <cfRule type="expression" dxfId="12708" priority="552">
      <formula>(ISNUMBER(SEARCH("CMW",D65)))=TRUE</formula>
    </cfRule>
  </conditionalFormatting>
  <conditionalFormatting sqref="D82">
    <cfRule type="containsText" dxfId="12707" priority="526" operator="containsText" text="CANOPY TYPE">
      <formula>NOT(ISERROR(SEARCH("CANOPY TYPE",D82)))</formula>
    </cfRule>
  </conditionalFormatting>
  <conditionalFormatting sqref="D83">
    <cfRule type="expression" dxfId="12706" priority="439">
      <formula>(C83="LIGHT SELECTION")</formula>
    </cfRule>
  </conditionalFormatting>
  <conditionalFormatting sqref="D85:D86">
    <cfRule type="expression" dxfId="12705" priority="518">
      <formula>($C85="SELECT WORKS")</formula>
    </cfRule>
  </conditionalFormatting>
  <conditionalFormatting sqref="D87">
    <cfRule type="expression" dxfId="12704" priority="522">
      <formula>$C87="SELECT CLADDING"</formula>
    </cfRule>
  </conditionalFormatting>
  <conditionalFormatting sqref="D90:D91">
    <cfRule type="expression" dxfId="12703" priority="316">
      <formula>($D$14="CANOPY TYPE")</formula>
    </cfRule>
  </conditionalFormatting>
  <conditionalFormatting sqref="D92">
    <cfRule type="expression" dxfId="12702" priority="538">
      <formula>ISNUMBER(SEARCH("UV",D82))</formula>
    </cfRule>
  </conditionalFormatting>
  <conditionalFormatting sqref="D93">
    <cfRule type="expression" dxfId="12701" priority="512">
      <formula>($D$14="CANOPY TYPE")</formula>
    </cfRule>
  </conditionalFormatting>
  <conditionalFormatting sqref="D94">
    <cfRule type="expression" dxfId="12700" priority="520">
      <formula>(ISNUMBER(SEARCH("CMW",D82)))=TRUE</formula>
    </cfRule>
  </conditionalFormatting>
  <conditionalFormatting sqref="D99">
    <cfRule type="containsText" dxfId="12699" priority="494" operator="containsText" text="CANOPY TYPE">
      <formula>NOT(ISERROR(SEARCH("CANOPY TYPE",D99)))</formula>
    </cfRule>
  </conditionalFormatting>
  <conditionalFormatting sqref="D100">
    <cfRule type="expression" dxfId="12698" priority="438">
      <formula>(C100="LIGHT SELECTION")</formula>
    </cfRule>
  </conditionalFormatting>
  <conditionalFormatting sqref="D102:D103">
    <cfRule type="expression" dxfId="12697" priority="487">
      <formula>($C102="SELECT WORKS")</formula>
    </cfRule>
  </conditionalFormatting>
  <conditionalFormatting sqref="D104">
    <cfRule type="expression" dxfId="12696" priority="428">
      <formula>$C104="SELECT CLADDING"</formula>
    </cfRule>
  </conditionalFormatting>
  <conditionalFormatting sqref="D107:D108">
    <cfRule type="expression" dxfId="12695" priority="290">
      <formula>($D$14="CANOPY TYPE")</formula>
    </cfRule>
  </conditionalFormatting>
  <conditionalFormatting sqref="D109">
    <cfRule type="expression" dxfId="12694" priority="506">
      <formula>ISNUMBER(SEARCH("UV",D99))</formula>
    </cfRule>
  </conditionalFormatting>
  <conditionalFormatting sqref="D110">
    <cfRule type="expression" dxfId="12693" priority="481">
      <formula>($D$14="CANOPY TYPE")</formula>
    </cfRule>
  </conditionalFormatting>
  <conditionalFormatting sqref="D111">
    <cfRule type="expression" dxfId="12692" priority="489">
      <formula>(ISNUMBER(SEARCH("CMW",D99)))=TRUE</formula>
    </cfRule>
  </conditionalFormatting>
  <conditionalFormatting sqref="D116">
    <cfRule type="containsText" dxfId="12691" priority="270" operator="containsText" text="CANOPY TYPE">
      <formula>NOT(ISERROR(SEARCH("CANOPY TYPE",D116)))</formula>
    </cfRule>
  </conditionalFormatting>
  <conditionalFormatting sqref="D117">
    <cfRule type="expression" dxfId="12690" priority="252">
      <formula>(C117="LIGHT SELECTION")</formula>
    </cfRule>
  </conditionalFormatting>
  <conditionalFormatting sqref="D119:D120">
    <cfRule type="expression" dxfId="12689" priority="263">
      <formula>($C119="SELECT WORKS")</formula>
    </cfRule>
  </conditionalFormatting>
  <conditionalFormatting sqref="D121">
    <cfRule type="expression" dxfId="12688" priority="251">
      <formula>$C121="SELECT CLADDING"</formula>
    </cfRule>
  </conditionalFormatting>
  <conditionalFormatting sqref="D124:D125">
    <cfRule type="expression" dxfId="12687" priority="225">
      <formula>($D$14="CANOPY TYPE")</formula>
    </cfRule>
  </conditionalFormatting>
  <conditionalFormatting sqref="D126">
    <cfRule type="expression" dxfId="12686" priority="282">
      <formula>ISNUMBER(SEARCH("UV",D116))</formula>
    </cfRule>
  </conditionalFormatting>
  <conditionalFormatting sqref="D127">
    <cfRule type="expression" dxfId="12685" priority="259">
      <formula>($D$14="CANOPY TYPE")</formula>
    </cfRule>
  </conditionalFormatting>
  <conditionalFormatting sqref="D128">
    <cfRule type="expression" dxfId="12684" priority="265">
      <formula>(ISNUMBER(SEARCH("CMW",D116)))=TRUE</formula>
    </cfRule>
  </conditionalFormatting>
  <conditionalFormatting sqref="D133">
    <cfRule type="containsText" dxfId="12683" priority="201" operator="containsText" text="CANOPY TYPE">
      <formula>NOT(ISERROR(SEARCH("CANOPY TYPE",D133)))</formula>
    </cfRule>
  </conditionalFormatting>
  <conditionalFormatting sqref="D134">
    <cfRule type="expression" dxfId="12682" priority="183">
      <formula>(C134="LIGHT SELECTION")</formula>
    </cfRule>
  </conditionalFormatting>
  <conditionalFormatting sqref="D136:D137">
    <cfRule type="expression" dxfId="12681" priority="194">
      <formula>($C136="SELECT WORKS")</formula>
    </cfRule>
  </conditionalFormatting>
  <conditionalFormatting sqref="D138">
    <cfRule type="expression" dxfId="12680" priority="182">
      <formula>$C138="SELECT CLADDING"</formula>
    </cfRule>
  </conditionalFormatting>
  <conditionalFormatting sqref="D141:D142">
    <cfRule type="expression" dxfId="12679" priority="166">
      <formula>($D$14="CANOPY TYPE")</formula>
    </cfRule>
  </conditionalFormatting>
  <conditionalFormatting sqref="D143">
    <cfRule type="expression" dxfId="12678" priority="213">
      <formula>ISNUMBER(SEARCH("UV",D133))</formula>
    </cfRule>
  </conditionalFormatting>
  <conditionalFormatting sqref="D144">
    <cfRule type="expression" dxfId="12677" priority="190">
      <formula>($D$14="CANOPY TYPE")</formula>
    </cfRule>
  </conditionalFormatting>
  <conditionalFormatting sqref="D145">
    <cfRule type="expression" dxfId="12676" priority="196">
      <formula>(ISNUMBER(SEARCH("CMW",D133)))=TRUE</formula>
    </cfRule>
  </conditionalFormatting>
  <conditionalFormatting sqref="D150">
    <cfRule type="containsText" dxfId="12675" priority="146" operator="containsText" text="CANOPY TYPE">
      <formula>NOT(ISERROR(SEARCH("CANOPY TYPE",D150)))</formula>
    </cfRule>
  </conditionalFormatting>
  <conditionalFormatting sqref="D151">
    <cfRule type="expression" dxfId="12674" priority="128">
      <formula>(C151="LIGHT SELECTION")</formula>
    </cfRule>
  </conditionalFormatting>
  <conditionalFormatting sqref="D153:D154">
    <cfRule type="expression" dxfId="12673" priority="139">
      <formula>($C153="SELECT WORKS")</formula>
    </cfRule>
  </conditionalFormatting>
  <conditionalFormatting sqref="D155">
    <cfRule type="expression" dxfId="12672" priority="127">
      <formula>$C155="SELECT CLADDING"</formula>
    </cfRule>
  </conditionalFormatting>
  <conditionalFormatting sqref="D158:D159">
    <cfRule type="expression" dxfId="12671" priority="111">
      <formula>($D$14="CANOPY TYPE")</formula>
    </cfRule>
  </conditionalFormatting>
  <conditionalFormatting sqref="D160">
    <cfRule type="expression" dxfId="12670" priority="158">
      <formula>ISNUMBER(SEARCH("UV",D150))</formula>
    </cfRule>
  </conditionalFormatting>
  <conditionalFormatting sqref="D161">
    <cfRule type="expression" dxfId="12669" priority="135">
      <formula>($D$14="CANOPY TYPE")</formula>
    </cfRule>
  </conditionalFormatting>
  <conditionalFormatting sqref="D162">
    <cfRule type="expression" dxfId="12668" priority="141">
      <formula>(ISNUMBER(SEARCH("CMW",D150)))=TRUE</formula>
    </cfRule>
  </conditionalFormatting>
  <conditionalFormatting sqref="D167">
    <cfRule type="containsText" dxfId="12667" priority="91" operator="containsText" text="CANOPY TYPE">
      <formula>NOT(ISERROR(SEARCH("CANOPY TYPE",D167)))</formula>
    </cfRule>
  </conditionalFormatting>
  <conditionalFormatting sqref="D168">
    <cfRule type="expression" dxfId="12666" priority="73">
      <formula>(C168="LIGHT SELECTION")</formula>
    </cfRule>
  </conditionalFormatting>
  <conditionalFormatting sqref="D170:D171">
    <cfRule type="expression" dxfId="12665" priority="84">
      <formula>($C170="SELECT WORKS")</formula>
    </cfRule>
  </conditionalFormatting>
  <conditionalFormatting sqref="D172">
    <cfRule type="expression" dxfId="12664" priority="72">
      <formula>$C172="SELECT CLADDING"</formula>
    </cfRule>
  </conditionalFormatting>
  <conditionalFormatting sqref="D175:D176">
    <cfRule type="expression" dxfId="12663" priority="56">
      <formula>($D$14="CANOPY TYPE")</formula>
    </cfRule>
  </conditionalFormatting>
  <conditionalFormatting sqref="D177">
    <cfRule type="expression" dxfId="12662" priority="103">
      <formula>ISNUMBER(SEARCH("UV",D167))</formula>
    </cfRule>
  </conditionalFormatting>
  <conditionalFormatting sqref="D178">
    <cfRule type="expression" dxfId="12661" priority="80">
      <formula>($D$14="CANOPY TYPE")</formula>
    </cfRule>
  </conditionalFormatting>
  <conditionalFormatting sqref="D179">
    <cfRule type="expression" dxfId="12660" priority="86">
      <formula>(ISNUMBER(SEARCH("CMW",D167)))=TRUE</formula>
    </cfRule>
  </conditionalFormatting>
  <conditionalFormatting sqref="E12">
    <cfRule type="expression" dxfId="12659" priority="706">
      <formula>AND((ISNUMBER(SEARCH("I-MUAP",$D$14))),E12&lt;2500)</formula>
    </cfRule>
    <cfRule type="expression" dxfId="12658" priority="707">
      <formula>ISNUMBER(SEARCH("I-MUAP",$D$14))</formula>
    </cfRule>
    <cfRule type="cellIs" dxfId="12657" priority="708" operator="greaterThan">
      <formula>2000</formula>
    </cfRule>
  </conditionalFormatting>
  <conditionalFormatting sqref="E15">
    <cfRule type="expression" dxfId="12656" priority="435">
      <formula>(C15="LIGHT SELECTION")</formula>
    </cfRule>
  </conditionalFormatting>
  <conditionalFormatting sqref="E16:E18">
    <cfRule type="expression" dxfId="12655" priority="55">
      <formula>$C16="SELECT WORKS"</formula>
    </cfRule>
  </conditionalFormatting>
  <conditionalFormatting sqref="E22:E23">
    <cfRule type="expression" dxfId="12654" priority="689">
      <formula>D22="WW PODS"</formula>
    </cfRule>
    <cfRule type="expression" dxfId="12653" priority="690">
      <formula>D22="FILTER TYPE"</formula>
    </cfRule>
    <cfRule type="expression" dxfId="12652" priority="691">
      <formula>D22="KSA"</formula>
    </cfRule>
    <cfRule type="expression" dxfId="12651" priority="711">
      <formula>(D14="CANOPY TYPE")</formula>
    </cfRule>
  </conditionalFormatting>
  <conditionalFormatting sqref="E24">
    <cfRule type="containsText" dxfId="12650" priority="698" operator="containsText" text="LONG ">
      <formula>NOT(ISERROR(SEARCH("LONG ",E24)))</formula>
    </cfRule>
  </conditionalFormatting>
  <conditionalFormatting sqref="E29">
    <cfRule type="expression" dxfId="12649" priority="628">
      <formula>AND((ISNUMBER(SEARCH("I-MUAP",$D$14))),E29&lt;2500)</formula>
    </cfRule>
    <cfRule type="expression" dxfId="12648" priority="629">
      <formula>ISNUMBER(SEARCH("I-MUAP",$D$14))</formula>
    </cfRule>
    <cfRule type="cellIs" dxfId="12647" priority="630" operator="greaterThan">
      <formula>2000</formula>
    </cfRule>
  </conditionalFormatting>
  <conditionalFormatting sqref="E34">
    <cfRule type="expression" dxfId="12646" priority="611">
      <formula>$C34="SELECT WORKS"</formula>
    </cfRule>
  </conditionalFormatting>
  <conditionalFormatting sqref="E39:E40">
    <cfRule type="expression" dxfId="12645" priority="407">
      <formula>D39="WW PODS"</formula>
    </cfRule>
    <cfRule type="expression" dxfId="12644" priority="408">
      <formula>D39="FILTER TYPE"</formula>
    </cfRule>
    <cfRule type="expression" dxfId="12643" priority="409">
      <formula>D39="KSA"</formula>
    </cfRule>
    <cfRule type="expression" dxfId="12642" priority="410">
      <formula>(D31="CANOPY TYPE")</formula>
    </cfRule>
  </conditionalFormatting>
  <conditionalFormatting sqref="E41">
    <cfRule type="containsText" dxfId="12641" priority="621" operator="containsText" text="LONG ">
      <formula>NOT(ISERROR(SEARCH("LONG ",E41)))</formula>
    </cfRule>
  </conditionalFormatting>
  <conditionalFormatting sqref="E46">
    <cfRule type="expression" dxfId="12640" priority="596">
      <formula>AND((ISNUMBER(SEARCH("I-MUAP",$D$14))),E46&lt;2500)</formula>
    </cfRule>
    <cfRule type="expression" dxfId="12639" priority="597">
      <formula>ISNUMBER(SEARCH("I-MUAP",$D$14))</formula>
    </cfRule>
    <cfRule type="cellIs" dxfId="12638" priority="598" operator="greaterThan">
      <formula>2000</formula>
    </cfRule>
  </conditionalFormatting>
  <conditionalFormatting sqref="E49">
    <cfRule type="expression" dxfId="12637" priority="449">
      <formula>(C49="LIGHT SELECTION")</formula>
    </cfRule>
  </conditionalFormatting>
  <conditionalFormatting sqref="E51:E52">
    <cfRule type="expression" dxfId="12636" priority="580">
      <formula>$C51="SELECT WORKS"</formula>
    </cfRule>
  </conditionalFormatting>
  <conditionalFormatting sqref="E56:E57">
    <cfRule type="expression" dxfId="12635" priority="381">
      <formula>D56="WW PODS"</formula>
    </cfRule>
    <cfRule type="expression" dxfId="12634" priority="382">
      <formula>D56="FILTER TYPE"</formula>
    </cfRule>
    <cfRule type="expression" dxfId="12633" priority="383">
      <formula>D56="KSA"</formula>
    </cfRule>
    <cfRule type="expression" dxfId="12632" priority="384">
      <formula>(D48="CANOPY TYPE")</formula>
    </cfRule>
  </conditionalFormatting>
  <conditionalFormatting sqref="E58">
    <cfRule type="containsText" dxfId="12631" priority="589" operator="containsText" text="LONG ">
      <formula>NOT(ISERROR(SEARCH("LONG ",E58)))</formula>
    </cfRule>
  </conditionalFormatting>
  <conditionalFormatting sqref="E63">
    <cfRule type="expression" dxfId="12630" priority="566">
      <formula>AND((ISNUMBER(SEARCH("I-MUAP",$D$14))),E63&lt;2500)</formula>
    </cfRule>
    <cfRule type="expression" dxfId="12629" priority="567">
      <formula>ISNUMBER(SEARCH("I-MUAP",$D$14))</formula>
    </cfRule>
    <cfRule type="cellIs" dxfId="12628" priority="568" operator="greaterThan">
      <formula>2000</formula>
    </cfRule>
  </conditionalFormatting>
  <conditionalFormatting sqref="E68:E69">
    <cfRule type="expression" dxfId="12627" priority="549">
      <formula>$C68="SELECT WORKS"</formula>
    </cfRule>
  </conditionalFormatting>
  <conditionalFormatting sqref="E73:E74">
    <cfRule type="expression" dxfId="12626" priority="355">
      <formula>D73="WW PODS"</formula>
    </cfRule>
    <cfRule type="expression" dxfId="12625" priority="356">
      <formula>D73="FILTER TYPE"</formula>
    </cfRule>
    <cfRule type="expression" dxfId="12624" priority="357">
      <formula>D73="KSA"</formula>
    </cfRule>
    <cfRule type="expression" dxfId="12623" priority="358">
      <formula>(D65="CANOPY TYPE")</formula>
    </cfRule>
  </conditionalFormatting>
  <conditionalFormatting sqref="E75">
    <cfRule type="containsText" dxfId="12622" priority="559" operator="containsText" text="LONG ">
      <formula>NOT(ISERROR(SEARCH("LONG ",E75)))</formula>
    </cfRule>
  </conditionalFormatting>
  <conditionalFormatting sqref="E80">
    <cfRule type="expression" dxfId="12621" priority="535">
      <formula>AND((ISNUMBER(SEARCH("I-MUAP",$D$14))),E80&lt;2500)</formula>
    </cfRule>
    <cfRule type="expression" dxfId="12620" priority="536">
      <formula>ISNUMBER(SEARCH("I-MUAP",$D$14))</formula>
    </cfRule>
    <cfRule type="cellIs" dxfId="12619" priority="537" operator="greaterThan">
      <formula>2000</formula>
    </cfRule>
  </conditionalFormatting>
  <conditionalFormatting sqref="E85:E86">
    <cfRule type="expression" dxfId="12618" priority="517">
      <formula>$C85="SELECT WORKS"</formula>
    </cfRule>
  </conditionalFormatting>
  <conditionalFormatting sqref="E90:E91">
    <cfRule type="expression" dxfId="12617" priority="329">
      <formula>D90="WW PODS"</formula>
    </cfRule>
    <cfRule type="expression" dxfId="12616" priority="330">
      <formula>D90="FILTER TYPE"</formula>
    </cfRule>
    <cfRule type="expression" dxfId="12615" priority="331">
      <formula>D90="KSA"</formula>
    </cfRule>
    <cfRule type="expression" dxfId="12614" priority="332">
      <formula>(D82="CANOPY TYPE")</formula>
    </cfRule>
  </conditionalFormatting>
  <conditionalFormatting sqref="E92">
    <cfRule type="containsText" dxfId="12613" priority="528" operator="containsText" text="LONG ">
      <formula>NOT(ISERROR(SEARCH("LONG ",E92)))</formula>
    </cfRule>
  </conditionalFormatting>
  <conditionalFormatting sqref="E97">
    <cfRule type="expression" dxfId="12612" priority="503">
      <formula>AND((ISNUMBER(SEARCH("I-MUAP",$D$14))),E97&lt;2500)</formula>
    </cfRule>
    <cfRule type="expression" dxfId="12611" priority="504">
      <formula>ISNUMBER(SEARCH("I-MUAP",$D$14))</formula>
    </cfRule>
    <cfRule type="cellIs" dxfId="12610" priority="505" operator="greaterThan">
      <formula>2000</formula>
    </cfRule>
  </conditionalFormatting>
  <conditionalFormatting sqref="E102:E103">
    <cfRule type="expression" dxfId="12609" priority="486">
      <formula>$C102="SELECT WORKS"</formula>
    </cfRule>
  </conditionalFormatting>
  <conditionalFormatting sqref="E107:E108">
    <cfRule type="expression" dxfId="12608" priority="303">
      <formula>D107="WW PODS"</formula>
    </cfRule>
    <cfRule type="expression" dxfId="12607" priority="304">
      <formula>D107="FILTER TYPE"</formula>
    </cfRule>
    <cfRule type="expression" dxfId="12606" priority="305">
      <formula>D107="KSA"</formula>
    </cfRule>
    <cfRule type="expression" dxfId="12605" priority="306">
      <formula>(D99="CANOPY TYPE")</formula>
    </cfRule>
  </conditionalFormatting>
  <conditionalFormatting sqref="E109">
    <cfRule type="containsText" dxfId="12604" priority="496" operator="containsText" text="LONG ">
      <formula>NOT(ISERROR(SEARCH("LONG ",E109)))</formula>
    </cfRule>
  </conditionalFormatting>
  <conditionalFormatting sqref="E114">
    <cfRule type="expression" dxfId="12603" priority="279">
      <formula>AND((ISNUMBER(SEARCH("I-MUAP",$D$14))),E114&lt;2500)</formula>
    </cfRule>
    <cfRule type="expression" dxfId="12602" priority="280">
      <formula>ISNUMBER(SEARCH("I-MUAP",$D$14))</formula>
    </cfRule>
    <cfRule type="cellIs" dxfId="12601" priority="281" operator="greaterThan">
      <formula>2000</formula>
    </cfRule>
  </conditionalFormatting>
  <conditionalFormatting sqref="E119:E120">
    <cfRule type="expression" dxfId="12600" priority="262">
      <formula>$C119="SELECT WORKS"</formula>
    </cfRule>
  </conditionalFormatting>
  <conditionalFormatting sqref="E124:E125">
    <cfRule type="expression" dxfId="12599" priority="238">
      <formula>D124="WW PODS"</formula>
    </cfRule>
    <cfRule type="expression" dxfId="12598" priority="239">
      <formula>D124="FILTER TYPE"</formula>
    </cfRule>
    <cfRule type="expression" dxfId="12597" priority="240">
      <formula>D124="KSA"</formula>
    </cfRule>
    <cfRule type="expression" dxfId="12596" priority="241">
      <formula>(D116="CANOPY TYPE")</formula>
    </cfRule>
  </conditionalFormatting>
  <conditionalFormatting sqref="E126">
    <cfRule type="containsText" dxfId="12595" priority="272" operator="containsText" text="LONG ">
      <formula>NOT(ISERROR(SEARCH("LONG ",E126)))</formula>
    </cfRule>
  </conditionalFormatting>
  <conditionalFormatting sqref="E131">
    <cfRule type="expression" dxfId="12594" priority="210">
      <formula>AND((ISNUMBER(SEARCH("I-MUAP",$D$14))),E131&lt;2500)</formula>
    </cfRule>
    <cfRule type="expression" dxfId="12593" priority="211">
      <formula>ISNUMBER(SEARCH("I-MUAP",$D$14))</formula>
    </cfRule>
    <cfRule type="cellIs" dxfId="12592" priority="212" operator="greaterThan">
      <formula>2000</formula>
    </cfRule>
  </conditionalFormatting>
  <conditionalFormatting sqref="E136:E137">
    <cfRule type="expression" dxfId="12591" priority="193">
      <formula>$C136="SELECT WORKS"</formula>
    </cfRule>
  </conditionalFormatting>
  <conditionalFormatting sqref="E141:E142">
    <cfRule type="expression" dxfId="12590" priority="169">
      <formula>D141="WW PODS"</formula>
    </cfRule>
    <cfRule type="expression" dxfId="12589" priority="170">
      <formula>D141="FILTER TYPE"</formula>
    </cfRule>
    <cfRule type="expression" dxfId="12588" priority="171">
      <formula>D141="KSA"</formula>
    </cfRule>
    <cfRule type="expression" dxfId="12587" priority="172">
      <formula>(D133="CANOPY TYPE")</formula>
    </cfRule>
  </conditionalFormatting>
  <conditionalFormatting sqref="E143">
    <cfRule type="containsText" dxfId="12586" priority="203" operator="containsText" text="LONG ">
      <formula>NOT(ISERROR(SEARCH("LONG ",E143)))</formula>
    </cfRule>
  </conditionalFormatting>
  <conditionalFormatting sqref="E148">
    <cfRule type="expression" dxfId="12585" priority="155">
      <formula>AND((ISNUMBER(SEARCH("I-MUAP",$D$14))),E148&lt;2500)</formula>
    </cfRule>
    <cfRule type="expression" dxfId="12584" priority="156">
      <formula>ISNUMBER(SEARCH("I-MUAP",$D$14))</formula>
    </cfRule>
    <cfRule type="cellIs" dxfId="12583" priority="157" operator="greaterThan">
      <formula>2000</formula>
    </cfRule>
  </conditionalFormatting>
  <conditionalFormatting sqref="E153:E154">
    <cfRule type="expression" dxfId="12582" priority="138">
      <formula>$C153="SELECT WORKS"</formula>
    </cfRule>
  </conditionalFormatting>
  <conditionalFormatting sqref="E158:E159">
    <cfRule type="expression" dxfId="12581" priority="114">
      <formula>D158="WW PODS"</formula>
    </cfRule>
    <cfRule type="expression" dxfId="12580" priority="115">
      <formula>D158="FILTER TYPE"</formula>
    </cfRule>
    <cfRule type="expression" dxfId="12579" priority="116">
      <formula>D158="KSA"</formula>
    </cfRule>
    <cfRule type="expression" dxfId="12578" priority="117">
      <formula>(D150="CANOPY TYPE")</formula>
    </cfRule>
  </conditionalFormatting>
  <conditionalFormatting sqref="E160">
    <cfRule type="containsText" dxfId="12577" priority="148" operator="containsText" text="LONG ">
      <formula>NOT(ISERROR(SEARCH("LONG ",E160)))</formula>
    </cfRule>
  </conditionalFormatting>
  <conditionalFormatting sqref="E165">
    <cfRule type="expression" dxfId="12576" priority="100">
      <formula>AND((ISNUMBER(SEARCH("I-MUAP",$D$14))),E165&lt;2500)</formula>
    </cfRule>
    <cfRule type="expression" dxfId="12575" priority="101">
      <formula>ISNUMBER(SEARCH("I-MUAP",$D$14))</formula>
    </cfRule>
    <cfRule type="cellIs" dxfId="12574" priority="102" operator="greaterThan">
      <formula>2000</formula>
    </cfRule>
  </conditionalFormatting>
  <conditionalFormatting sqref="E170:E171">
    <cfRule type="expression" dxfId="12573" priority="83">
      <formula>$C170="SELECT WORKS"</formula>
    </cfRule>
  </conditionalFormatting>
  <conditionalFormatting sqref="E175:E176">
    <cfRule type="expression" dxfId="12572" priority="59">
      <formula>D175="WW PODS"</formula>
    </cfRule>
    <cfRule type="expression" dxfId="12571" priority="60">
      <formula>D175="FILTER TYPE"</formula>
    </cfRule>
    <cfRule type="expression" dxfId="12570" priority="61">
      <formula>D175="KSA"</formula>
    </cfRule>
    <cfRule type="expression" dxfId="12569" priority="62">
      <formula>(D167="CANOPY TYPE")</formula>
    </cfRule>
  </conditionalFormatting>
  <conditionalFormatting sqref="E177">
    <cfRule type="containsText" dxfId="12568" priority="93" operator="containsText" text="LONG ">
      <formula>NOT(ISERROR(SEARCH("LONG ",E177)))</formula>
    </cfRule>
  </conditionalFormatting>
  <conditionalFormatting sqref="E12:F12">
    <cfRule type="cellIs" dxfId="12567" priority="702" operator="lessThan">
      <formula>1000</formula>
    </cfRule>
  </conditionalFormatting>
  <conditionalFormatting sqref="E14:F14">
    <cfRule type="cellIs" dxfId="12566" priority="699" operator="lessThan">
      <formula>1000</formula>
    </cfRule>
  </conditionalFormatting>
  <conditionalFormatting sqref="E25:F27">
    <cfRule type="expression" dxfId="12565" priority="638">
      <formula>($D$14="CANOPY TYPE")</formula>
    </cfRule>
  </conditionalFormatting>
  <conditionalFormatting sqref="E29:F29">
    <cfRule type="cellIs" dxfId="12564" priority="625" operator="lessThan">
      <formula>1000</formula>
    </cfRule>
  </conditionalFormatting>
  <conditionalFormatting sqref="E31:F31">
    <cfRule type="cellIs" dxfId="12563" priority="622" operator="lessThan">
      <formula>1000</formula>
    </cfRule>
  </conditionalFormatting>
  <conditionalFormatting sqref="E32:F32">
    <cfRule type="expression" dxfId="12562" priority="473">
      <formula>(C32="LIGHT SELECTION")</formula>
    </cfRule>
  </conditionalFormatting>
  <conditionalFormatting sqref="E42:F44">
    <cfRule type="expression" dxfId="12561" priority="606">
      <formula>($D$14="CANOPY TYPE")</formula>
    </cfRule>
  </conditionalFormatting>
  <conditionalFormatting sqref="E46:F46">
    <cfRule type="cellIs" dxfId="12560" priority="593" operator="lessThan">
      <formula>1000</formula>
    </cfRule>
  </conditionalFormatting>
  <conditionalFormatting sqref="E48:F48">
    <cfRule type="cellIs" dxfId="12559" priority="590" operator="lessThan">
      <formula>1000</formula>
    </cfRule>
  </conditionalFormatting>
  <conditionalFormatting sqref="E59:F61">
    <cfRule type="expression" dxfId="12558" priority="576">
      <formula>($D$14="CANOPY TYPE")</formula>
    </cfRule>
  </conditionalFormatting>
  <conditionalFormatting sqref="E63:F63">
    <cfRule type="cellIs" dxfId="12557" priority="563" operator="lessThan">
      <formula>1000</formula>
    </cfRule>
  </conditionalFormatting>
  <conditionalFormatting sqref="E65:F65">
    <cfRule type="cellIs" dxfId="12556" priority="560" operator="lessThan">
      <formula>1000</formula>
    </cfRule>
  </conditionalFormatting>
  <conditionalFormatting sqref="E66:F66">
    <cfRule type="expression" dxfId="12555" priority="466">
      <formula>(C66="LIGHT SELECTION")</formula>
    </cfRule>
  </conditionalFormatting>
  <conditionalFormatting sqref="E76:F78">
    <cfRule type="expression" dxfId="12554" priority="545">
      <formula>($D$14="CANOPY TYPE")</formula>
    </cfRule>
  </conditionalFormatting>
  <conditionalFormatting sqref="E80:F80">
    <cfRule type="cellIs" dxfId="12553" priority="532" operator="lessThan">
      <formula>1000</formula>
    </cfRule>
  </conditionalFormatting>
  <conditionalFormatting sqref="E82:F82">
    <cfRule type="cellIs" dxfId="12552" priority="529" operator="lessThan">
      <formula>1000</formula>
    </cfRule>
  </conditionalFormatting>
  <conditionalFormatting sqref="E83:F83">
    <cfRule type="expression" dxfId="12551" priority="462">
      <formula>(C83="LIGHT SELECTION")</formula>
    </cfRule>
  </conditionalFormatting>
  <conditionalFormatting sqref="E93:F95">
    <cfRule type="expression" dxfId="12550" priority="513">
      <formula>($D$14="CANOPY TYPE")</formula>
    </cfRule>
  </conditionalFormatting>
  <conditionalFormatting sqref="E97:F97">
    <cfRule type="cellIs" dxfId="12549" priority="500" operator="lessThan">
      <formula>1000</formula>
    </cfRule>
  </conditionalFormatting>
  <conditionalFormatting sqref="E99:F99">
    <cfRule type="cellIs" dxfId="12548" priority="497" operator="lessThan">
      <formula>1000</formula>
    </cfRule>
  </conditionalFormatting>
  <conditionalFormatting sqref="E100:F100">
    <cfRule type="expression" dxfId="12547" priority="458">
      <formula>(C100="LIGHT SELECTION")</formula>
    </cfRule>
  </conditionalFormatting>
  <conditionalFormatting sqref="E110:F112 E127:F129 E144:F146 E161:F163 E178:F180">
    <cfRule type="expression" dxfId="12546" priority="482">
      <formula>($D$14="CANOPY TYPE")</formula>
    </cfRule>
  </conditionalFormatting>
  <conditionalFormatting sqref="E114:F114">
    <cfRule type="cellIs" dxfId="12545" priority="276" operator="lessThan">
      <formula>1000</formula>
    </cfRule>
  </conditionalFormatting>
  <conditionalFormatting sqref="E116:F116">
    <cfRule type="cellIs" dxfId="12544" priority="273" operator="lessThan">
      <formula>1000</formula>
    </cfRule>
  </conditionalFormatting>
  <conditionalFormatting sqref="E117:F117">
    <cfRule type="expression" dxfId="12543" priority="256">
      <formula>(C117="LIGHT SELECTION")</formula>
    </cfRule>
  </conditionalFormatting>
  <conditionalFormatting sqref="E131:F131">
    <cfRule type="cellIs" dxfId="12542" priority="207" operator="lessThan">
      <formula>1000</formula>
    </cfRule>
  </conditionalFormatting>
  <conditionalFormatting sqref="E133:F133">
    <cfRule type="cellIs" dxfId="12541" priority="204" operator="lessThan">
      <formula>1000</formula>
    </cfRule>
  </conditionalFormatting>
  <conditionalFormatting sqref="E134:F134">
    <cfRule type="expression" dxfId="12540" priority="187">
      <formula>(C134="LIGHT SELECTION")</formula>
    </cfRule>
  </conditionalFormatting>
  <conditionalFormatting sqref="E148:F148">
    <cfRule type="cellIs" dxfId="12539" priority="152" operator="lessThan">
      <formula>1000</formula>
    </cfRule>
  </conditionalFormatting>
  <conditionalFormatting sqref="E150:F150">
    <cfRule type="cellIs" dxfId="12538" priority="149" operator="lessThan">
      <formula>1000</formula>
    </cfRule>
  </conditionalFormatting>
  <conditionalFormatting sqref="E151:F151">
    <cfRule type="expression" dxfId="12537" priority="132">
      <formula>(C151="LIGHT SELECTION")</formula>
    </cfRule>
  </conditionalFormatting>
  <conditionalFormatting sqref="E165:F165">
    <cfRule type="cellIs" dxfId="12536" priority="97" operator="lessThan">
      <formula>1000</formula>
    </cfRule>
  </conditionalFormatting>
  <conditionalFormatting sqref="E167:F167">
    <cfRule type="cellIs" dxfId="12535" priority="94" operator="lessThan">
      <formula>1000</formula>
    </cfRule>
  </conditionalFormatting>
  <conditionalFormatting sqref="E168:F168">
    <cfRule type="expression" dxfId="12534" priority="77">
      <formula>(C168="LIGHT SELECTION")</formula>
    </cfRule>
  </conditionalFormatting>
  <conditionalFormatting sqref="F12">
    <cfRule type="cellIs" dxfId="12533" priority="703" operator="greaterThan">
      <formula>3001</formula>
    </cfRule>
  </conditionalFormatting>
  <conditionalFormatting sqref="F15">
    <cfRule type="expression" dxfId="12532" priority="475">
      <formula>(C15="LED STRIP")</formula>
    </cfRule>
    <cfRule type="expression" dxfId="12531" priority="692">
      <formula>(C15="LIGHT SELECTION")</formula>
    </cfRule>
    <cfRule type="expression" dxfId="12530" priority="694">
      <formula>(C15="FLO")</formula>
    </cfRule>
    <cfRule type="expression" dxfId="12529" priority="725">
      <formula>(D49="LIGHT SELECTION")</formula>
    </cfRule>
  </conditionalFormatting>
  <conditionalFormatting sqref="F22:F23">
    <cfRule type="expression" dxfId="12528" priority="716">
      <formula>D22="NF"</formula>
    </cfRule>
    <cfRule type="expression" dxfId="12527" priority="717">
      <formula>D22="WW PODS"</formula>
    </cfRule>
    <cfRule type="expression" dxfId="12526" priority="718">
      <formula>D22="GRILLE"</formula>
    </cfRule>
    <cfRule type="expression" dxfId="12525" priority="719">
      <formula>D22="CENTREX"</formula>
    </cfRule>
    <cfRule type="expression" dxfId="12524" priority="720" stopIfTrue="1">
      <formula>D14="canopy type"</formula>
    </cfRule>
    <cfRule type="expression" dxfId="12523" priority="721">
      <formula>(((I14*3600)/(C22*I11))^2+20)&gt;300</formula>
    </cfRule>
    <cfRule type="expression" dxfId="12522" priority="722" stopIfTrue="1">
      <formula>(ISNUMBER(SEARCH("UV",D14)))</formula>
    </cfRule>
    <cfRule type="expression" dxfId="12521" priority="723">
      <formula>(((I14*3600)/(C22*I11))^2+20)&gt;180</formula>
    </cfRule>
    <cfRule type="expression" dxfId="12520" priority="724">
      <formula>D22="KSA"</formula>
    </cfRule>
  </conditionalFormatting>
  <conditionalFormatting sqref="F24">
    <cfRule type="cellIs" dxfId="12519" priority="697" operator="lessThan">
      <formula>2100</formula>
    </cfRule>
  </conditionalFormatting>
  <conditionalFormatting sqref="F29">
    <cfRule type="cellIs" dxfId="12518" priority="626" operator="greaterThan">
      <formula>3001</formula>
    </cfRule>
  </conditionalFormatting>
  <conditionalFormatting sqref="F32">
    <cfRule type="expression" dxfId="12517" priority="471">
      <formula>(C32="LED STRIP")</formula>
    </cfRule>
    <cfRule type="expression" dxfId="12516" priority="472">
      <formula>(C32="LIGHT SELECTION")</formula>
    </cfRule>
    <cfRule type="expression" dxfId="12515" priority="474">
      <formula>(C32="FLO")</formula>
    </cfRule>
  </conditionalFormatting>
  <conditionalFormatting sqref="F39:F40">
    <cfRule type="expression" dxfId="12514" priority="411">
      <formula>D39="NF"</formula>
    </cfRule>
    <cfRule type="expression" dxfId="12513" priority="412">
      <formula>D39="WW PODS"</formula>
    </cfRule>
    <cfRule type="expression" dxfId="12512" priority="413">
      <formula>D39="GRILLE"</formula>
    </cfRule>
    <cfRule type="expression" dxfId="12511" priority="414">
      <formula>D39="CENTREX"</formula>
    </cfRule>
    <cfRule type="expression" dxfId="12510" priority="415" stopIfTrue="1">
      <formula>D31="canopy type"</formula>
    </cfRule>
    <cfRule type="expression" dxfId="12509" priority="416">
      <formula>(((I31*3600)/(C39*I28))^2+20)&gt;300</formula>
    </cfRule>
    <cfRule type="expression" dxfId="12508" priority="417" stopIfTrue="1">
      <formula>(ISNUMBER(SEARCH("UV",D31)))</formula>
    </cfRule>
    <cfRule type="expression" dxfId="12507" priority="418">
      <formula>(((I31*3600)/(C39*I28))^2+20)&gt;180</formula>
    </cfRule>
    <cfRule type="expression" dxfId="12506" priority="419">
      <formula>D39="KSA"</formula>
    </cfRule>
  </conditionalFormatting>
  <conditionalFormatting sqref="F41">
    <cfRule type="cellIs" dxfId="12505" priority="620" operator="lessThan">
      <formula>2100</formula>
    </cfRule>
  </conditionalFormatting>
  <conditionalFormatting sqref="F46">
    <cfRule type="cellIs" dxfId="12504" priority="594" operator="greaterThan">
      <formula>3001</formula>
    </cfRule>
  </conditionalFormatting>
  <conditionalFormatting sqref="F49">
    <cfRule type="expression" dxfId="12503" priority="468">
      <formula>(C49="LED STRIP")</formula>
    </cfRule>
    <cfRule type="expression" dxfId="12502" priority="469">
      <formula>(C49="LIGHT SELECTION")</formula>
    </cfRule>
    <cfRule type="expression" dxfId="12501" priority="470">
      <formula>(C49="FLO")</formula>
    </cfRule>
    <cfRule type="expression" dxfId="12500" priority="726">
      <formula>(#REF!="LIGHT SELECTION")</formula>
    </cfRule>
  </conditionalFormatting>
  <conditionalFormatting sqref="F56:F57">
    <cfRule type="expression" dxfId="12499" priority="385">
      <formula>D56="NF"</formula>
    </cfRule>
    <cfRule type="expression" dxfId="12498" priority="386">
      <formula>D56="WW PODS"</formula>
    </cfRule>
    <cfRule type="expression" dxfId="12497" priority="387">
      <formula>D56="GRILLE"</formula>
    </cfRule>
    <cfRule type="expression" dxfId="12496" priority="388">
      <formula>D56="CENTREX"</formula>
    </cfRule>
    <cfRule type="expression" dxfId="12495" priority="389" stopIfTrue="1">
      <formula>D48="canopy type"</formula>
    </cfRule>
    <cfRule type="expression" dxfId="12494" priority="390">
      <formula>(((I48*3600)/(C56*I45))^2+20)&gt;300</formula>
    </cfRule>
    <cfRule type="expression" dxfId="12493" priority="391" stopIfTrue="1">
      <formula>(ISNUMBER(SEARCH("UV",D48)))</formula>
    </cfRule>
    <cfRule type="expression" dxfId="12492" priority="392">
      <formula>(((I48*3600)/(C56*I45))^2+20)&gt;180</formula>
    </cfRule>
    <cfRule type="expression" dxfId="12491" priority="393">
      <formula>D56="KSA"</formula>
    </cfRule>
  </conditionalFormatting>
  <conditionalFormatting sqref="F58">
    <cfRule type="cellIs" dxfId="12490" priority="588" operator="lessThan">
      <formula>2100</formula>
    </cfRule>
  </conditionalFormatting>
  <conditionalFormatting sqref="F63">
    <cfRule type="cellIs" dxfId="12489" priority="564" operator="greaterThan">
      <formula>3001</formula>
    </cfRule>
  </conditionalFormatting>
  <conditionalFormatting sqref="F66">
    <cfRule type="expression" dxfId="12488" priority="464">
      <formula>(C66="LED STRIP")</formula>
    </cfRule>
    <cfRule type="expression" dxfId="12487" priority="465">
      <formula>(C66="LIGHT SELECTION")</formula>
    </cfRule>
    <cfRule type="expression" dxfId="12486" priority="467">
      <formula>(C66="FLO")</formula>
    </cfRule>
  </conditionalFormatting>
  <conditionalFormatting sqref="F73:F74">
    <cfRule type="expression" dxfId="12485" priority="359">
      <formula>D73="NF"</formula>
    </cfRule>
    <cfRule type="expression" dxfId="12484" priority="360">
      <formula>D73="WW PODS"</formula>
    </cfRule>
    <cfRule type="expression" dxfId="12483" priority="361">
      <formula>D73="GRILLE"</formula>
    </cfRule>
    <cfRule type="expression" dxfId="12482" priority="362">
      <formula>D73="CENTREX"</formula>
    </cfRule>
    <cfRule type="expression" dxfId="12481" priority="363" stopIfTrue="1">
      <formula>D65="canopy type"</formula>
    </cfRule>
    <cfRule type="expression" dxfId="12480" priority="364">
      <formula>(((I65*3600)/(C73*I62))^2+20)&gt;300</formula>
    </cfRule>
    <cfRule type="expression" dxfId="12479" priority="365" stopIfTrue="1">
      <formula>(ISNUMBER(SEARCH("UV",D65)))</formula>
    </cfRule>
    <cfRule type="expression" dxfId="12478" priority="366">
      <formula>(((I65*3600)/(C73*I62))^2+20)&gt;180</formula>
    </cfRule>
    <cfRule type="expression" dxfId="12477" priority="367">
      <formula>D73="KSA"</formula>
    </cfRule>
  </conditionalFormatting>
  <conditionalFormatting sqref="F75">
    <cfRule type="cellIs" dxfId="12476" priority="558" operator="lessThan">
      <formula>2100</formula>
    </cfRule>
  </conditionalFormatting>
  <conditionalFormatting sqref="F80">
    <cfRule type="cellIs" dxfId="12475" priority="533" operator="greaterThan">
      <formula>3001</formula>
    </cfRule>
  </conditionalFormatting>
  <conditionalFormatting sqref="F83">
    <cfRule type="expression" dxfId="12474" priority="460">
      <formula>(C83="LED STRIP")</formula>
    </cfRule>
    <cfRule type="expression" dxfId="12473" priority="461">
      <formula>(C83="LIGHT SELECTION")</formula>
    </cfRule>
    <cfRule type="expression" dxfId="12472" priority="463">
      <formula>(C83="FLO")</formula>
    </cfRule>
  </conditionalFormatting>
  <conditionalFormatting sqref="F90:F91">
    <cfRule type="expression" dxfId="12471" priority="333">
      <formula>D90="NF"</formula>
    </cfRule>
    <cfRule type="expression" dxfId="12470" priority="334">
      <formula>D90="WW PODS"</formula>
    </cfRule>
    <cfRule type="expression" dxfId="12469" priority="335">
      <formula>D90="GRILLE"</formula>
    </cfRule>
    <cfRule type="expression" dxfId="12468" priority="336">
      <formula>D90="CENTREX"</formula>
    </cfRule>
    <cfRule type="expression" dxfId="12467" priority="337" stopIfTrue="1">
      <formula>D82="canopy type"</formula>
    </cfRule>
    <cfRule type="expression" dxfId="12466" priority="338">
      <formula>(((I82*3600)/(C90*I79))^2+20)&gt;300</formula>
    </cfRule>
    <cfRule type="expression" dxfId="12465" priority="339" stopIfTrue="1">
      <formula>(ISNUMBER(SEARCH("UV",D82)))</formula>
    </cfRule>
    <cfRule type="expression" dxfId="12464" priority="340">
      <formula>(((I82*3600)/(C90*I79))^2+20)&gt;180</formula>
    </cfRule>
    <cfRule type="expression" dxfId="12463" priority="341">
      <formula>D90="KSA"</formula>
    </cfRule>
  </conditionalFormatting>
  <conditionalFormatting sqref="F92">
    <cfRule type="cellIs" dxfId="12462" priority="527" operator="lessThan">
      <formula>2100</formula>
    </cfRule>
  </conditionalFormatting>
  <conditionalFormatting sqref="F97">
    <cfRule type="cellIs" dxfId="12461" priority="501" operator="greaterThan">
      <formula>3001</formula>
    </cfRule>
  </conditionalFormatting>
  <conditionalFormatting sqref="F100">
    <cfRule type="expression" dxfId="12460" priority="456">
      <formula>(C100="LED STRIP")</formula>
    </cfRule>
    <cfRule type="expression" dxfId="12459" priority="457">
      <formula>(C100="LIGHT SELECTION")</formula>
    </cfRule>
    <cfRule type="expression" dxfId="12458" priority="459">
      <formula>(C100="FLO")</formula>
    </cfRule>
  </conditionalFormatting>
  <conditionalFormatting sqref="F107:F108">
    <cfRule type="expression" dxfId="12457" priority="307">
      <formula>D107="NF"</formula>
    </cfRule>
    <cfRule type="expression" dxfId="12456" priority="308">
      <formula>D107="WW PODS"</formula>
    </cfRule>
    <cfRule type="expression" dxfId="12455" priority="309">
      <formula>D107="GRILLE"</formula>
    </cfRule>
    <cfRule type="expression" dxfId="12454" priority="310">
      <formula>D107="CENTREX"</formula>
    </cfRule>
    <cfRule type="expression" dxfId="12453" priority="311" stopIfTrue="1">
      <formula>D99="canopy type"</formula>
    </cfRule>
    <cfRule type="expression" dxfId="12452" priority="312">
      <formula>(((I99*3600)/(C107*I96))^2+20)&gt;300</formula>
    </cfRule>
    <cfRule type="expression" dxfId="12451" priority="313" stopIfTrue="1">
      <formula>(ISNUMBER(SEARCH("UV",D99)))</formula>
    </cfRule>
    <cfRule type="expression" dxfId="12450" priority="314">
      <formula>(((I99*3600)/(C107*I96))^2+20)&gt;180</formula>
    </cfRule>
    <cfRule type="expression" dxfId="12449" priority="315">
      <formula>D107="KSA"</formula>
    </cfRule>
  </conditionalFormatting>
  <conditionalFormatting sqref="F109">
    <cfRule type="cellIs" dxfId="12448" priority="495" operator="lessThan">
      <formula>2100</formula>
    </cfRule>
  </conditionalFormatting>
  <conditionalFormatting sqref="F114">
    <cfRule type="cellIs" dxfId="12447" priority="277" operator="greaterThan">
      <formula>3001</formula>
    </cfRule>
  </conditionalFormatting>
  <conditionalFormatting sqref="F117">
    <cfRule type="expression" dxfId="12446" priority="254">
      <formula>(C117="LED STRIP")</formula>
    </cfRule>
    <cfRule type="expression" dxfId="12445" priority="255">
      <formula>(C117="LIGHT SELECTION")</formula>
    </cfRule>
    <cfRule type="expression" dxfId="12444" priority="257">
      <formula>(C117="FLO")</formula>
    </cfRule>
  </conditionalFormatting>
  <conditionalFormatting sqref="F124:F125">
    <cfRule type="expression" dxfId="12443" priority="242">
      <formula>D124="NF"</formula>
    </cfRule>
    <cfRule type="expression" dxfId="12442" priority="243">
      <formula>D124="WW PODS"</formula>
    </cfRule>
    <cfRule type="expression" dxfId="12441" priority="244">
      <formula>D124="GRILLE"</formula>
    </cfRule>
    <cfRule type="expression" dxfId="12440" priority="245">
      <formula>D124="CENTREX"</formula>
    </cfRule>
    <cfRule type="expression" dxfId="12439" priority="246" stopIfTrue="1">
      <formula>D116="canopy type"</formula>
    </cfRule>
    <cfRule type="expression" dxfId="12438" priority="247">
      <formula>(((I116*3600)/(C124*I113))^2+20)&gt;300</formula>
    </cfRule>
    <cfRule type="expression" dxfId="12437" priority="248" stopIfTrue="1">
      <formula>(ISNUMBER(SEARCH("UV",D116)))</formula>
    </cfRule>
    <cfRule type="expression" dxfId="12436" priority="249">
      <formula>(((I116*3600)/(C124*I113))^2+20)&gt;180</formula>
    </cfRule>
    <cfRule type="expression" dxfId="12435" priority="250">
      <formula>D124="KSA"</formula>
    </cfRule>
  </conditionalFormatting>
  <conditionalFormatting sqref="F126">
    <cfRule type="cellIs" dxfId="12434" priority="271" operator="lessThan">
      <formula>2100</formula>
    </cfRule>
  </conditionalFormatting>
  <conditionalFormatting sqref="F131">
    <cfRule type="cellIs" dxfId="12433" priority="208" operator="greaterThan">
      <formula>3001</formula>
    </cfRule>
  </conditionalFormatting>
  <conditionalFormatting sqref="F134">
    <cfRule type="expression" dxfId="12432" priority="185">
      <formula>(C134="LED STRIP")</formula>
    </cfRule>
    <cfRule type="expression" dxfId="12431" priority="186">
      <formula>(C134="LIGHT SELECTION")</formula>
    </cfRule>
    <cfRule type="expression" dxfId="12430" priority="188">
      <formula>(C134="FLO")</formula>
    </cfRule>
  </conditionalFormatting>
  <conditionalFormatting sqref="F141:F142">
    <cfRule type="expression" dxfId="12429" priority="173">
      <formula>D141="NF"</formula>
    </cfRule>
    <cfRule type="expression" dxfId="12428" priority="174">
      <formula>D141="WW PODS"</formula>
    </cfRule>
    <cfRule type="expression" dxfId="12427" priority="175">
      <formula>D141="GRILLE"</formula>
    </cfRule>
    <cfRule type="expression" dxfId="12426" priority="176">
      <formula>D141="CENTREX"</formula>
    </cfRule>
    <cfRule type="expression" dxfId="12425" priority="177" stopIfTrue="1">
      <formula>D133="canopy type"</formula>
    </cfRule>
    <cfRule type="expression" dxfId="12424" priority="178">
      <formula>(((I133*3600)/(C141*I130))^2+20)&gt;300</formula>
    </cfRule>
    <cfRule type="expression" dxfId="12423" priority="179" stopIfTrue="1">
      <formula>(ISNUMBER(SEARCH("UV",D133)))</formula>
    </cfRule>
    <cfRule type="expression" dxfId="12422" priority="180">
      <formula>(((I133*3600)/(C141*I130))^2+20)&gt;180</formula>
    </cfRule>
    <cfRule type="expression" dxfId="12421" priority="181">
      <formula>D141="KSA"</formula>
    </cfRule>
  </conditionalFormatting>
  <conditionalFormatting sqref="F143">
    <cfRule type="cellIs" dxfId="12420" priority="202" operator="lessThan">
      <formula>2100</formula>
    </cfRule>
  </conditionalFormatting>
  <conditionalFormatting sqref="F148">
    <cfRule type="cellIs" dxfId="12419" priority="153" operator="greaterThan">
      <formula>3001</formula>
    </cfRule>
  </conditionalFormatting>
  <conditionalFormatting sqref="F151">
    <cfRule type="expression" dxfId="12418" priority="130">
      <formula>(C151="LED STRIP")</formula>
    </cfRule>
    <cfRule type="expression" dxfId="12417" priority="131">
      <formula>(C151="LIGHT SELECTION")</formula>
    </cfRule>
    <cfRule type="expression" dxfId="12416" priority="133">
      <formula>(C151="FLO")</formula>
    </cfRule>
  </conditionalFormatting>
  <conditionalFormatting sqref="F158:F159">
    <cfRule type="expression" dxfId="12415" priority="118">
      <formula>D158="NF"</formula>
    </cfRule>
    <cfRule type="expression" dxfId="12414" priority="119">
      <formula>D158="WW PODS"</formula>
    </cfRule>
    <cfRule type="expression" dxfId="12413" priority="120">
      <formula>D158="GRILLE"</formula>
    </cfRule>
    <cfRule type="expression" dxfId="12412" priority="121">
      <formula>D158="CENTREX"</formula>
    </cfRule>
    <cfRule type="expression" dxfId="12411" priority="122" stopIfTrue="1">
      <formula>D150="canopy type"</formula>
    </cfRule>
    <cfRule type="expression" dxfId="12410" priority="123">
      <formula>(((I150*3600)/(C158*I147))^2+20)&gt;300</formula>
    </cfRule>
    <cfRule type="expression" dxfId="12409" priority="124" stopIfTrue="1">
      <formula>(ISNUMBER(SEARCH("UV",D150)))</formula>
    </cfRule>
    <cfRule type="expression" dxfId="12408" priority="125">
      <formula>(((I150*3600)/(C158*I147))^2+20)&gt;180</formula>
    </cfRule>
    <cfRule type="expression" dxfId="12407" priority="126">
      <formula>D158="KSA"</formula>
    </cfRule>
  </conditionalFormatting>
  <conditionalFormatting sqref="F160">
    <cfRule type="cellIs" dxfId="12406" priority="147" operator="lessThan">
      <formula>2100</formula>
    </cfRule>
  </conditionalFormatting>
  <conditionalFormatting sqref="F165">
    <cfRule type="cellIs" dxfId="12405" priority="98" operator="greaterThan">
      <formula>3001</formula>
    </cfRule>
  </conditionalFormatting>
  <conditionalFormatting sqref="F168">
    <cfRule type="expression" dxfId="12404" priority="75">
      <formula>(C168="LED STRIP")</formula>
    </cfRule>
    <cfRule type="expression" dxfId="12403" priority="76">
      <formula>(C168="LIGHT SELECTION")</formula>
    </cfRule>
    <cfRule type="expression" dxfId="12402" priority="78">
      <formula>(C168="FLO")</formula>
    </cfRule>
  </conditionalFormatting>
  <conditionalFormatting sqref="F175:F176">
    <cfRule type="expression" dxfId="12401" priority="63">
      <formula>D175="NF"</formula>
    </cfRule>
    <cfRule type="expression" dxfId="12400" priority="64">
      <formula>D175="WW PODS"</formula>
    </cfRule>
    <cfRule type="expression" dxfId="12399" priority="65">
      <formula>D175="GRILLE"</formula>
    </cfRule>
    <cfRule type="expression" dxfId="12398" priority="66">
      <formula>D175="CENTREX"</formula>
    </cfRule>
    <cfRule type="expression" dxfId="12397" priority="67" stopIfTrue="1">
      <formula>D167="canopy type"</formula>
    </cfRule>
    <cfRule type="expression" dxfId="12396" priority="68">
      <formula>(((I167*3600)/(C175*I164))^2+20)&gt;300</formula>
    </cfRule>
    <cfRule type="expression" dxfId="12395" priority="69" stopIfTrue="1">
      <formula>(ISNUMBER(SEARCH("UV",D167)))</formula>
    </cfRule>
    <cfRule type="expression" dxfId="12394" priority="70">
      <formula>(((I167*3600)/(C175*I164))^2+20)&gt;180</formula>
    </cfRule>
    <cfRule type="expression" dxfId="12393" priority="71">
      <formula>D175="KSA"</formula>
    </cfRule>
  </conditionalFormatting>
  <conditionalFormatting sqref="F177">
    <cfRule type="cellIs" dxfId="12392" priority="92" operator="lessThan">
      <formula>2100</formula>
    </cfRule>
  </conditionalFormatting>
  <conditionalFormatting sqref="G11">
    <cfRule type="expression" dxfId="12391" priority="705">
      <formula>((F14-50)/H14)&lt;950</formula>
    </cfRule>
  </conditionalFormatting>
  <conditionalFormatting sqref="G12">
    <cfRule type="expression" dxfId="12390" priority="704">
      <formula>((F14-50)/H14)&lt;950</formula>
    </cfRule>
  </conditionalFormatting>
  <conditionalFormatting sqref="G14">
    <cfRule type="cellIs" dxfId="12389" priority="700" operator="lessThan">
      <formula>400</formula>
    </cfRule>
  </conditionalFormatting>
  <conditionalFormatting sqref="G28">
    <cfRule type="expression" dxfId="12388" priority="649">
      <formula>((F31-50)/H31)&lt;950</formula>
    </cfRule>
  </conditionalFormatting>
  <conditionalFormatting sqref="G29">
    <cfRule type="expression" dxfId="12387" priority="627">
      <formula>((F31-50)/H31)&lt;950</formula>
    </cfRule>
  </conditionalFormatting>
  <conditionalFormatting sqref="G31">
    <cfRule type="cellIs" dxfId="12386" priority="623" operator="lessThan">
      <formula>400</formula>
    </cfRule>
  </conditionalFormatting>
  <conditionalFormatting sqref="G45">
    <cfRule type="expression" dxfId="12385" priority="665">
      <formula>((F48-50)/H48)&lt;950</formula>
    </cfRule>
  </conditionalFormatting>
  <conditionalFormatting sqref="G46">
    <cfRule type="expression" dxfId="12384" priority="595">
      <formula>((F48-50)/H48)&lt;950</formula>
    </cfRule>
  </conditionalFormatting>
  <conditionalFormatting sqref="G48">
    <cfRule type="cellIs" dxfId="12383" priority="591" operator="lessThan">
      <formula>400</formula>
    </cfRule>
  </conditionalFormatting>
  <conditionalFormatting sqref="G62">
    <cfRule type="expression" dxfId="12382" priority="666">
      <formula>((F65-50)/H65)&lt;950</formula>
    </cfRule>
  </conditionalFormatting>
  <conditionalFormatting sqref="G63">
    <cfRule type="expression" dxfId="12381" priority="565">
      <formula>((F65-50)/H65)&lt;950</formula>
    </cfRule>
  </conditionalFormatting>
  <conditionalFormatting sqref="G65">
    <cfRule type="cellIs" dxfId="12380" priority="561" operator="lessThan">
      <formula>400</formula>
    </cfRule>
  </conditionalFormatting>
  <conditionalFormatting sqref="G79">
    <cfRule type="expression" dxfId="12379" priority="667">
      <formula>((F82-50)/H82)&lt;950</formula>
    </cfRule>
  </conditionalFormatting>
  <conditionalFormatting sqref="G80">
    <cfRule type="expression" dxfId="12378" priority="534">
      <formula>((F82-50)/H82)&lt;950</formula>
    </cfRule>
  </conditionalFormatting>
  <conditionalFormatting sqref="G82">
    <cfRule type="cellIs" dxfId="12377" priority="530" operator="lessThan">
      <formula>400</formula>
    </cfRule>
  </conditionalFormatting>
  <conditionalFormatting sqref="G96">
    <cfRule type="expression" dxfId="12376" priority="677">
      <formula>((F99-50)/H99)&lt;950</formula>
    </cfRule>
  </conditionalFormatting>
  <conditionalFormatting sqref="G97">
    <cfRule type="expression" dxfId="12375" priority="502">
      <formula>((F99-50)/H99)&lt;950</formula>
    </cfRule>
  </conditionalFormatting>
  <conditionalFormatting sqref="G99">
    <cfRule type="cellIs" dxfId="12374" priority="498" operator="lessThan">
      <formula>400</formula>
    </cfRule>
  </conditionalFormatting>
  <conditionalFormatting sqref="G113">
    <cfRule type="expression" dxfId="12373" priority="289">
      <formula>((F116-50)/H116)&lt;950</formula>
    </cfRule>
  </conditionalFormatting>
  <conditionalFormatting sqref="G114">
    <cfRule type="expression" dxfId="12372" priority="278">
      <formula>((F116-50)/H116)&lt;950</formula>
    </cfRule>
  </conditionalFormatting>
  <conditionalFormatting sqref="G116">
    <cfRule type="cellIs" dxfId="12371" priority="274" operator="lessThan">
      <formula>400</formula>
    </cfRule>
  </conditionalFormatting>
  <conditionalFormatting sqref="G130">
    <cfRule type="expression" dxfId="12370" priority="220">
      <formula>((F133-50)/H133)&lt;950</formula>
    </cfRule>
  </conditionalFormatting>
  <conditionalFormatting sqref="G131">
    <cfRule type="expression" dxfId="12369" priority="209">
      <formula>((F133-50)/H133)&lt;950</formula>
    </cfRule>
  </conditionalFormatting>
  <conditionalFormatting sqref="G133">
    <cfRule type="cellIs" dxfId="12368" priority="205" operator="lessThan">
      <formula>400</formula>
    </cfRule>
  </conditionalFormatting>
  <conditionalFormatting sqref="G147">
    <cfRule type="expression" dxfId="12367" priority="165">
      <formula>((F150-50)/H150)&lt;950</formula>
    </cfRule>
  </conditionalFormatting>
  <conditionalFormatting sqref="G148">
    <cfRule type="expression" dxfId="12366" priority="154">
      <formula>((F150-50)/H150)&lt;950</formula>
    </cfRule>
  </conditionalFormatting>
  <conditionalFormatting sqref="G150">
    <cfRule type="cellIs" dxfId="12365" priority="150" operator="lessThan">
      <formula>400</formula>
    </cfRule>
  </conditionalFormatting>
  <conditionalFormatting sqref="G164">
    <cfRule type="expression" dxfId="12364" priority="110">
      <formula>((F167-50)/H167)&lt;950</formula>
    </cfRule>
  </conditionalFormatting>
  <conditionalFormatting sqref="G165">
    <cfRule type="expression" dxfId="12363" priority="99">
      <formula>((F167-50)/H167)&lt;950</formula>
    </cfRule>
  </conditionalFormatting>
  <conditionalFormatting sqref="G167">
    <cfRule type="cellIs" dxfId="12362" priority="95" operator="lessThan">
      <formula>400</formula>
    </cfRule>
  </conditionalFormatting>
  <conditionalFormatting sqref="I14">
    <cfRule type="cellIs" dxfId="12361" priority="701" operator="lessThan">
      <formula>0.1</formula>
    </cfRule>
  </conditionalFormatting>
  <conditionalFormatting sqref="I31">
    <cfRule type="cellIs" dxfId="12360" priority="624" operator="lessThan">
      <formula>0.1</formula>
    </cfRule>
  </conditionalFormatting>
  <conditionalFormatting sqref="I48">
    <cfRule type="cellIs" dxfId="12359" priority="592" operator="lessThan">
      <formula>0.1</formula>
    </cfRule>
  </conditionalFormatting>
  <conditionalFormatting sqref="I65">
    <cfRule type="cellIs" dxfId="12358" priority="562" operator="lessThan">
      <formula>0.1</formula>
    </cfRule>
  </conditionalFormatting>
  <conditionalFormatting sqref="I82">
    <cfRule type="cellIs" dxfId="12357" priority="531" operator="lessThan">
      <formula>0.1</formula>
    </cfRule>
  </conditionalFormatting>
  <conditionalFormatting sqref="I99">
    <cfRule type="cellIs" dxfId="12356" priority="499" operator="lessThan">
      <formula>0.1</formula>
    </cfRule>
  </conditionalFormatting>
  <conditionalFormatting sqref="I116">
    <cfRule type="cellIs" dxfId="12355" priority="275" operator="lessThan">
      <formula>0.1</formula>
    </cfRule>
  </conditionalFormatting>
  <conditionalFormatting sqref="I133">
    <cfRule type="cellIs" dxfId="12354" priority="206" operator="lessThan">
      <formula>0.1</formula>
    </cfRule>
  </conditionalFormatting>
  <conditionalFormatting sqref="I150">
    <cfRule type="cellIs" dxfId="12353" priority="151" operator="lessThan">
      <formula>0.1</formula>
    </cfRule>
  </conditionalFormatting>
  <conditionalFormatting sqref="I167">
    <cfRule type="cellIs" dxfId="12352" priority="96" operator="lessThan">
      <formula>0.1</formula>
    </cfRule>
  </conditionalFormatting>
  <conditionalFormatting sqref="J14:J27">
    <cfRule type="cellIs" dxfId="12351" priority="422" operator="greaterThan">
      <formula>0</formula>
    </cfRule>
  </conditionalFormatting>
  <conditionalFormatting sqref="J31:J32 J34:J44">
    <cfRule type="cellIs" dxfId="12350" priority="395" operator="greaterThan">
      <formula>0</formula>
    </cfRule>
  </conditionalFormatting>
  <conditionalFormatting sqref="J48:J49 J51:J61">
    <cfRule type="cellIs" dxfId="12349" priority="369" operator="greaterThan">
      <formula>0</formula>
    </cfRule>
  </conditionalFormatting>
  <conditionalFormatting sqref="J65:J66 J68:J78">
    <cfRule type="cellIs" dxfId="12348" priority="343" operator="greaterThan">
      <formula>0</formula>
    </cfRule>
  </conditionalFormatting>
  <conditionalFormatting sqref="J82:J83 J85:J95">
    <cfRule type="cellIs" dxfId="12347" priority="317" operator="greaterThan">
      <formula>0</formula>
    </cfRule>
  </conditionalFormatting>
  <conditionalFormatting sqref="J99:J100 J102:J112">
    <cfRule type="cellIs" dxfId="12346" priority="291" operator="greaterThan">
      <formula>0</formula>
    </cfRule>
  </conditionalFormatting>
  <conditionalFormatting sqref="J116:J117 J133:J134 J150:J151 J167:J168 J119:J129 J136:J146 J153:J163 J170:J180">
    <cfRule type="cellIs" dxfId="12345" priority="226" operator="greaterThan">
      <formula>0</formula>
    </cfRule>
  </conditionalFormatting>
  <conditionalFormatting sqref="J183:J197">
    <cfRule type="expression" dxfId="12344" priority="221">
      <formula>C183&gt;0</formula>
    </cfRule>
  </conditionalFormatting>
  <conditionalFormatting sqref="J199">
    <cfRule type="expression" dxfId="12343" priority="682">
      <formula>#REF!="EURO"</formula>
    </cfRule>
  </conditionalFormatting>
  <conditionalFormatting sqref="K14:K27">
    <cfRule type="cellIs" dxfId="12342" priority="436" operator="greaterThan">
      <formula>0</formula>
    </cfRule>
  </conditionalFormatting>
  <conditionalFormatting sqref="K31:K32 K34:K44">
    <cfRule type="cellIs" dxfId="12341" priority="398" operator="greaterThan">
      <formula>0</formula>
    </cfRule>
  </conditionalFormatting>
  <conditionalFormatting sqref="K48:K49 K51:K61">
    <cfRule type="cellIs" dxfId="12340" priority="372" operator="greaterThan">
      <formula>0</formula>
    </cfRule>
  </conditionalFormatting>
  <conditionalFormatting sqref="K65:K66 K68:K78">
    <cfRule type="cellIs" dxfId="12339" priority="346" operator="greaterThan">
      <formula>0</formula>
    </cfRule>
  </conditionalFormatting>
  <conditionalFormatting sqref="K82:K83 K85:K95">
    <cfRule type="cellIs" dxfId="12338" priority="320" operator="greaterThan">
      <formula>0</formula>
    </cfRule>
  </conditionalFormatting>
  <conditionalFormatting sqref="K99:K100 K102:K112">
    <cfRule type="cellIs" dxfId="12337" priority="294" operator="greaterThan">
      <formula>0</formula>
    </cfRule>
  </conditionalFormatting>
  <conditionalFormatting sqref="K116:K117 K133:K134 K150:K151 K167:K168 K119:K129 K136:K146 K153:K163 K170:K180">
    <cfRule type="cellIs" dxfId="12336" priority="229" operator="greaterThan">
      <formula>0</formula>
    </cfRule>
  </conditionalFormatting>
  <conditionalFormatting sqref="K183:K197">
    <cfRule type="cellIs" dxfId="12335" priority="222" operator="greaterThan">
      <formula>0</formula>
    </cfRule>
  </conditionalFormatting>
  <conditionalFormatting sqref="K199">
    <cfRule type="expression" dxfId="12334" priority="678">
      <formula>$B$9="PLN"</formula>
    </cfRule>
    <cfRule type="expression" dxfId="12333" priority="679">
      <formula>$B$9="CZK"</formula>
    </cfRule>
    <cfRule type="expression" dxfId="12332" priority="680">
      <formula>$B$9="USD"</formula>
    </cfRule>
    <cfRule type="expression" dxfId="12331" priority="681">
      <formula>$B$9="EURO"</formula>
    </cfRule>
  </conditionalFormatting>
  <conditionalFormatting sqref="L14:L27">
    <cfRule type="expression" dxfId="12330" priority="433">
      <formula>$C$9&lt;0</formula>
    </cfRule>
    <cfRule type="expression" dxfId="12329" priority="434">
      <formula>$C$9&gt;0</formula>
    </cfRule>
  </conditionalFormatting>
  <conditionalFormatting sqref="L31:L44">
    <cfRule type="expression" dxfId="12328" priority="396">
      <formula>$C$9&lt;0</formula>
    </cfRule>
    <cfRule type="expression" dxfId="12327" priority="397">
      <formula>$C$9&gt;0</formula>
    </cfRule>
  </conditionalFormatting>
  <conditionalFormatting sqref="L48:L61">
    <cfRule type="expression" dxfId="12326" priority="370">
      <formula>$C$9&lt;0</formula>
    </cfRule>
    <cfRule type="expression" dxfId="12325" priority="371">
      <formula>$C$9&gt;0</formula>
    </cfRule>
  </conditionalFormatting>
  <conditionalFormatting sqref="L65:L78">
    <cfRule type="expression" dxfId="12324" priority="344">
      <formula>$C$9&lt;0</formula>
    </cfRule>
    <cfRule type="expression" dxfId="12323" priority="345">
      <formula>$C$9&gt;0</formula>
    </cfRule>
  </conditionalFormatting>
  <conditionalFormatting sqref="L82:L95">
    <cfRule type="expression" dxfId="12322" priority="318">
      <formula>$C$9&lt;0</formula>
    </cfRule>
    <cfRule type="expression" dxfId="12321" priority="319">
      <formula>$C$9&gt;0</formula>
    </cfRule>
  </conditionalFormatting>
  <conditionalFormatting sqref="L99:L112">
    <cfRule type="expression" dxfId="12320" priority="292">
      <formula>$C$9&lt;0</formula>
    </cfRule>
    <cfRule type="expression" dxfId="12319" priority="293">
      <formula>$C$9&gt;0</formula>
    </cfRule>
  </conditionalFormatting>
  <conditionalFormatting sqref="L116:L129 L133:L146 L150:L163 L167:L180">
    <cfRule type="expression" dxfId="12318" priority="227">
      <formula>$C$9&lt;0</formula>
    </cfRule>
    <cfRule type="expression" dxfId="12317" priority="228">
      <formula>$C$9&gt;0</formula>
    </cfRule>
  </conditionalFormatting>
  <conditionalFormatting sqref="L183:L197">
    <cfRule type="expression" dxfId="12316" priority="668">
      <formula>$C$9&lt;0</formula>
    </cfRule>
    <cfRule type="expression" dxfId="12315" priority="669">
      <formula>$C$9&gt;0</formula>
    </cfRule>
  </conditionalFormatting>
  <conditionalFormatting sqref="N9 N12">
    <cfRule type="expression" dxfId="12314" priority="712">
      <formula>$B$9="PLN"</formula>
    </cfRule>
    <cfRule type="expression" dxfId="12313" priority="713">
      <formula>$B$9="CZK"</formula>
    </cfRule>
    <cfRule type="expression" dxfId="12312" priority="714">
      <formula>$B$9="USD"</formula>
    </cfRule>
    <cfRule type="expression" dxfId="12311" priority="715">
      <formula>$B$9="EURO"</formula>
    </cfRule>
  </conditionalFormatting>
  <conditionalFormatting sqref="N14:N27">
    <cfRule type="cellIs" dxfId="12310" priority="652" operator="greaterThan">
      <formula>0</formula>
    </cfRule>
    <cfRule type="expression" dxfId="12309" priority="653">
      <formula>$B$9="EURO"</formula>
    </cfRule>
    <cfRule type="expression" dxfId="12308" priority="654">
      <formula>$B$9="USD"</formula>
    </cfRule>
    <cfRule type="expression" dxfId="12307" priority="655">
      <formula>$B$9="PLN"</formula>
    </cfRule>
    <cfRule type="expression" dxfId="12306" priority="656">
      <formula>$B$9="CZK"</formula>
    </cfRule>
  </conditionalFormatting>
  <conditionalFormatting sqref="N29">
    <cfRule type="expression" dxfId="12305" priority="633">
      <formula>$B$9="PLN"</formula>
    </cfRule>
    <cfRule type="expression" dxfId="12304" priority="634">
      <formula>$B$9="CZK"</formula>
    </cfRule>
    <cfRule type="expression" dxfId="12303" priority="635">
      <formula>$B$9="USD"</formula>
    </cfRule>
    <cfRule type="expression" dxfId="12302" priority="636">
      <formula>$B$9="EURO"</formula>
    </cfRule>
  </conditionalFormatting>
  <conditionalFormatting sqref="N31:N44">
    <cfRule type="cellIs" dxfId="12301" priority="401" operator="greaterThan">
      <formula>0</formula>
    </cfRule>
    <cfRule type="expression" dxfId="12300" priority="402">
      <formula>$B$9="EURO"</formula>
    </cfRule>
    <cfRule type="expression" dxfId="12299" priority="403">
      <formula>$B$9="USD"</formula>
    </cfRule>
    <cfRule type="expression" dxfId="12298" priority="404">
      <formula>$B$9="PLN"</formula>
    </cfRule>
    <cfRule type="expression" dxfId="12297" priority="405">
      <formula>$B$9="CZK"</formula>
    </cfRule>
  </conditionalFormatting>
  <conditionalFormatting sqref="N46">
    <cfRule type="expression" dxfId="12296" priority="601">
      <formula>$B$9="PLN"</formula>
    </cfRule>
    <cfRule type="expression" dxfId="12295" priority="602">
      <formula>$B$9="CZK"</formula>
    </cfRule>
    <cfRule type="expression" dxfId="12294" priority="603">
      <formula>$B$9="USD"</formula>
    </cfRule>
    <cfRule type="expression" dxfId="12293" priority="604">
      <formula>$B$9="EURO"</formula>
    </cfRule>
  </conditionalFormatting>
  <conditionalFormatting sqref="N48:N61">
    <cfRule type="cellIs" dxfId="12292" priority="375" operator="greaterThan">
      <formula>0</formula>
    </cfRule>
    <cfRule type="expression" dxfId="12291" priority="376">
      <formula>$B$9="EURO"</formula>
    </cfRule>
    <cfRule type="expression" dxfId="12290" priority="377">
      <formula>$B$9="USD"</formula>
    </cfRule>
    <cfRule type="expression" dxfId="12289" priority="378">
      <formula>$B$9="PLN"</formula>
    </cfRule>
    <cfRule type="expression" dxfId="12288" priority="379">
      <formula>$B$9="CZK"</formula>
    </cfRule>
  </conditionalFormatting>
  <conditionalFormatting sqref="N63">
    <cfRule type="expression" dxfId="12287" priority="571">
      <formula>$B$9="PLN"</formula>
    </cfRule>
    <cfRule type="expression" dxfId="12286" priority="572">
      <formula>$B$9="CZK"</formula>
    </cfRule>
    <cfRule type="expression" dxfId="12285" priority="573">
      <formula>$B$9="USD"</formula>
    </cfRule>
    <cfRule type="expression" dxfId="12284" priority="574">
      <formula>$B$9="EURO"</formula>
    </cfRule>
  </conditionalFormatting>
  <conditionalFormatting sqref="N65:N78">
    <cfRule type="cellIs" dxfId="12283" priority="349" operator="greaterThan">
      <formula>0</formula>
    </cfRule>
    <cfRule type="expression" dxfId="12282" priority="350">
      <formula>$B$9="EURO"</formula>
    </cfRule>
    <cfRule type="expression" dxfId="12281" priority="351">
      <formula>$B$9="USD"</formula>
    </cfRule>
    <cfRule type="expression" dxfId="12280" priority="352">
      <formula>$B$9="PLN"</formula>
    </cfRule>
    <cfRule type="expression" dxfId="12279" priority="353">
      <formula>$B$9="CZK"</formula>
    </cfRule>
  </conditionalFormatting>
  <conditionalFormatting sqref="N80">
    <cfRule type="expression" dxfId="12278" priority="540">
      <formula>$B$9="PLN"</formula>
    </cfRule>
    <cfRule type="expression" dxfId="12277" priority="541">
      <formula>$B$9="CZK"</formula>
    </cfRule>
    <cfRule type="expression" dxfId="12276" priority="542">
      <formula>$B$9="USD"</formula>
    </cfRule>
    <cfRule type="expression" dxfId="12275" priority="543">
      <formula>$B$9="EURO"</formula>
    </cfRule>
  </conditionalFormatting>
  <conditionalFormatting sqref="N82:N95">
    <cfRule type="cellIs" dxfId="12274" priority="323" operator="greaterThan">
      <formula>0</formula>
    </cfRule>
    <cfRule type="expression" dxfId="12273" priority="324">
      <formula>$B$9="EURO"</formula>
    </cfRule>
    <cfRule type="expression" dxfId="12272" priority="325">
      <formula>$B$9="USD"</formula>
    </cfRule>
    <cfRule type="expression" dxfId="12271" priority="326">
      <formula>$B$9="PLN"</formula>
    </cfRule>
    <cfRule type="expression" dxfId="12270" priority="327">
      <formula>$B$9="CZK"</formula>
    </cfRule>
  </conditionalFormatting>
  <conditionalFormatting sqref="N97">
    <cfRule type="expression" dxfId="12269" priority="508">
      <formula>$B$9="PLN"</formula>
    </cfRule>
    <cfRule type="expression" dxfId="12268" priority="509">
      <formula>$B$9="CZK"</formula>
    </cfRule>
    <cfRule type="expression" dxfId="12267" priority="510">
      <formula>$B$9="USD"</formula>
    </cfRule>
    <cfRule type="expression" dxfId="12266" priority="511">
      <formula>$B$9="EURO"</formula>
    </cfRule>
  </conditionalFormatting>
  <conditionalFormatting sqref="N99:N112">
    <cfRule type="cellIs" dxfId="12265" priority="297" operator="greaterThan">
      <formula>0</formula>
    </cfRule>
    <cfRule type="expression" dxfId="12264" priority="298">
      <formula>$B$9="EURO"</formula>
    </cfRule>
    <cfRule type="expression" dxfId="12263" priority="299">
      <formula>$B$9="USD"</formula>
    </cfRule>
    <cfRule type="expression" dxfId="12262" priority="300">
      <formula>$B$9="PLN"</formula>
    </cfRule>
    <cfRule type="expression" dxfId="12261" priority="301">
      <formula>$B$9="CZK"</formula>
    </cfRule>
  </conditionalFormatting>
  <conditionalFormatting sqref="N114">
    <cfRule type="expression" dxfId="12260" priority="284">
      <formula>$B$9="PLN"</formula>
    </cfRule>
    <cfRule type="expression" dxfId="12259" priority="285">
      <formula>$B$9="CZK"</formula>
    </cfRule>
    <cfRule type="expression" dxfId="12258" priority="286">
      <formula>$B$9="USD"</formula>
    </cfRule>
    <cfRule type="expression" dxfId="12257" priority="287">
      <formula>$B$9="EURO"</formula>
    </cfRule>
  </conditionalFormatting>
  <conditionalFormatting sqref="N116:N129 N133:N146 N150:N163 N167:N180">
    <cfRule type="cellIs" dxfId="12256" priority="232" operator="greaterThan">
      <formula>0</formula>
    </cfRule>
    <cfRule type="expression" dxfId="12255" priority="233">
      <formula>$B$9="EURO"</formula>
    </cfRule>
    <cfRule type="expression" dxfId="12254" priority="234">
      <formula>$B$9="USD"</formula>
    </cfRule>
    <cfRule type="expression" dxfId="12253" priority="235">
      <formula>$B$9="PLN"</formula>
    </cfRule>
    <cfRule type="expression" dxfId="12252" priority="236">
      <formula>$B$9="CZK"</formula>
    </cfRule>
  </conditionalFormatting>
  <conditionalFormatting sqref="N131">
    <cfRule type="expression" dxfId="12251" priority="215">
      <formula>$B$9="PLN"</formula>
    </cfRule>
    <cfRule type="expression" dxfId="12250" priority="216">
      <formula>$B$9="CZK"</formula>
    </cfRule>
    <cfRule type="expression" dxfId="12249" priority="217">
      <formula>$B$9="USD"</formula>
    </cfRule>
    <cfRule type="expression" dxfId="12248" priority="218">
      <formula>$B$9="EURO"</formula>
    </cfRule>
  </conditionalFormatting>
  <conditionalFormatting sqref="N148">
    <cfRule type="expression" dxfId="12247" priority="160">
      <formula>$B$9="PLN"</formula>
    </cfRule>
    <cfRule type="expression" dxfId="12246" priority="161">
      <formula>$B$9="CZK"</formula>
    </cfRule>
    <cfRule type="expression" dxfId="12245" priority="162">
      <formula>$B$9="USD"</formula>
    </cfRule>
    <cfRule type="expression" dxfId="12244" priority="163">
      <formula>$B$9="EURO"</formula>
    </cfRule>
  </conditionalFormatting>
  <conditionalFormatting sqref="N165">
    <cfRule type="expression" dxfId="12243" priority="105">
      <formula>$B$9="PLN"</formula>
    </cfRule>
    <cfRule type="expression" dxfId="12242" priority="106">
      <formula>$B$9="CZK"</formula>
    </cfRule>
    <cfRule type="expression" dxfId="12241" priority="107">
      <formula>$B$9="USD"</formula>
    </cfRule>
    <cfRule type="expression" dxfId="12240" priority="108">
      <formula>$B$9="EURO"</formula>
    </cfRule>
  </conditionalFormatting>
  <conditionalFormatting sqref="N183:N197">
    <cfRule type="cellIs" dxfId="12239" priority="660" operator="greaterThan">
      <formula>0</formula>
    </cfRule>
    <cfRule type="expression" dxfId="12238" priority="661">
      <formula>$B$9="EURO"</formula>
    </cfRule>
    <cfRule type="expression" dxfId="12237" priority="662">
      <formula>$B$9="USD"</formula>
    </cfRule>
    <cfRule type="expression" dxfId="12236" priority="663">
      <formula>$B$9="PLN"</formula>
    </cfRule>
    <cfRule type="expression" dxfId="12235" priority="664">
      <formula>$B$9="CZK"</formula>
    </cfRule>
  </conditionalFormatting>
  <conditionalFormatting sqref="N182:O182">
    <cfRule type="expression" dxfId="12234" priority="670">
      <formula>$B$9="PLN"</formula>
    </cfRule>
    <cfRule type="expression" dxfId="12233" priority="671">
      <formula>$B$9="CZK"</formula>
    </cfRule>
    <cfRule type="expression" dxfId="12232" priority="672">
      <formula>$B$9="USD"</formula>
    </cfRule>
    <cfRule type="expression" dxfId="12231" priority="673">
      <formula>$B$9="EURO"</formula>
    </cfRule>
  </conditionalFormatting>
  <conditionalFormatting sqref="O14:O27">
    <cfRule type="cellIs" dxfId="12230" priority="657" operator="greaterThan">
      <formula>0</formula>
    </cfRule>
  </conditionalFormatting>
  <conditionalFormatting sqref="O31:O44">
    <cfRule type="cellIs" dxfId="12229" priority="406" operator="greaterThan">
      <formula>0</formula>
    </cfRule>
  </conditionalFormatting>
  <conditionalFormatting sqref="O48:O61">
    <cfRule type="cellIs" dxfId="12228" priority="380" operator="greaterThan">
      <formula>0</formula>
    </cfRule>
  </conditionalFormatting>
  <conditionalFormatting sqref="O65:O78">
    <cfRule type="cellIs" dxfId="12227" priority="354" operator="greaterThan">
      <formula>0</formula>
    </cfRule>
  </conditionalFormatting>
  <conditionalFormatting sqref="O82:O95">
    <cfRule type="cellIs" dxfId="12226" priority="328" operator="greaterThan">
      <formula>0</formula>
    </cfRule>
  </conditionalFormatting>
  <conditionalFormatting sqref="O99:O112">
    <cfRule type="cellIs" dxfId="12225" priority="302" operator="greaterThan">
      <formula>0</formula>
    </cfRule>
  </conditionalFormatting>
  <conditionalFormatting sqref="O116:O129 O133:O146 O150:O163 O167:O180">
    <cfRule type="cellIs" dxfId="12224" priority="237" operator="greaterThan">
      <formula>0</formula>
    </cfRule>
  </conditionalFormatting>
  <conditionalFormatting sqref="O183:O197">
    <cfRule type="cellIs" dxfId="12223" priority="683" operator="greaterThan">
      <formula>0</formula>
    </cfRule>
  </conditionalFormatting>
  <conditionalFormatting sqref="Q16">
    <cfRule type="cellIs" dxfId="12222" priority="423" operator="greaterThan">
      <formula>0</formula>
    </cfRule>
    <cfRule type="expression" dxfId="12221" priority="424">
      <formula>$B$9="EURO"</formula>
    </cfRule>
    <cfRule type="expression" dxfId="12220" priority="425">
      <formula>$B$9="USD"</formula>
    </cfRule>
    <cfRule type="expression" dxfId="12219" priority="426">
      <formula>$B$9="PLN"</formula>
    </cfRule>
    <cfRule type="expression" dxfId="12218" priority="427">
      <formula>$B$9="CZK"</formula>
    </cfRule>
  </conditionalFormatting>
  <conditionalFormatting sqref="B33">
    <cfRule type="expression" dxfId="12217" priority="52">
      <formula>$J33&gt;0</formula>
    </cfRule>
  </conditionalFormatting>
  <conditionalFormatting sqref="D33">
    <cfRule type="expression" dxfId="12215" priority="53">
      <formula>($C33="SELECT WORKS")</formula>
    </cfRule>
  </conditionalFormatting>
  <conditionalFormatting sqref="E33">
    <cfRule type="expression" dxfId="12214" priority="49">
      <formula>$C33="SELECT WORKS"</formula>
    </cfRule>
  </conditionalFormatting>
  <conditionalFormatting sqref="J33">
    <cfRule type="cellIs" dxfId="12213" priority="50" operator="greaterThan">
      <formula>0</formula>
    </cfRule>
  </conditionalFormatting>
  <conditionalFormatting sqref="K33">
    <cfRule type="cellIs" dxfId="12212" priority="51" operator="greaterThan">
      <formula>0</formula>
    </cfRule>
  </conditionalFormatting>
  <conditionalFormatting sqref="B50">
    <cfRule type="expression" dxfId="12211" priority="46">
      <formula>$J50&gt;0</formula>
    </cfRule>
  </conditionalFormatting>
  <conditionalFormatting sqref="D50">
    <cfRule type="expression" dxfId="12209" priority="47">
      <formula>($C50="SELECT WORKS")</formula>
    </cfRule>
  </conditionalFormatting>
  <conditionalFormatting sqref="E50">
    <cfRule type="expression" dxfId="12208" priority="43">
      <formula>$C50="SELECT WORKS"</formula>
    </cfRule>
  </conditionalFormatting>
  <conditionalFormatting sqref="J50">
    <cfRule type="cellIs" dxfId="12207" priority="44" operator="greaterThan">
      <formula>0</formula>
    </cfRule>
  </conditionalFormatting>
  <conditionalFormatting sqref="K50">
    <cfRule type="cellIs" dxfId="12206" priority="45" operator="greaterThan">
      <formula>0</formula>
    </cfRule>
  </conditionalFormatting>
  <conditionalFormatting sqref="B67">
    <cfRule type="expression" dxfId="12205" priority="40">
      <formula>$J67&gt;0</formula>
    </cfRule>
  </conditionalFormatting>
  <conditionalFormatting sqref="D67">
    <cfRule type="expression" dxfId="12203" priority="41">
      <formula>($C67="SELECT WORKS")</formula>
    </cfRule>
  </conditionalFormatting>
  <conditionalFormatting sqref="E67">
    <cfRule type="expression" dxfId="12202" priority="37">
      <formula>$C67="SELECT WORKS"</formula>
    </cfRule>
  </conditionalFormatting>
  <conditionalFormatting sqref="J67">
    <cfRule type="cellIs" dxfId="12201" priority="38" operator="greaterThan">
      <formula>0</formula>
    </cfRule>
  </conditionalFormatting>
  <conditionalFormatting sqref="K67">
    <cfRule type="cellIs" dxfId="12200" priority="39" operator="greaterThan">
      <formula>0</formula>
    </cfRule>
  </conditionalFormatting>
  <conditionalFormatting sqref="B84">
    <cfRule type="expression" dxfId="12199" priority="34">
      <formula>$J84&gt;0</formula>
    </cfRule>
  </conditionalFormatting>
  <conditionalFormatting sqref="D84">
    <cfRule type="expression" dxfId="12197" priority="35">
      <formula>($C84="SELECT WORKS")</formula>
    </cfRule>
  </conditionalFormatting>
  <conditionalFormatting sqref="E84">
    <cfRule type="expression" dxfId="12196" priority="31">
      <formula>$C84="SELECT WORKS"</formula>
    </cfRule>
  </conditionalFormatting>
  <conditionalFormatting sqref="J84">
    <cfRule type="cellIs" dxfId="12195" priority="32" operator="greaterThan">
      <formula>0</formula>
    </cfRule>
  </conditionalFormatting>
  <conditionalFormatting sqref="K84">
    <cfRule type="cellIs" dxfId="12194" priority="33" operator="greaterThan">
      <formula>0</formula>
    </cfRule>
  </conditionalFormatting>
  <conditionalFormatting sqref="B101">
    <cfRule type="expression" dxfId="12193" priority="28">
      <formula>$J101&gt;0</formula>
    </cfRule>
  </conditionalFormatting>
  <conditionalFormatting sqref="D101">
    <cfRule type="expression" dxfId="12191" priority="29">
      <formula>($C101="SELECT WORKS")</formula>
    </cfRule>
  </conditionalFormatting>
  <conditionalFormatting sqref="E101">
    <cfRule type="expression" dxfId="12190" priority="25">
      <formula>$C101="SELECT WORKS"</formula>
    </cfRule>
  </conditionalFormatting>
  <conditionalFormatting sqref="J101">
    <cfRule type="cellIs" dxfId="12189" priority="26" operator="greaterThan">
      <formula>0</formula>
    </cfRule>
  </conditionalFormatting>
  <conditionalFormatting sqref="K101">
    <cfRule type="cellIs" dxfId="12188" priority="27" operator="greaterThan">
      <formula>0</formula>
    </cfRule>
  </conditionalFormatting>
  <conditionalFormatting sqref="B118">
    <cfRule type="expression" dxfId="12187" priority="22">
      <formula>$J118&gt;0</formula>
    </cfRule>
  </conditionalFormatting>
  <conditionalFormatting sqref="D118">
    <cfRule type="expression" dxfId="12185" priority="23">
      <formula>($C118="SELECT WORKS")</formula>
    </cfRule>
  </conditionalFormatting>
  <conditionalFormatting sqref="E118">
    <cfRule type="expression" dxfId="12184" priority="19">
      <formula>$C118="SELECT WORKS"</formula>
    </cfRule>
  </conditionalFormatting>
  <conditionalFormatting sqref="J118">
    <cfRule type="cellIs" dxfId="12183" priority="20" operator="greaterThan">
      <formula>0</formula>
    </cfRule>
  </conditionalFormatting>
  <conditionalFormatting sqref="K118">
    <cfRule type="cellIs" dxfId="12182" priority="21" operator="greaterThan">
      <formula>0</formula>
    </cfRule>
  </conditionalFormatting>
  <conditionalFormatting sqref="B135">
    <cfRule type="expression" dxfId="12181" priority="16">
      <formula>$J135&gt;0</formula>
    </cfRule>
  </conditionalFormatting>
  <conditionalFormatting sqref="D135">
    <cfRule type="expression" dxfId="12179" priority="17">
      <formula>($C135="SELECT WORKS")</formula>
    </cfRule>
  </conditionalFormatting>
  <conditionalFormatting sqref="E135">
    <cfRule type="expression" dxfId="12178" priority="13">
      <formula>$C135="SELECT WORKS"</formula>
    </cfRule>
  </conditionalFormatting>
  <conditionalFormatting sqref="J135">
    <cfRule type="cellIs" dxfId="12177" priority="14" operator="greaterThan">
      <formula>0</formula>
    </cfRule>
  </conditionalFormatting>
  <conditionalFormatting sqref="K135">
    <cfRule type="cellIs" dxfId="12176" priority="15" operator="greaterThan">
      <formula>0</formula>
    </cfRule>
  </conditionalFormatting>
  <conditionalFormatting sqref="B152">
    <cfRule type="expression" dxfId="12175" priority="10">
      <formula>$J152&gt;0</formula>
    </cfRule>
  </conditionalFormatting>
  <conditionalFormatting sqref="D152">
    <cfRule type="expression" dxfId="12173" priority="11">
      <formula>($C152="SELECT WORKS")</formula>
    </cfRule>
  </conditionalFormatting>
  <conditionalFormatting sqref="E152">
    <cfRule type="expression" dxfId="12172" priority="7">
      <formula>$C152="SELECT WORKS"</formula>
    </cfRule>
  </conditionalFormatting>
  <conditionalFormatting sqref="J152">
    <cfRule type="cellIs" dxfId="12171" priority="8" operator="greaterThan">
      <formula>0</formula>
    </cfRule>
  </conditionalFormatting>
  <conditionalFormatting sqref="K152">
    <cfRule type="cellIs" dxfId="12170" priority="9" operator="greaterThan">
      <formula>0</formula>
    </cfRule>
  </conditionalFormatting>
  <conditionalFormatting sqref="B169">
    <cfRule type="expression" dxfId="12169" priority="4">
      <formula>$J169&gt;0</formula>
    </cfRule>
  </conditionalFormatting>
  <conditionalFormatting sqref="D169">
    <cfRule type="expression" dxfId="12167" priority="5">
      <formula>($C169="SELECT WORKS")</formula>
    </cfRule>
  </conditionalFormatting>
  <conditionalFormatting sqref="E169">
    <cfRule type="expression" dxfId="12166" priority="1">
      <formula>$C169="SELECT WORKS"</formula>
    </cfRule>
  </conditionalFormatting>
  <conditionalFormatting sqref="J169">
    <cfRule type="cellIs" dxfId="12165" priority="2" operator="greaterThan">
      <formula>0</formula>
    </cfRule>
  </conditionalFormatting>
  <conditionalFormatting sqref="K169">
    <cfRule type="cellIs" dxfId="12164" priority="3" operator="greaterThan">
      <formula>0</formula>
    </cfRule>
  </conditionalFormatting>
  <dataValidations count="7">
    <dataValidation type="list" allowBlank="1" showInputMessage="1" showErrorMessage="1" sqref="C27 C78 C95 C44 C61 C112 C129 C146 C163 C180" xr:uid="{DD39B300-8642-0248-B9ED-D7391B582D13}">
      <formula1>"0,0.5,1,1.5,2,2.5,3,3.5,4,4.5,5"</formula1>
    </dataValidation>
    <dataValidation type="list" allowBlank="1" showInputMessage="1" showErrorMessage="1" errorTitle="Minimum number of sections " error="Must be greater than zero" sqref="H14 H65 H48 H31 H82 H99 H116 H133 H150 H167" xr:uid="{A04089D7-18C8-9A48-A9B8-44404DD64F08}">
      <formula1>"1,2,3,4,5,6,7,8,9,10"</formula1>
    </dataValidation>
    <dataValidation type="list" allowBlank="1" showInputMessage="1" showErrorMessage="1" sqref="C71:C72 C37:C38 C88:C89 C20:C21 C122:C123 C105:C106 C54:C55 C156:C157 C173:C174 C139:C140" xr:uid="{C918C777-2A27-E94C-89B6-5F2E7E771462}">
      <formula1>"0,1,2,3,4,5,6,7,8,9,10,11,12,13,14,15,16,17,18,19,20"</formula1>
    </dataValidation>
    <dataValidation operator="greaterThan" allowBlank="1" showInputMessage="1" showErrorMessage="1" sqref="E14 E65 E48 E31 E82 E99 E116 E133 E150 E167" xr:uid="{B4F2C155-E060-C742-9FF8-12F0E5E6BD42}"/>
    <dataValidation type="list" allowBlank="1" showInputMessage="1" showErrorMessage="1" sqref="C99 C31 C82 C65 C48 C14 C116 C133 C150 C167" xr:uid="{4B866745-6AD6-2A4E-A0FD-24F5FA99FBC8}">
      <formula1>"WALL, ISLAND"</formula1>
    </dataValidation>
    <dataValidation type="list" allowBlank="1" showInputMessage="1" showErrorMessage="1" sqref="G181" xr:uid="{66BAE0BB-2F45-E84A-93D7-C7EFBF8738E0}">
      <formula1>#REF!</formula1>
    </dataValidation>
    <dataValidation type="list" allowBlank="1" showInputMessage="1" showErrorMessage="1" sqref="D26 D94 D77 D60 D43 D111 D128 D145 D162 D179" xr:uid="{55359411-5E1C-E24C-B28F-8F5FE4FFFB0C}">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58" operator="containsText" id="{69E8BC54-B308-0940-BCAC-F9D98EE7E895}">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76" operator="containsText" id="{38729622-093C-F747-986A-6C069FA6429B}">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13" operator="containsText" id="{2E805725-A8D0-9A43-ACE2-044D4CDEBBA2}">
            <xm:f>NOT(ISERROR(SEARCH("SELECT WORKS",C34)))</xm:f>
            <xm:f>"SELECT WORKS"</xm:f>
            <x14:dxf>
              <font>
                <b/>
                <i val="0"/>
                <color rgb="FFC00000"/>
              </font>
              <fill>
                <patternFill>
                  <bgColor theme="0"/>
                </patternFill>
              </fill>
            </x14:dxf>
          </x14:cfRule>
          <xm:sqref>C34:C35</xm:sqref>
        </x14:conditionalFormatting>
        <x14:conditionalFormatting xmlns:xm="http://schemas.microsoft.com/office/excel/2006/main">
          <x14:cfRule type="containsText" priority="616" operator="containsText" id="{69A3998C-7B94-7044-9941-55E87C6565CF}">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82" operator="containsText" id="{6E90331D-C117-5C47-8530-AFE24432D7DD}">
            <xm:f>NOT(ISERROR(SEARCH("SELECT WORKS",C51)))</xm:f>
            <xm:f>"SELECT WORKS"</xm:f>
            <x14:dxf>
              <font>
                <b/>
                <i val="0"/>
                <color rgb="FFC00000"/>
              </font>
              <fill>
                <patternFill>
                  <bgColor theme="0"/>
                </patternFill>
              </fill>
            </x14:dxf>
          </x14:cfRule>
          <xm:sqref>C51:C52</xm:sqref>
        </x14:conditionalFormatting>
        <x14:conditionalFormatting xmlns:xm="http://schemas.microsoft.com/office/excel/2006/main">
          <x14:cfRule type="containsText" priority="585" operator="containsText" id="{93D33EF4-D315-E94E-A2B2-AFA6F7F607C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51" operator="containsText" id="{ECC494E4-F624-8846-8533-7726AD4545CE}">
            <xm:f>NOT(ISERROR(SEARCH("SELECT WORKS",C68)))</xm:f>
            <xm:f>"SELECT WORKS"</xm:f>
            <x14:dxf>
              <font>
                <b/>
                <i val="0"/>
                <color rgb="FFC00000"/>
              </font>
              <fill>
                <patternFill>
                  <bgColor theme="0"/>
                </patternFill>
              </fill>
            </x14:dxf>
          </x14:cfRule>
          <xm:sqref>C68:C69</xm:sqref>
        </x14:conditionalFormatting>
        <x14:conditionalFormatting xmlns:xm="http://schemas.microsoft.com/office/excel/2006/main">
          <x14:cfRule type="containsText" priority="555" operator="containsText" id="{48B3CFEA-9A88-0042-ACF4-7F0EB9825AC3}">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19" operator="containsText" id="{87D5E02A-D31C-494A-99F1-9E0F323E34EF}">
            <xm:f>NOT(ISERROR(SEARCH("SELECT WORKS",C85)))</xm:f>
            <xm:f>"SELECT WORKS"</xm:f>
            <x14:dxf>
              <font>
                <b/>
                <i val="0"/>
                <color rgb="FFC00000"/>
              </font>
              <fill>
                <patternFill>
                  <bgColor theme="0"/>
                </patternFill>
              </fill>
            </x14:dxf>
          </x14:cfRule>
          <xm:sqref>C85:C86</xm:sqref>
        </x14:conditionalFormatting>
        <x14:conditionalFormatting xmlns:xm="http://schemas.microsoft.com/office/excel/2006/main">
          <x14:cfRule type="containsText" priority="523" operator="containsText" id="{730B70E8-139F-0843-95DC-79FA68E1E97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88" operator="containsText" id="{AACC9D5F-622E-A745-AFF1-19E7A8A828FC}">
            <xm:f>NOT(ISERROR(SEARCH("SELECT WORKS",C102)))</xm:f>
            <xm:f>"SELECT WORKS"</xm:f>
            <x14:dxf>
              <font>
                <b/>
                <i val="0"/>
                <color rgb="FFC00000"/>
              </font>
              <fill>
                <patternFill>
                  <bgColor theme="0"/>
                </patternFill>
              </fill>
            </x14:dxf>
          </x14:cfRule>
          <xm:sqref>C102:C103</xm:sqref>
        </x14:conditionalFormatting>
        <x14:conditionalFormatting xmlns:xm="http://schemas.microsoft.com/office/excel/2006/main">
          <x14:cfRule type="containsText" priority="491" operator="containsText" id="{4B9DACFF-10FC-2B42-8234-B5041CEEF982}">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264" operator="containsText" id="{E8B2AAFD-8857-3941-8218-5B229AE19E3E}">
            <xm:f>NOT(ISERROR(SEARCH("SELECT WORKS",C119)))</xm:f>
            <xm:f>"SELECT WORKS"</xm:f>
            <x14:dxf>
              <font>
                <b/>
                <i val="0"/>
                <color rgb="FFC00000"/>
              </font>
              <fill>
                <patternFill>
                  <bgColor theme="0"/>
                </patternFill>
              </fill>
            </x14:dxf>
          </x14:cfRule>
          <xm:sqref>C119:C120</xm:sqref>
        </x14:conditionalFormatting>
        <x14:conditionalFormatting xmlns:xm="http://schemas.microsoft.com/office/excel/2006/main">
          <x14:cfRule type="containsText" priority="267" operator="containsText" id="{174AFC66-2065-E049-B4DF-1CF1833C4E46}">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95" operator="containsText" id="{2EF334E8-BCF1-0E41-B7C3-9F033F0B5CF8}">
            <xm:f>NOT(ISERROR(SEARCH("SELECT WORKS",C136)))</xm:f>
            <xm:f>"SELECT WORKS"</xm:f>
            <x14:dxf>
              <font>
                <b/>
                <i val="0"/>
                <color rgb="FFC00000"/>
              </font>
              <fill>
                <patternFill>
                  <bgColor theme="0"/>
                </patternFill>
              </fill>
            </x14:dxf>
          </x14:cfRule>
          <xm:sqref>C136:C137</xm:sqref>
        </x14:conditionalFormatting>
        <x14:conditionalFormatting xmlns:xm="http://schemas.microsoft.com/office/excel/2006/main">
          <x14:cfRule type="containsText" priority="198" operator="containsText" id="{0AA06FDF-A44A-1643-AE55-BBAC834DF3E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40" operator="containsText" id="{78500415-F372-FE4C-A193-3259543455D3}">
            <xm:f>NOT(ISERROR(SEARCH("SELECT WORKS",C153)))</xm:f>
            <xm:f>"SELECT WORKS"</xm:f>
            <x14:dxf>
              <font>
                <b/>
                <i val="0"/>
                <color rgb="FFC00000"/>
              </font>
              <fill>
                <patternFill>
                  <bgColor theme="0"/>
                </patternFill>
              </fill>
            </x14:dxf>
          </x14:cfRule>
          <xm:sqref>C153:C154</xm:sqref>
        </x14:conditionalFormatting>
        <x14:conditionalFormatting xmlns:xm="http://schemas.microsoft.com/office/excel/2006/main">
          <x14:cfRule type="containsText" priority="143" operator="containsText" id="{F00629D7-166C-4548-9DCC-724A0AF3141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85" operator="containsText" id="{4C85C61B-5224-8049-9D7A-12E58904E095}">
            <xm:f>NOT(ISERROR(SEARCH("SELECT WORKS",C170)))</xm:f>
            <xm:f>"SELECT WORKS"</xm:f>
            <x14:dxf>
              <font>
                <b/>
                <i val="0"/>
                <color rgb="FFC00000"/>
              </font>
              <fill>
                <patternFill>
                  <bgColor theme="0"/>
                </patternFill>
              </fill>
            </x14:dxf>
          </x14:cfRule>
          <xm:sqref>C170:C171</xm:sqref>
        </x14:conditionalFormatting>
        <x14:conditionalFormatting xmlns:xm="http://schemas.microsoft.com/office/excel/2006/main">
          <x14:cfRule type="containsText" priority="88" operator="containsText" id="{C19886BC-E307-F54A-9579-C9B8245CB4EC}">
            <xm:f>NOT(ISERROR(SEARCH("SELECT CLADDING",C172)))</xm:f>
            <xm:f>"SELECT CLADDING"</xm:f>
            <x14:dxf>
              <font>
                <b/>
                <i val="0"/>
                <color rgb="FFC00000"/>
              </font>
              <fill>
                <patternFill>
                  <bgColor theme="0"/>
                </patternFill>
              </fill>
            </x14:dxf>
          </x14:cfRule>
          <xm:sqref>C172</xm:sqref>
        </x14:conditionalFormatting>
        <x14:conditionalFormatting xmlns:xm="http://schemas.microsoft.com/office/excel/2006/main">
          <x14:cfRule type="containsText" priority="54" operator="containsText" id="{4FA73AC8-522C-184C-8572-B7E2DE148F1B}">
            <xm:f>NOT(ISERROR(SEARCH("SELECT WORKS",C33)))</xm:f>
            <xm:f>"SELECT WORKS"</xm:f>
            <x14:dxf>
              <font>
                <b/>
                <i val="0"/>
                <color rgb="FFC00000"/>
              </font>
              <fill>
                <patternFill>
                  <bgColor theme="0"/>
                </patternFill>
              </fill>
            </x14:dxf>
          </x14:cfRule>
          <xm:sqref>C33</xm:sqref>
        </x14:conditionalFormatting>
        <x14:conditionalFormatting xmlns:xm="http://schemas.microsoft.com/office/excel/2006/main">
          <x14:cfRule type="containsText" priority="48" operator="containsText" id="{C2F40630-1F43-D148-9CD8-D07B313A79EE}">
            <xm:f>NOT(ISERROR(SEARCH("SELECT WORKS",C50)))</xm:f>
            <xm:f>"SELECT WORKS"</xm:f>
            <x14:dxf>
              <font>
                <b/>
                <i val="0"/>
                <color rgb="FFC00000"/>
              </font>
              <fill>
                <patternFill>
                  <bgColor theme="0"/>
                </patternFill>
              </fill>
            </x14:dxf>
          </x14:cfRule>
          <xm:sqref>C50</xm:sqref>
        </x14:conditionalFormatting>
        <x14:conditionalFormatting xmlns:xm="http://schemas.microsoft.com/office/excel/2006/main">
          <x14:cfRule type="containsText" priority="42" operator="containsText" id="{7862101C-C3D8-4248-97E9-8CB73286A009}">
            <xm:f>NOT(ISERROR(SEARCH("SELECT WORKS",C67)))</xm:f>
            <xm:f>"SELECT WORKS"</xm:f>
            <x14:dxf>
              <font>
                <b/>
                <i val="0"/>
                <color rgb="FFC00000"/>
              </font>
              <fill>
                <patternFill>
                  <bgColor theme="0"/>
                </patternFill>
              </fill>
            </x14:dxf>
          </x14:cfRule>
          <xm:sqref>C67</xm:sqref>
        </x14:conditionalFormatting>
        <x14:conditionalFormatting xmlns:xm="http://schemas.microsoft.com/office/excel/2006/main">
          <x14:cfRule type="containsText" priority="36" operator="containsText" id="{D5C3361E-9748-E34B-9C0E-C4FC41AD7B25}">
            <xm:f>NOT(ISERROR(SEARCH("SELECT WORKS",C84)))</xm:f>
            <xm:f>"SELECT WORKS"</xm:f>
            <x14:dxf>
              <font>
                <b/>
                <i val="0"/>
                <color rgb="FFC00000"/>
              </font>
              <fill>
                <patternFill>
                  <bgColor theme="0"/>
                </patternFill>
              </fill>
            </x14:dxf>
          </x14:cfRule>
          <xm:sqref>C84</xm:sqref>
        </x14:conditionalFormatting>
        <x14:conditionalFormatting xmlns:xm="http://schemas.microsoft.com/office/excel/2006/main">
          <x14:cfRule type="containsText" priority="30" operator="containsText" id="{2F72A2D8-EB74-FA44-8951-318851299E3B}">
            <xm:f>NOT(ISERROR(SEARCH("SELECT WORKS",C101)))</xm:f>
            <xm:f>"SELECT WORKS"</xm:f>
            <x14:dxf>
              <font>
                <b/>
                <i val="0"/>
                <color rgb="FFC00000"/>
              </font>
              <fill>
                <patternFill>
                  <bgColor theme="0"/>
                </patternFill>
              </fill>
            </x14:dxf>
          </x14:cfRule>
          <xm:sqref>C101</xm:sqref>
        </x14:conditionalFormatting>
        <x14:conditionalFormatting xmlns:xm="http://schemas.microsoft.com/office/excel/2006/main">
          <x14:cfRule type="containsText" priority="24" operator="containsText" id="{3240ABC5-7F2E-D347-80D1-F72CA801E6CC}">
            <xm:f>NOT(ISERROR(SEARCH("SELECT WORKS",C118)))</xm:f>
            <xm:f>"SELECT WORKS"</xm:f>
            <x14:dxf>
              <font>
                <b/>
                <i val="0"/>
                <color rgb="FFC00000"/>
              </font>
              <fill>
                <patternFill>
                  <bgColor theme="0"/>
                </patternFill>
              </fill>
            </x14:dxf>
          </x14:cfRule>
          <xm:sqref>C118</xm:sqref>
        </x14:conditionalFormatting>
        <x14:conditionalFormatting xmlns:xm="http://schemas.microsoft.com/office/excel/2006/main">
          <x14:cfRule type="containsText" priority="18" operator="containsText" id="{8FFBCE1F-7BDF-A346-A437-D88C13255FBD}">
            <xm:f>NOT(ISERROR(SEARCH("SELECT WORKS",C135)))</xm:f>
            <xm:f>"SELECT WORKS"</xm:f>
            <x14:dxf>
              <font>
                <b/>
                <i val="0"/>
                <color rgb="FFC00000"/>
              </font>
              <fill>
                <patternFill>
                  <bgColor theme="0"/>
                </patternFill>
              </fill>
            </x14:dxf>
          </x14:cfRule>
          <xm:sqref>C135</xm:sqref>
        </x14:conditionalFormatting>
        <x14:conditionalFormatting xmlns:xm="http://schemas.microsoft.com/office/excel/2006/main">
          <x14:cfRule type="containsText" priority="12" operator="containsText" id="{3FEFE6EE-3D19-FA42-9212-163CC1FA08A8}">
            <xm:f>NOT(ISERROR(SEARCH("SELECT WORKS",C152)))</xm:f>
            <xm:f>"SELECT WORKS"</xm:f>
            <x14:dxf>
              <font>
                <b/>
                <i val="0"/>
                <color rgb="FFC00000"/>
              </font>
              <fill>
                <patternFill>
                  <bgColor theme="0"/>
                </patternFill>
              </fill>
            </x14:dxf>
          </x14:cfRule>
          <xm:sqref>C152</xm:sqref>
        </x14:conditionalFormatting>
        <x14:conditionalFormatting xmlns:xm="http://schemas.microsoft.com/office/excel/2006/main">
          <x14:cfRule type="containsText" priority="6" operator="containsText" id="{05241BA1-4352-9D46-A253-0E9B4DCE03F4}">
            <xm:f>NOT(ISERROR(SEARCH("SELECT WORKS",C169)))</xm:f>
            <xm:f>"SELECT WORKS"</xm:f>
            <x14:dxf>
              <font>
                <b/>
                <i val="0"/>
                <color rgb="FFC00000"/>
              </font>
              <fill>
                <patternFill>
                  <bgColor theme="0"/>
                </patternFill>
              </fill>
            </x14:dxf>
          </x14:cfRule>
          <xm:sqref>C169</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B5D950A9-3B7D-6F4B-B9A6-957D9162EAA3}">
          <x14:formula1>
            <xm:f>'Base Costs'!$M$4:$M$23</xm:f>
          </x14:formula1>
          <xm:sqref>C15</xm:sqref>
        </x14:dataValidation>
        <x14:dataValidation type="list" allowBlank="1" showInputMessage="1" showErrorMessage="1" xr:uid="{CCD254B2-1207-F340-B52D-81078278EA9D}">
          <x14:formula1>
            <xm:f>'Base Costs'!$M$4:$M$21</xm:f>
          </x14:formula1>
          <xm:sqref>C32 C168 C151 C134 C100 C49 C66 C83 C117</xm:sqref>
        </x14:dataValidation>
        <x14:dataValidation type="list" allowBlank="1" showInputMessage="1" showErrorMessage="1" xr:uid="{480B2C6C-0113-EB4B-BB38-01FC4842BBC1}">
          <x14:formula1>
            <xm:f>'Base Costs'!$A$39:$A$53</xm:f>
          </x14:formula1>
          <xm:sqref>D14 D167 D150 D133 D31 D99 D48 D82 D65 D116</xm:sqref>
        </x14:dataValidation>
        <x14:dataValidation type="list" allowBlank="1" showInputMessage="1" showErrorMessage="1" xr:uid="{CD5BB2EE-4FC5-4D49-9A0F-66E2015B4E77}">
          <x14:formula1>
            <xm:f>CCBASE!$A$53:$A$73</xm:f>
          </x14:formula1>
          <xm:sqref>C67:C69 C84:C86 C33:C35 C50:C52 C16:C18 C101:C103 C118:C120 C135:C137 C152:C154 C169:C171</xm:sqref>
        </x14:dataValidation>
        <x14:dataValidation type="list" allowBlank="1" showInputMessage="1" showErrorMessage="1" xr:uid="{6A59ABD7-84EA-4049-8E58-84F116A39ED7}">
          <x14:formula1>
            <xm:f>CCBASE!$A$81:$A$85</xm:f>
          </x14:formula1>
          <xm:sqref>C25 C42 C93 C76 C59 C110 C127 C144 C161 C178</xm:sqref>
        </x14:dataValidation>
        <x14:dataValidation type="list" allowBlank="1" showInputMessage="1" showErrorMessage="1" xr:uid="{64F72BE7-CE29-7447-8C3D-D686259A0A8A}">
          <x14:formula1>
            <xm:f>'Base Costs'!$A$32:$A$37</xm:f>
          </x14:formula1>
          <xm:sqref>B9</xm:sqref>
        </x14:dataValidation>
        <x14:dataValidation type="list" allowBlank="1" showInputMessage="1" showErrorMessage="1" xr:uid="{A673D6ED-9664-D84C-90EF-8CA25D7A6B70}">
          <x14:formula1>
            <xm:f>'Base Costs'!$E$4:$E$213</xm:f>
          </x14:formula1>
          <xm:sqref>D183 D186</xm:sqref>
        </x14:dataValidation>
        <x14:dataValidation type="list" allowBlank="1" showInputMessage="1" showErrorMessage="1" xr:uid="{317C0990-7868-744A-AF5F-4853DC05A0C5}">
          <x14:formula1>
            <xm:f>'Base Costs'!$A$4:$A$16</xm:f>
          </x14:formula1>
          <xm:sqref>D184:D185</xm:sqref>
        </x14:dataValidation>
        <x14:dataValidation type="list" allowBlank="1" showInputMessage="1" showErrorMessage="1" xr:uid="{092C11A6-47BE-4D46-A662-0E0A2B727CB0}">
          <x14:formula1>
            <xm:f>'Base Costs'!$A$19:$A$22</xm:f>
          </x14:formula1>
          <xm:sqref>C19 C172 C155 C138 C36 C87 C70 C53 C104 C121</xm:sqref>
        </x14:dataValidation>
        <x14:dataValidation type="list" allowBlank="1" showInputMessage="1" showErrorMessage="1" xr:uid="{C0C2162C-197D-A941-9883-AB21F084782E}">
          <x14:formula1>
            <xm:f>'Base Costs'!$Q$35:$Q$45</xm:f>
          </x14:formula1>
          <xm:sqref>C43 C179 C162 C145 C60 C77 C94 C111 C26 C128</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CF5A-3B5C-41B4-9813-6B5CC27CA219}">
  <sheetPr>
    <tabColor theme="8" tint="0.79998168889431442"/>
    <pageSetUpPr fitToPage="1"/>
  </sheetPr>
  <dimension ref="A1:AB310"/>
  <sheetViews>
    <sheetView showGridLines="0" zoomScale="80" zoomScaleNormal="80" zoomScaleSheetLayoutView="50" workbookViewId="0">
      <selection activeCell="R29" sqref="R29"/>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11" t="s">
        <v>1500</v>
      </c>
      <c r="C1" s="1111"/>
      <c r="D1" s="667"/>
      <c r="E1" s="667"/>
      <c r="F1" s="667"/>
      <c r="G1" s="667"/>
      <c r="H1" s="668"/>
      <c r="I1" s="668"/>
      <c r="J1" s="669"/>
      <c r="K1" s="670"/>
      <c r="L1" s="671"/>
      <c r="M1" s="672"/>
      <c r="N1" s="669"/>
      <c r="O1" s="989" t="s">
        <v>1501</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e">
        <f>IF(#REF!="","",#REF!)</f>
        <v>#REF!</v>
      </c>
      <c r="D3" s="1113"/>
      <c r="F3" s="690" t="s">
        <v>78</v>
      </c>
      <c r="G3" s="1084" t="e">
        <f>IF(#REF!="","",#REF!)</f>
        <v>#REF!</v>
      </c>
      <c r="H3" s="1114"/>
      <c r="I3" s="1114" t="e">
        <f>IF(#REF!="","",#REF!)</f>
        <v>#REF!</v>
      </c>
      <c r="J3" s="111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e">
        <f>IF(#REF!="","",#REF!)</f>
        <v>#REF!</v>
      </c>
      <c r="D5" s="1083"/>
      <c r="F5" s="690" t="s">
        <v>77</v>
      </c>
      <c r="G5" s="1084" t="e">
        <f>IF(#REF!="","",#REF!)</f>
        <v>#REF!</v>
      </c>
      <c r="H5" s="1114"/>
      <c r="I5" s="1114" t="e">
        <f>IF(#REF!="","",#REF!)</f>
        <v>#REF!</v>
      </c>
      <c r="J5" s="1114"/>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e">
        <f>IF(#REF!="","",#REF!)</f>
        <v>#REF!</v>
      </c>
      <c r="D7" s="1113"/>
      <c r="F7" s="690" t="s">
        <v>76</v>
      </c>
      <c r="G7" s="1086" t="e">
        <f>IF(#REF!="","",#REF!)</f>
        <v>#REF!</v>
      </c>
      <c r="H7" s="1115"/>
      <c r="I7" s="1115" t="e">
        <f>IF(#REF!="","",#REF!)</f>
        <v>#REF!</v>
      </c>
      <c r="J7" s="1115"/>
      <c r="N7" s="699" t="s">
        <v>79</v>
      </c>
      <c r="O7" s="917" t="e">
        <f>IF(#REF!="","",#REF!)</f>
        <v>#REF!</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2"/>
      <c r="F9" s="1112"/>
      <c r="G9" s="1125"/>
      <c r="H9" s="1126"/>
      <c r="I9" s="1126"/>
      <c r="J9" s="1126"/>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IF(K12=0,"-",O12/M12)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0" t="s">
        <v>1092</v>
      </c>
      <c r="F19" s="1108"/>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5" t="str">
        <f>IF(ISNUMBER(SEARCH("MUAP",$D14)),"MAX.  SUPPLY (m³/s)",IF(ISNUMBER(SEARCH("SPECIAL",$D14)),"MAX.  SUPPLY (m³/s)",(IF(ISNUMBER(SEARCH("F",$D14)),"MAX.  SUPPLY (m³/s)",""))))</f>
        <v/>
      </c>
      <c r="I21" s="1105"/>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06" t="str">
        <f>IF(ISNUMBER(SEARCH("MUAP",$D14)),0.225*($F14/1000),IF(ISNUMBER(SEARCH("SPECIAL",$D14)),0.225*($F14/1000),(IF(ISNUMBER(SEARCH("F",$D14)),0.225*($F14/1000),""))))</f>
        <v/>
      </c>
      <c r="I22" s="110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06" t="str">
        <f>IF(ISNUMBER(SEARCH("MUAP",$D14)),0.225*($F14/1000),IF(ISNUMBER(SEARCH("SPECIAL",$D14)),0.225*($F14/1000),(IF(ISNUMBER(SEARCH("F",$D14)),0.225*($F14/1000),""))))</f>
        <v/>
      </c>
      <c r="I23" s="110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IF(K29=0,"-",O29/M29)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7"/>
      <c r="F35" s="1108"/>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0" t="s">
        <v>1092</v>
      </c>
      <c r="F36" s="1108"/>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5" t="str">
        <f>IF(ISNUMBER(SEARCH("MUAP",$D31)),"MAX.  SUPPLY (m³/s)",IF(ISNUMBER(SEARCH("SPECIAL",$D31)),"MAX.  SUPPLY (m³/s)",(IF(ISNUMBER(SEARCH("F",$D31)),"MAX.  SUPPLY (m³/s)",""))))</f>
        <v/>
      </c>
      <c r="I38" s="1105"/>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06" t="str">
        <f>IF(ISNUMBER(SEARCH("MUAP",$D31)),0.225*($F31/1000),IF(ISNUMBER(SEARCH("SPECIAL",$D31)),0.225*($F31/1000),(IF(ISNUMBER(SEARCH("F",$D31)),0.225*($F31/1000),""))))</f>
        <v/>
      </c>
      <c r="I39" s="110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06" t="str">
        <f>IF(ISNUMBER(SEARCH("MUAP",$D31)),0.225*($F31/1000),IF(ISNUMBER(SEARCH("SPECIAL",$D31)),0.225*($F31/1000),(IF(ISNUMBER(SEARCH("F",$D31)),0.225*($F31/1000),""))))</f>
        <v/>
      </c>
      <c r="I40" s="110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IF(K46=0,"-",O46/M46)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0" t="s">
        <v>1092</v>
      </c>
      <c r="F53" s="1108"/>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5" t="str">
        <f>IF(ISNUMBER(SEARCH("MUAP",$D48)),"MAX.  SUPPLY (m³/s)",IF(ISNUMBER(SEARCH("SPECIAL",$D48)),"MAX.  SUPPLY (m³/s)",(IF(ISNUMBER(SEARCH("F",$D48)),"MAX.  SUPPLY (m³/s)",""))))</f>
        <v/>
      </c>
      <c r="I55" s="1105"/>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06" t="str">
        <f>IF(ISNUMBER(SEARCH("MUAP",$D48)),0.225*($F48/1000),IF(ISNUMBER(SEARCH("SPECIAL",$D48)),0.225*($F48/1000),(IF(ISNUMBER(SEARCH("F",$D48)),0.225*($F48/1000),""))))</f>
        <v/>
      </c>
      <c r="I56" s="110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06" t="str">
        <f>IF(ISNUMBER(SEARCH("MUAP",$D48)),0.225*($F48/1000),IF(ISNUMBER(SEARCH("SPECIAL",$D48)),0.225*($F48/1000),(IF(ISNUMBER(SEARCH("F",$D48)),0.225*($F48/1000),""))))</f>
        <v/>
      </c>
      <c r="I57" s="110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IF(K63=0,"-",O63/M63)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0" t="s">
        <v>1092</v>
      </c>
      <c r="F70" s="1108"/>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5" t="str">
        <f>IF(ISNUMBER(SEARCH("MUAP",$D65)),"MAX.  SUPPLY (m³/s)",IF(ISNUMBER(SEARCH("SPECIAL",$D65)),"MAX.  SUPPLY (m³/s)",(IF(ISNUMBER(SEARCH("F",$D65)),"MAX.  SUPPLY (m³/s)",""))))</f>
        <v/>
      </c>
      <c r="I72" s="1105"/>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06" t="str">
        <f>IF(ISNUMBER(SEARCH("MUAP",$D65)),0.225*($F65/1000),IF(ISNUMBER(SEARCH("SPECIAL",$D65)),0.225*($F65/1000),(IF(ISNUMBER(SEARCH("F",$D65)),0.225*($F65/1000),""))))</f>
        <v/>
      </c>
      <c r="I73" s="110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06" t="str">
        <f>IF(ISNUMBER(SEARCH("MUAP",$D65)),0.225*($F65/1000),IF(ISNUMBER(SEARCH("SPECIAL",$D65)),0.225*($F65/1000),(IF(ISNUMBER(SEARCH("F",$D65)),0.225*($F65/1000),""))))</f>
        <v/>
      </c>
      <c r="I74" s="110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IF(K80=0,"-",O80/M80)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0" t="s">
        <v>1092</v>
      </c>
      <c r="F87" s="1108"/>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5" t="str">
        <f>IF(ISNUMBER(SEARCH("MUAP",$D82)),"MAX.  SUPPLY (m³/s)",IF(ISNUMBER(SEARCH("SPECIAL",$D82)),"MAX.  SUPPLY (m³/s)",(IF(ISNUMBER(SEARCH("F",$D82)),"MAX.  SUPPLY (m³/s)",""))))</f>
        <v/>
      </c>
      <c r="I89" s="1105"/>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06" t="str">
        <f>IF(ISNUMBER(SEARCH("MUAP",$D82)),0.225*($F82/1000),IF(ISNUMBER(SEARCH("SPECIAL",$D82)),0.225*($F82/1000),(IF(ISNUMBER(SEARCH("F",$D82)),0.225*($F82/1000),""))))</f>
        <v/>
      </c>
      <c r="I90" s="110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06" t="str">
        <f>IF(ISNUMBER(SEARCH("MUAP",$D82)),0.225*($F82/1000),IF(ISNUMBER(SEARCH("SPECIAL",$D82)),0.225*($F82/1000),(IF(ISNUMBER(SEARCH("F",$D82)),0.225*($F82/1000),""))))</f>
        <v/>
      </c>
      <c r="I91" s="110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IF(K97=0,"-",O97/M97)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0" t="s">
        <v>1092</v>
      </c>
      <c r="F104" s="1108"/>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5" t="str">
        <f>IF(ISNUMBER(SEARCH("MUAP",$D99)),"MAX.  SUPPLY (m³/s)",IF(ISNUMBER(SEARCH("SPECIAL",$D99)),"MAX.  SUPPLY (m³/s)",(IF(ISNUMBER(SEARCH("F",$D99)),"MAX.  SUPPLY (m³/s)",""))))</f>
        <v/>
      </c>
      <c r="I106" s="1105"/>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06" t="str">
        <f>IF(ISNUMBER(SEARCH("MUAP",$D99)),0.225*($F99/1000),IF(ISNUMBER(SEARCH("SPECIAL",$D99)),0.225*($F99/1000),(IF(ISNUMBER(SEARCH("F",$D99)),0.225*($F99/1000),""))))</f>
        <v/>
      </c>
      <c r="I107" s="110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06" t="str">
        <f>IF(ISNUMBER(SEARCH("MUAP",$D99)),0.225*($F99/1000),IF(ISNUMBER(SEARCH("SPECIAL",$D99)),0.225*($F99/1000),(IF(ISNUMBER(SEARCH("F",$D99)),0.225*($F99/1000),""))))</f>
        <v/>
      </c>
      <c r="I108" s="110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IF(K114=0,"-",O114/M114)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0" t="s">
        <v>1092</v>
      </c>
      <c r="F121" s="1108"/>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5" t="str">
        <f>IF(ISNUMBER(SEARCH("MUAP",$D116)),"MAX.  SUPPLY (m³/s)",IF(ISNUMBER(SEARCH("SPECIAL",$D116)),"MAX.  SUPPLY (m³/s)",(IF(ISNUMBER(SEARCH("F",$D116)),"MAX.  SUPPLY (m³/s)",""))))</f>
        <v/>
      </c>
      <c r="I123" s="1105"/>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06" t="str">
        <f>IF(ISNUMBER(SEARCH("MUAP",$D116)),0.225*($F116/1000),IF(ISNUMBER(SEARCH("SPECIAL",$D116)),0.225*($F116/1000),(IF(ISNUMBER(SEARCH("F",$D116)),0.225*($F116/1000),""))))</f>
        <v/>
      </c>
      <c r="I124" s="110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06" t="str">
        <f>IF(ISNUMBER(SEARCH("MUAP",$D116)),0.225*($F116/1000),IF(ISNUMBER(SEARCH("SPECIAL",$D116)),0.225*($F116/1000),(IF(ISNUMBER(SEARCH("F",$D116)),0.225*($F116/1000),""))))</f>
        <v/>
      </c>
      <c r="I125" s="110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IF(K131=0,"-",O131/M131)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0" t="s">
        <v>1092</v>
      </c>
      <c r="F138" s="1108"/>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5" t="str">
        <f>IF(ISNUMBER(SEARCH("MUAP",$D133)),"MAX.  SUPPLY (m³/s)",IF(ISNUMBER(SEARCH("SPECIAL",$D133)),"MAX.  SUPPLY (m³/s)",(IF(ISNUMBER(SEARCH("F",$D133)),"MAX.  SUPPLY (m³/s)",""))))</f>
        <v/>
      </c>
      <c r="I140" s="1105"/>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06" t="str">
        <f>IF(ISNUMBER(SEARCH("MUAP",$D133)),0.225*($F133/1000),IF(ISNUMBER(SEARCH("SPECIAL",$D133)),0.225*($F133/1000),(IF(ISNUMBER(SEARCH("F",$D133)),0.225*($F133/1000),""))))</f>
        <v/>
      </c>
      <c r="I141" s="110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06" t="str">
        <f>IF(ISNUMBER(SEARCH("MUAP",$D133)),0.225*($F133/1000),IF(ISNUMBER(SEARCH("SPECIAL",$D133)),0.225*($F133/1000),(IF(ISNUMBER(SEARCH("F",$D133)),0.225*($F133/1000),""))))</f>
        <v/>
      </c>
      <c r="I142" s="110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IF(K148=0,"-",O148/M148)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0" t="s">
        <v>1092</v>
      </c>
      <c r="F155" s="1108"/>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5" t="str">
        <f>IF(ISNUMBER(SEARCH("MUAP",$D150)),"MAX.  SUPPLY (m³/s)",IF(ISNUMBER(SEARCH("SPECIAL",$D150)),"MAX.  SUPPLY (m³/s)",(IF(ISNUMBER(SEARCH("F",$D150)),"MAX.  SUPPLY (m³/s)",""))))</f>
        <v/>
      </c>
      <c r="I157" s="1105"/>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06" t="str">
        <f>IF(ISNUMBER(SEARCH("MUAP",$D150)),0.225*($F150/1000),IF(ISNUMBER(SEARCH("SPECIAL",$D150)),0.225*($F150/1000),(IF(ISNUMBER(SEARCH("F",$D150)),0.225*($F150/1000),""))))</f>
        <v/>
      </c>
      <c r="I158" s="110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06" t="str">
        <f>IF(ISNUMBER(SEARCH("MUAP",$D150)),0.225*($F150/1000),IF(ISNUMBER(SEARCH("SPECIAL",$D150)),0.225*($F150/1000),(IF(ISNUMBER(SEARCH("F",$D150)),0.225*($F150/1000),""))))</f>
        <v/>
      </c>
      <c r="I159" s="110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IF(K165=0,"-",O165/M165)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0" t="s">
        <v>1092</v>
      </c>
      <c r="F172" s="1108"/>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5" t="str">
        <f>IF(ISNUMBER(SEARCH("MUAP",$D167)),"MAX.  SUPPLY (m³/s)",IF(ISNUMBER(SEARCH("SPECIAL",$D167)),"MAX.  SUPPLY (m³/s)",(IF(ISNUMBER(SEARCH("F",$D167)),"MAX.  SUPPLY (m³/s)",""))))</f>
        <v/>
      </c>
      <c r="I174" s="1105"/>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06" t="str">
        <f>IF(ISNUMBER(SEARCH("MUAP",$D167)),0.225*($F167/1000),IF(ISNUMBER(SEARCH("SPECIAL",$D167)),0.225*($F167/1000),(IF(ISNUMBER(SEARCH("F",$D167)),0.225*($F167/1000),""))))</f>
        <v/>
      </c>
      <c r="I175" s="110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06" t="str">
        <f>IF(ISNUMBER(SEARCH("MUAP",$D167)),0.225*($F167/1000),IF(ISNUMBER(SEARCH("SPECIAL",$D167)),0.225*($F167/1000),(IF(ISNUMBER(SEARCH("F",$D167)),0.225*($F167/1000),""))))</f>
        <v/>
      </c>
      <c r="I176" s="110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8" t="s">
        <v>50</v>
      </c>
      <c r="C182" s="1128"/>
      <c r="D182" s="1128"/>
      <c r="E182" s="1128"/>
      <c r="F182" s="1128"/>
      <c r="G182" s="1128"/>
      <c r="H182" s="720"/>
      <c r="I182" s="720"/>
      <c r="J182" s="773"/>
      <c r="K182" s="723">
        <f>SUBTOTAL(9,K183:K197)</f>
        <v>1027.2</v>
      </c>
      <c r="L182" s="704">
        <f>IF(K182=0,"-",O182/M182)</f>
        <v>0.39213566507684156</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7" t="s">
        <v>732</v>
      </c>
      <c r="F183" s="1108"/>
      <c r="G183" s="1109"/>
      <c r="H183" s="1109"/>
      <c r="I183" s="110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2" t="s">
        <v>892</v>
      </c>
      <c r="F185" s="1143"/>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4" t="s">
        <v>1412</v>
      </c>
      <c r="F186" s="1145"/>
      <c r="G186" s="1109"/>
      <c r="H186" s="1109"/>
      <c r="I186" s="110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0" t="s">
        <v>1414</v>
      </c>
      <c r="E189" s="1141"/>
      <c r="F189" s="1141"/>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0" t="s">
        <v>1416</v>
      </c>
      <c r="E190" s="1141"/>
      <c r="F190" s="1141"/>
      <c r="G190" s="1136" t="s">
        <v>1464</v>
      </c>
      <c r="H190" s="1136"/>
      <c r="I190" s="113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17"/>
      <c r="F193" s="111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31" t="s">
        <v>826</v>
      </c>
      <c r="E194" s="1132"/>
      <c r="F194" s="1132"/>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29" t="s">
        <v>1385</v>
      </c>
      <c r="E195" s="1130"/>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7" t="s">
        <v>725</v>
      </c>
      <c r="E197" s="1108"/>
      <c r="F197" s="1108"/>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7" t="s">
        <v>954</v>
      </c>
      <c r="C200" s="1127"/>
      <c r="D200" s="1127"/>
      <c r="E200" s="1127"/>
      <c r="F200" s="1127"/>
      <c r="G200" s="1127"/>
      <c r="H200" s="1127"/>
      <c r="I200" s="1127"/>
      <c r="J200" s="1127"/>
      <c r="K200" s="1127"/>
      <c r="L200" s="1127"/>
      <c r="M200" s="1127"/>
      <c r="N200" s="1127"/>
      <c r="O200" s="1127"/>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24"/>
      <c r="C202" s="1124"/>
      <c r="D202" s="1124"/>
      <c r="E202" s="1124"/>
      <c r="F202" s="1124"/>
      <c r="G202" s="1124"/>
      <c r="H202" s="1124"/>
      <c r="I202" s="1124"/>
      <c r="J202" s="1124"/>
      <c r="K202" s="1124"/>
      <c r="L202" s="1124"/>
      <c r="M202" s="1124"/>
      <c r="N202" s="1124"/>
      <c r="O202" s="1124"/>
      <c r="S202" s="694"/>
    </row>
    <row r="203" spans="1:19" ht="15" customHeight="1" x14ac:dyDescent="0.2">
      <c r="B203" s="1124"/>
      <c r="C203" s="1124"/>
      <c r="D203" s="1124"/>
      <c r="E203" s="1124"/>
      <c r="F203" s="1124"/>
      <c r="G203" s="1124"/>
      <c r="H203" s="1124"/>
      <c r="I203" s="1124"/>
      <c r="J203" s="1124"/>
      <c r="K203" s="1124"/>
      <c r="L203" s="1124"/>
      <c r="M203" s="1124"/>
      <c r="N203" s="1124"/>
      <c r="O203" s="1124"/>
      <c r="S203" s="694"/>
    </row>
    <row r="204" spans="1:19" ht="15" customHeight="1" x14ac:dyDescent="0.2">
      <c r="B204" s="1124"/>
      <c r="C204" s="1124"/>
      <c r="D204" s="1124"/>
      <c r="E204" s="1124"/>
      <c r="F204" s="1124"/>
      <c r="G204" s="1124"/>
      <c r="H204" s="1124"/>
      <c r="I204" s="1124"/>
      <c r="J204" s="1124"/>
      <c r="K204" s="1124"/>
      <c r="L204" s="1124"/>
      <c r="M204" s="1124"/>
      <c r="N204" s="1124"/>
      <c r="O204" s="1124"/>
      <c r="S204" s="694"/>
    </row>
    <row r="205" spans="1:19" ht="15" customHeight="1" x14ac:dyDescent="0.2">
      <c r="B205" s="1124"/>
      <c r="C205" s="1124"/>
      <c r="D205" s="1124"/>
      <c r="E205" s="1124"/>
      <c r="F205" s="1124"/>
      <c r="G205" s="1124"/>
      <c r="H205" s="1124"/>
      <c r="I205" s="1124"/>
      <c r="J205" s="1124"/>
      <c r="K205" s="1124"/>
      <c r="L205" s="1124"/>
      <c r="M205" s="1124"/>
      <c r="N205" s="1124"/>
      <c r="O205" s="1124"/>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C7:D7"/>
    <mergeCell ref="G7:J7"/>
    <mergeCell ref="B1:C1"/>
    <mergeCell ref="C3:D3"/>
    <mergeCell ref="G3:J3"/>
    <mergeCell ref="C5:D5"/>
    <mergeCell ref="G5:J5"/>
    <mergeCell ref="E9:F9"/>
    <mergeCell ref="G9:J9"/>
    <mergeCell ref="E19:F19"/>
    <mergeCell ref="H21:I21"/>
    <mergeCell ref="H22:I22"/>
    <mergeCell ref="H72:I72"/>
    <mergeCell ref="H23:I23"/>
    <mergeCell ref="E35:F35"/>
    <mergeCell ref="E36:F36"/>
    <mergeCell ref="H38:I38"/>
    <mergeCell ref="H39:I39"/>
    <mergeCell ref="H40:I40"/>
    <mergeCell ref="E53:F53"/>
    <mergeCell ref="H55:I55"/>
    <mergeCell ref="H56:I56"/>
    <mergeCell ref="H57:I57"/>
    <mergeCell ref="E70:F70"/>
    <mergeCell ref="H123:I123"/>
    <mergeCell ref="H73:I73"/>
    <mergeCell ref="H74:I74"/>
    <mergeCell ref="E87:F87"/>
    <mergeCell ref="H89:I89"/>
    <mergeCell ref="H90:I90"/>
    <mergeCell ref="H91:I91"/>
    <mergeCell ref="E104:F104"/>
    <mergeCell ref="H106:I106"/>
    <mergeCell ref="H107:I107"/>
    <mergeCell ref="H108:I108"/>
    <mergeCell ref="E121:F121"/>
    <mergeCell ref="D193:F193"/>
    <mergeCell ref="H124:I124"/>
    <mergeCell ref="H125:I125"/>
    <mergeCell ref="B182:G182"/>
    <mergeCell ref="E183:F183"/>
    <mergeCell ref="G183:I183"/>
    <mergeCell ref="E184:F184"/>
    <mergeCell ref="D190:F190"/>
    <mergeCell ref="D189:F189"/>
    <mergeCell ref="E185:F185"/>
    <mergeCell ref="E186:F186"/>
    <mergeCell ref="G186:I186"/>
    <mergeCell ref="E138:F138"/>
    <mergeCell ref="H140:I140"/>
    <mergeCell ref="H141:I141"/>
    <mergeCell ref="H142:I142"/>
    <mergeCell ref="B202:O202"/>
    <mergeCell ref="B203:O203"/>
    <mergeCell ref="B204:O204"/>
    <mergeCell ref="B205:O205"/>
    <mergeCell ref="D194:F194"/>
    <mergeCell ref="D195:E195"/>
    <mergeCell ref="D196:E196"/>
    <mergeCell ref="D197:F197"/>
    <mergeCell ref="B200:O200"/>
    <mergeCell ref="B201:O201"/>
    <mergeCell ref="G190:I190"/>
    <mergeCell ref="H174:I174"/>
    <mergeCell ref="H175:I175"/>
    <mergeCell ref="H176:I176"/>
    <mergeCell ref="E155:F155"/>
    <mergeCell ref="H157:I157"/>
    <mergeCell ref="H158:I158"/>
    <mergeCell ref="H159:I159"/>
    <mergeCell ref="E172:F172"/>
  </mergeCells>
  <conditionalFormatting sqref="B9">
    <cfRule type="containsText" dxfId="12163" priority="758" operator="containsText" text="SELECT">
      <formula>NOT(ISERROR(SEARCH("SELECT",B9)))</formula>
    </cfRule>
    <cfRule type="expression" dxfId="12162" priority="759">
      <formula>B9="CURRENCY"</formula>
    </cfRule>
  </conditionalFormatting>
  <conditionalFormatting sqref="B11">
    <cfRule type="expression" dxfId="12161" priority="718">
      <formula>$B11&lt;&gt;""</formula>
    </cfRule>
  </conditionalFormatting>
  <conditionalFormatting sqref="B14:B23">
    <cfRule type="expression" dxfId="12160" priority="710">
      <formula>$J14&gt;0</formula>
    </cfRule>
  </conditionalFormatting>
  <conditionalFormatting sqref="B24">
    <cfRule type="expression" dxfId="12159" priority="707">
      <formula>ISNUMBER(SEARCH("UV",$D14))</formula>
    </cfRule>
    <cfRule type="expression" dxfId="12158" priority="708">
      <formula>($D14="CANOPY TYPE")</formula>
    </cfRule>
  </conditionalFormatting>
  <conditionalFormatting sqref="B25:B27">
    <cfRule type="expression" dxfId="12157" priority="518">
      <formula>$J25&gt;0</formula>
    </cfRule>
  </conditionalFormatting>
  <conditionalFormatting sqref="B28">
    <cfRule type="expression" dxfId="12156" priority="716">
      <formula>$B28&lt;&gt;""</formula>
    </cfRule>
  </conditionalFormatting>
  <conditionalFormatting sqref="B31:B40">
    <cfRule type="expression" dxfId="12155" priority="275">
      <formula>$J31&gt;0</formula>
    </cfRule>
  </conditionalFormatting>
  <conditionalFormatting sqref="B41">
    <cfRule type="expression" dxfId="12154" priority="675">
      <formula>ISNUMBER(SEARCH("UV",$D31))</formula>
    </cfRule>
    <cfRule type="expression" dxfId="12153" priority="676">
      <formula>($D31="CANOPY TYPE")</formula>
    </cfRule>
  </conditionalFormatting>
  <conditionalFormatting sqref="B42:B44">
    <cfRule type="expression" dxfId="12152" priority="677">
      <formula>$J42&gt;0</formula>
    </cfRule>
  </conditionalFormatting>
  <conditionalFormatting sqref="B45">
    <cfRule type="expression" dxfId="12151" priority="715">
      <formula>$B45&lt;&gt;""</formula>
    </cfRule>
  </conditionalFormatting>
  <conditionalFormatting sqref="B48:B57">
    <cfRule type="expression" dxfId="12150" priority="262">
      <formula>$J48&gt;0</formula>
    </cfRule>
  </conditionalFormatting>
  <conditionalFormatting sqref="B58">
    <cfRule type="expression" dxfId="12149" priority="645">
      <formula>ISNUMBER(SEARCH("UV",$D48))</formula>
    </cfRule>
    <cfRule type="expression" dxfId="12148" priority="646">
      <formula>($D48="CANOPY TYPE")</formula>
    </cfRule>
  </conditionalFormatting>
  <conditionalFormatting sqref="B59:B61">
    <cfRule type="expression" dxfId="12147" priority="517">
      <formula>$J59&gt;0</formula>
    </cfRule>
  </conditionalFormatting>
  <conditionalFormatting sqref="B62">
    <cfRule type="expression" dxfId="12146" priority="714">
      <formula>$B62&lt;&gt;""</formula>
    </cfRule>
  </conditionalFormatting>
  <conditionalFormatting sqref="B65:B74">
    <cfRule type="expression" dxfId="12145" priority="249">
      <formula>$J65&gt;0</formula>
    </cfRule>
  </conditionalFormatting>
  <conditionalFormatting sqref="B75">
    <cfRule type="expression" dxfId="12144" priority="614">
      <formula>ISNUMBER(SEARCH("UV",$D65))</formula>
    </cfRule>
    <cfRule type="expression" dxfId="12143" priority="615">
      <formula>($D65="CANOPY TYPE")</formula>
    </cfRule>
  </conditionalFormatting>
  <conditionalFormatting sqref="B76:B78">
    <cfRule type="expression" dxfId="12142" priority="516">
      <formula>$J76&gt;0</formula>
    </cfRule>
  </conditionalFormatting>
  <conditionalFormatting sqref="B79">
    <cfRule type="expression" dxfId="12141" priority="713">
      <formula>$B79&lt;&gt;""</formula>
    </cfRule>
  </conditionalFormatting>
  <conditionalFormatting sqref="B82:B91">
    <cfRule type="expression" dxfId="12140" priority="236">
      <formula>$J82&gt;0</formula>
    </cfRule>
  </conditionalFormatting>
  <conditionalFormatting sqref="B92">
    <cfRule type="expression" dxfId="12139" priority="582">
      <formula>ISNUMBER(SEARCH("UV",$D82))</formula>
    </cfRule>
    <cfRule type="expression" dxfId="12138" priority="583">
      <formula>($D82="CANOPY TYPE")</formula>
    </cfRule>
  </conditionalFormatting>
  <conditionalFormatting sqref="B93:B95">
    <cfRule type="expression" dxfId="12137" priority="515">
      <formula>$J93&gt;0</formula>
    </cfRule>
  </conditionalFormatting>
  <conditionalFormatting sqref="B96">
    <cfRule type="expression" dxfId="12136" priority="712">
      <formula>$B96&lt;&gt;""</formula>
    </cfRule>
  </conditionalFormatting>
  <conditionalFormatting sqref="B99:B108">
    <cfRule type="expression" dxfId="12135" priority="223">
      <formula>$J99&gt;0</formula>
    </cfRule>
  </conditionalFormatting>
  <conditionalFormatting sqref="B109">
    <cfRule type="expression" dxfId="12134" priority="551">
      <formula>ISNUMBER(SEARCH("UV",$D99))</formula>
    </cfRule>
    <cfRule type="expression" dxfId="12133" priority="552">
      <formula>($D99="CANOPY TYPE")</formula>
    </cfRule>
  </conditionalFormatting>
  <conditionalFormatting sqref="B110:B112 B127:B129 B161:B163 B178:B180">
    <cfRule type="expression" dxfId="12132" priority="514">
      <formula>$J110&gt;0</formula>
    </cfRule>
  </conditionalFormatting>
  <conditionalFormatting sqref="B113">
    <cfRule type="expression" dxfId="12131" priority="351">
      <formula>$B113&lt;&gt;""</formula>
    </cfRule>
  </conditionalFormatting>
  <conditionalFormatting sqref="B116:B125">
    <cfRule type="expression" dxfId="12130" priority="210">
      <formula>$J116&gt;0</formula>
    </cfRule>
  </conditionalFormatting>
  <conditionalFormatting sqref="B126">
    <cfRule type="expression" dxfId="12129" priority="323">
      <formula>ISNUMBER(SEARCH("UV",$D116))</formula>
    </cfRule>
    <cfRule type="expression" dxfId="12128" priority="324">
      <formula>($D116="CANOPY TYPE")</formula>
    </cfRule>
  </conditionalFormatting>
  <conditionalFormatting sqref="B130">
    <cfRule type="expression" dxfId="12127" priority="189">
      <formula>$B130&lt;&gt;""</formula>
    </cfRule>
  </conditionalFormatting>
  <conditionalFormatting sqref="B133:B142">
    <cfRule type="expression" dxfId="12126" priority="21">
      <formula>$J133&gt;0</formula>
    </cfRule>
  </conditionalFormatting>
  <conditionalFormatting sqref="B143">
    <cfRule type="expression" dxfId="12125" priority="159">
      <formula>ISNUMBER(SEARCH("UV",$D133))</formula>
    </cfRule>
    <cfRule type="expression" dxfId="12124" priority="160">
      <formula>($D133="CANOPY TYPE")</formula>
    </cfRule>
  </conditionalFormatting>
  <conditionalFormatting sqref="B144:B146">
    <cfRule type="expression" dxfId="12123" priority="118">
      <formula>$J144&gt;0</formula>
    </cfRule>
  </conditionalFormatting>
  <conditionalFormatting sqref="B147">
    <cfRule type="expression" dxfId="12122" priority="188">
      <formula>$B147&lt;&gt;""</formula>
    </cfRule>
  </conditionalFormatting>
  <conditionalFormatting sqref="B150:B159">
    <cfRule type="expression" dxfId="12121" priority="10">
      <formula>$J150&gt;0</formula>
    </cfRule>
  </conditionalFormatting>
  <conditionalFormatting sqref="B160">
    <cfRule type="expression" dxfId="12120" priority="130">
      <formula>ISNUMBER(SEARCH("UV",$D150))</formula>
    </cfRule>
    <cfRule type="expression" dxfId="12119" priority="131">
      <formula>($D150="CANOPY TYPE")</formula>
    </cfRule>
  </conditionalFormatting>
  <conditionalFormatting sqref="B164">
    <cfRule type="expression" dxfId="12118" priority="81">
      <formula>$B164&lt;&gt;""</formula>
    </cfRule>
  </conditionalFormatting>
  <conditionalFormatting sqref="B167:B176">
    <cfRule type="expression" dxfId="12117" priority="5">
      <formula>$J167&gt;0</formula>
    </cfRule>
  </conditionalFormatting>
  <conditionalFormatting sqref="B177">
    <cfRule type="expression" dxfId="12116" priority="54">
      <formula>ISNUMBER(SEARCH("UV",$D167))</formula>
    </cfRule>
    <cfRule type="expression" dxfId="12115" priority="55">
      <formula>($D167="CANOPY TYPE")</formula>
    </cfRule>
  </conditionalFormatting>
  <conditionalFormatting sqref="B183:B197">
    <cfRule type="expression" dxfId="12114" priority="709">
      <formula>$C183&gt;0</formula>
    </cfRule>
  </conditionalFormatting>
  <conditionalFormatting sqref="C14">
    <cfRule type="containsText" dxfId="12113" priority="504" operator="containsText" text="CONFIG">
      <formula>NOT(ISERROR(SEARCH("CONFIG",C14)))</formula>
    </cfRule>
  </conditionalFormatting>
  <conditionalFormatting sqref="C15">
    <cfRule type="containsText" dxfId="12112" priority="509" operator="containsText" text="LIGHT SELECTION">
      <formula>NOT(ISERROR(SEARCH("LIGHT SELECTION",C15)))</formula>
    </cfRule>
  </conditionalFormatting>
  <conditionalFormatting sqref="C16:C17">
    <cfRule type="containsText" dxfId="12111" priority="767" operator="containsText" text="ANSUL SELECTION">
      <formula>NOT(ISERROR(SEARCH("ANSUL SELECTION",C16)))</formula>
    </cfRule>
  </conditionalFormatting>
  <conditionalFormatting sqref="C20:C21">
    <cfRule type="cellIs" dxfId="12108" priority="764" operator="lessThan">
      <formula>1</formula>
    </cfRule>
  </conditionalFormatting>
  <conditionalFormatting sqref="C22:C23">
    <cfRule type="expression" dxfId="12107" priority="484">
      <formula>D22="WW PODS"</formula>
    </cfRule>
  </conditionalFormatting>
  <conditionalFormatting sqref="C24">
    <cfRule type="expression" dxfId="12106" priority="782">
      <formula>ISNUMBER(SEARCH("UV",D14))</formula>
    </cfRule>
  </conditionalFormatting>
  <conditionalFormatting sqref="C25">
    <cfRule type="expression" dxfId="12105" priority="744">
      <formula>(ISNUMBER(SEARCH("CMW",D14)))=TRUE</formula>
    </cfRule>
  </conditionalFormatting>
  <conditionalFormatting sqref="C26">
    <cfRule type="expression" dxfId="12104" priority="743">
      <formula>(ISNUMBER(SEARCH("CMW",D14)))=TRUE</formula>
    </cfRule>
  </conditionalFormatting>
  <conditionalFormatting sqref="C27">
    <cfRule type="expression" dxfId="12103" priority="711">
      <formula>(ISNUMBER(SEARCH("CMW",$D14)))=TRUE</formula>
    </cfRule>
  </conditionalFormatting>
  <conditionalFormatting sqref="C31">
    <cfRule type="containsText" dxfId="12102" priority="686" operator="containsText" text="CONFIG">
      <formula>NOT(ISERROR(SEARCH("CONFIG",C31)))</formula>
    </cfRule>
  </conditionalFormatting>
  <conditionalFormatting sqref="C32">
    <cfRule type="containsText" dxfId="12101" priority="511" operator="containsText" text="LIGHT SELECTION">
      <formula>NOT(ISERROR(SEARCH("LIGHT SELECTION",C32)))</formula>
    </cfRule>
  </conditionalFormatting>
  <conditionalFormatting sqref="C33:C34">
    <cfRule type="containsText" dxfId="12100" priority="283" operator="containsText" text="ANSUL SELECTION">
      <formula>NOT(ISERROR(SEARCH("ANSUL SELECTION",C33)))</formula>
    </cfRule>
  </conditionalFormatting>
  <conditionalFormatting sqref="C37:C38">
    <cfRule type="cellIs" dxfId="12097" priority="685" operator="lessThan">
      <formula>1</formula>
    </cfRule>
  </conditionalFormatting>
  <conditionalFormatting sqref="C39:C40">
    <cfRule type="expression" dxfId="12096" priority="462">
      <formula>D39="WW PODS"</formula>
    </cfRule>
  </conditionalFormatting>
  <conditionalFormatting sqref="C41">
    <cfRule type="expression" dxfId="12095" priority="700">
      <formula>ISNUMBER(SEARCH("UV",D31))</formula>
    </cfRule>
  </conditionalFormatting>
  <conditionalFormatting sqref="C42">
    <cfRule type="expression" dxfId="12094" priority="683">
      <formula>(ISNUMBER(SEARCH("CMW",D31)))=TRUE</formula>
    </cfRule>
  </conditionalFormatting>
  <conditionalFormatting sqref="C43">
    <cfRule type="expression" dxfId="12093" priority="543">
      <formula>(ISNUMBER(SEARCH("CMW",D31)))=TRUE</formula>
    </cfRule>
  </conditionalFormatting>
  <conditionalFormatting sqref="C44">
    <cfRule type="expression" dxfId="12092" priority="678">
      <formula>(ISNUMBER(SEARCH("CMW",$D31)))=TRUE</formula>
    </cfRule>
  </conditionalFormatting>
  <conditionalFormatting sqref="C48">
    <cfRule type="containsText" dxfId="12091" priority="655" operator="containsText" text="CONFIG">
      <formula>NOT(ISERROR(SEARCH("CONFIG",C48)))</formula>
    </cfRule>
  </conditionalFormatting>
  <conditionalFormatting sqref="C49">
    <cfRule type="containsText" dxfId="12090" priority="508" operator="containsText" text="LIGHT SELECTION">
      <formula>NOT(ISERROR(SEARCH("LIGHT SELECTION",C49)))</formula>
    </cfRule>
  </conditionalFormatting>
  <conditionalFormatting sqref="C50:C51">
    <cfRule type="containsText" dxfId="12089" priority="270" operator="containsText" text="ANSUL SELECTION">
      <formula>NOT(ISERROR(SEARCH("ANSUL SELECTION",C50)))</formula>
    </cfRule>
  </conditionalFormatting>
  <conditionalFormatting sqref="C54:C55">
    <cfRule type="cellIs" dxfId="12086" priority="654" operator="lessThan">
      <formula>1</formula>
    </cfRule>
  </conditionalFormatting>
  <conditionalFormatting sqref="C56:C57">
    <cfRule type="expression" dxfId="12085" priority="436">
      <formula>D56="WW PODS"</formula>
    </cfRule>
  </conditionalFormatting>
  <conditionalFormatting sqref="C58">
    <cfRule type="expression" dxfId="12084" priority="668">
      <formula>ISNUMBER(SEARCH("UV",D48))</formula>
    </cfRule>
  </conditionalFormatting>
  <conditionalFormatting sqref="C59">
    <cfRule type="expression" dxfId="12083" priority="652">
      <formula>(ISNUMBER(SEARCH("CMW",D48)))=TRUE</formula>
    </cfRule>
  </conditionalFormatting>
  <conditionalFormatting sqref="C60">
    <cfRule type="expression" dxfId="12082" priority="542">
      <formula>(ISNUMBER(SEARCH("CMW",D48)))=TRUE</formula>
    </cfRule>
  </conditionalFormatting>
  <conditionalFormatting sqref="C61">
    <cfRule type="expression" dxfId="12081" priority="647">
      <formula>(ISNUMBER(SEARCH("CMW",$D48)))=TRUE</formula>
    </cfRule>
  </conditionalFormatting>
  <conditionalFormatting sqref="C65">
    <cfRule type="containsText" dxfId="12080" priority="625" operator="containsText" text="CONFIG">
      <formula>NOT(ISERROR(SEARCH("CONFIG",C65)))</formula>
    </cfRule>
  </conditionalFormatting>
  <conditionalFormatting sqref="C66">
    <cfRule type="containsText" dxfId="12079" priority="507" operator="containsText" text="LIGHT SELECTION">
      <formula>NOT(ISERROR(SEARCH("LIGHT SELECTION",C66)))</formula>
    </cfRule>
  </conditionalFormatting>
  <conditionalFormatting sqref="C67:C68">
    <cfRule type="containsText" dxfId="12078" priority="257" operator="containsText" text="ANSUL SELECTION">
      <formula>NOT(ISERROR(SEARCH("ANSUL SELECTION",C67)))</formula>
    </cfRule>
  </conditionalFormatting>
  <conditionalFormatting sqref="C71:C72">
    <cfRule type="cellIs" dxfId="12075" priority="624" operator="lessThan">
      <formula>1</formula>
    </cfRule>
  </conditionalFormatting>
  <conditionalFormatting sqref="C73:C74">
    <cfRule type="expression" dxfId="12074" priority="410">
      <formula>D73="WW PODS"</formula>
    </cfRule>
  </conditionalFormatting>
  <conditionalFormatting sqref="C75">
    <cfRule type="expression" dxfId="12073" priority="638">
      <formula>ISNUMBER(SEARCH("UV",D65))</formula>
    </cfRule>
  </conditionalFormatting>
  <conditionalFormatting sqref="C76">
    <cfRule type="expression" dxfId="12072" priority="621">
      <formula>(ISNUMBER(SEARCH("CMW",D65)))=TRUE</formula>
    </cfRule>
  </conditionalFormatting>
  <conditionalFormatting sqref="C77">
    <cfRule type="expression" dxfId="12071" priority="541">
      <formula>(ISNUMBER(SEARCH("CMW",D65)))=TRUE</formula>
    </cfRule>
  </conditionalFormatting>
  <conditionalFormatting sqref="C78">
    <cfRule type="expression" dxfId="12070" priority="616">
      <formula>(ISNUMBER(SEARCH("CMW",$D65)))=TRUE</formula>
    </cfRule>
  </conditionalFormatting>
  <conditionalFormatting sqref="C82">
    <cfRule type="containsText" dxfId="12069" priority="593" operator="containsText" text="CONFIG">
      <formula>NOT(ISERROR(SEARCH("CONFIG",C82)))</formula>
    </cfRule>
  </conditionalFormatting>
  <conditionalFormatting sqref="C83">
    <cfRule type="containsText" dxfId="12068" priority="506" operator="containsText" text="LIGHT SELECTION">
      <formula>NOT(ISERROR(SEARCH("LIGHT SELECTION",C83)))</formula>
    </cfRule>
  </conditionalFormatting>
  <conditionalFormatting sqref="C84:C85">
    <cfRule type="containsText" dxfId="12067" priority="244" operator="containsText" text="ANSUL SELECTION">
      <formula>NOT(ISERROR(SEARCH("ANSUL SELECTION",C84)))</formula>
    </cfRule>
  </conditionalFormatting>
  <conditionalFormatting sqref="C88:C89">
    <cfRule type="cellIs" dxfId="12064" priority="592" operator="lessThan">
      <formula>1</formula>
    </cfRule>
  </conditionalFormatting>
  <conditionalFormatting sqref="C90:C91">
    <cfRule type="expression" dxfId="12063" priority="384">
      <formula>D90="WW PODS"</formula>
    </cfRule>
  </conditionalFormatting>
  <conditionalFormatting sqref="C92">
    <cfRule type="expression" dxfId="12062" priority="607">
      <formula>ISNUMBER(SEARCH("UV",D82))</formula>
    </cfRule>
  </conditionalFormatting>
  <conditionalFormatting sqref="C93">
    <cfRule type="expression" dxfId="12061" priority="589">
      <formula>(ISNUMBER(SEARCH("CMW",D82)))=TRUE</formula>
    </cfRule>
  </conditionalFormatting>
  <conditionalFormatting sqref="C94">
    <cfRule type="expression" dxfId="12060" priority="540">
      <formula>(ISNUMBER(SEARCH("CMW",D82)))=TRUE</formula>
    </cfRule>
  </conditionalFormatting>
  <conditionalFormatting sqref="C95">
    <cfRule type="expression" dxfId="12059" priority="584">
      <formula>(ISNUMBER(SEARCH("CMW",$D82)))=TRUE</formula>
    </cfRule>
  </conditionalFormatting>
  <conditionalFormatting sqref="C99">
    <cfRule type="containsText" dxfId="12058" priority="561" operator="containsText" text="CONFIG">
      <formula>NOT(ISERROR(SEARCH("CONFIG",C99)))</formula>
    </cfRule>
  </conditionalFormatting>
  <conditionalFormatting sqref="C100">
    <cfRule type="containsText" dxfId="12057" priority="505" operator="containsText" text="LIGHT SELECTION">
      <formula>NOT(ISERROR(SEARCH("LIGHT SELECTION",C100)))</formula>
    </cfRule>
  </conditionalFormatting>
  <conditionalFormatting sqref="C101:C102">
    <cfRule type="containsText" dxfId="12056" priority="231" operator="containsText" text="ANSUL SELECTION">
      <formula>NOT(ISERROR(SEARCH("ANSUL SELECTION",C101)))</formula>
    </cfRule>
  </conditionalFormatting>
  <conditionalFormatting sqref="C105:C106">
    <cfRule type="cellIs" dxfId="12053" priority="560" operator="lessThan">
      <formula>1</formula>
    </cfRule>
  </conditionalFormatting>
  <conditionalFormatting sqref="C107:C108">
    <cfRule type="expression" dxfId="12052" priority="358">
      <formula>D107="WW PODS"</formula>
    </cfRule>
  </conditionalFormatting>
  <conditionalFormatting sqref="C109">
    <cfRule type="expression" dxfId="12051" priority="575">
      <formula>ISNUMBER(SEARCH("UV",D99))</formula>
    </cfRule>
  </conditionalFormatting>
  <conditionalFormatting sqref="C110">
    <cfRule type="expression" dxfId="12050" priority="558">
      <formula>(ISNUMBER(SEARCH("CMW",D99)))=TRUE</formula>
    </cfRule>
  </conditionalFormatting>
  <conditionalFormatting sqref="C111">
    <cfRule type="expression" dxfId="12049" priority="539">
      <formula>(ISNUMBER(SEARCH("CMW",D99)))=TRUE</formula>
    </cfRule>
  </conditionalFormatting>
  <conditionalFormatting sqref="C112 C129 C163 C180">
    <cfRule type="expression" dxfId="12048" priority="553">
      <formula>(ISNUMBER(SEARCH("CMW",$D99)))=TRUE</formula>
    </cfRule>
  </conditionalFormatting>
  <conditionalFormatting sqref="C116">
    <cfRule type="containsText" dxfId="12047" priority="332" operator="containsText" text="CONFIG">
      <formula>NOT(ISERROR(SEARCH("CONFIG",C116)))</formula>
    </cfRule>
  </conditionalFormatting>
  <conditionalFormatting sqref="C117">
    <cfRule type="containsText" dxfId="12046" priority="315" operator="containsText" text="LIGHT SELECTION">
      <formula>NOT(ISERROR(SEARCH("LIGHT SELECTION",C117)))</formula>
    </cfRule>
  </conditionalFormatting>
  <conditionalFormatting sqref="C118:C119">
    <cfRule type="containsText" dxfId="12045" priority="218" operator="containsText" text="ANSUL SELECTION">
      <formula>NOT(ISERROR(SEARCH("ANSUL SELECTION",C118)))</formula>
    </cfRule>
  </conditionalFormatting>
  <conditionalFormatting sqref="C122:C123">
    <cfRule type="cellIs" dxfId="12042" priority="331" operator="lessThan">
      <formula>1</formula>
    </cfRule>
  </conditionalFormatting>
  <conditionalFormatting sqref="C124:C125">
    <cfRule type="expression" dxfId="12041" priority="292">
      <formula>D124="WW PODS"</formula>
    </cfRule>
  </conditionalFormatting>
  <conditionalFormatting sqref="C126">
    <cfRule type="expression" dxfId="12040" priority="346">
      <formula>ISNUMBER(SEARCH("UV",D116))</formula>
    </cfRule>
  </conditionalFormatting>
  <conditionalFormatting sqref="C127">
    <cfRule type="expression" dxfId="12039" priority="329">
      <formula>(ISNUMBER(SEARCH("CMW",D116)))=TRUE</formula>
    </cfRule>
  </conditionalFormatting>
  <conditionalFormatting sqref="C128">
    <cfRule type="expression" dxfId="12038" priority="320">
      <formula>(ISNUMBER(SEARCH("CMW",D116)))=TRUE</formula>
    </cfRule>
  </conditionalFormatting>
  <conditionalFormatting sqref="C133">
    <cfRule type="containsText" dxfId="12037" priority="169" operator="containsText" text="CONFIG">
      <formula>NOT(ISERROR(SEARCH("CONFIG",C133)))</formula>
    </cfRule>
  </conditionalFormatting>
  <conditionalFormatting sqref="C134">
    <cfRule type="containsText" dxfId="12036" priority="117" operator="containsText" text="LIGHT SELECTION">
      <formula>NOT(ISERROR(SEARCH("LIGHT SELECTION",C134)))</formula>
    </cfRule>
  </conditionalFormatting>
  <conditionalFormatting sqref="C135:C136">
    <cfRule type="containsText" dxfId="12035" priority="29" operator="containsText" text="ANSUL SELECTION">
      <formula>NOT(ISERROR(SEARCH("ANSUL SELECTION",C135)))</formula>
    </cfRule>
  </conditionalFormatting>
  <conditionalFormatting sqref="C139:C140">
    <cfRule type="cellIs" dxfId="12032" priority="168" operator="lessThan">
      <formula>1</formula>
    </cfRule>
  </conditionalFormatting>
  <conditionalFormatting sqref="C141:C142">
    <cfRule type="expression" dxfId="12031" priority="99">
      <formula>D141="WW PODS"</formula>
    </cfRule>
  </conditionalFormatting>
  <conditionalFormatting sqref="C143">
    <cfRule type="expression" dxfId="12030" priority="183">
      <formula>ISNUMBER(SEARCH("UV",D133))</formula>
    </cfRule>
  </conditionalFormatting>
  <conditionalFormatting sqref="C144">
    <cfRule type="expression" dxfId="12029" priority="165">
      <formula>(ISNUMBER(SEARCH("CMW",D133)))=TRUE</formula>
    </cfRule>
  </conditionalFormatting>
  <conditionalFormatting sqref="C145">
    <cfRule type="expression" dxfId="12028" priority="128">
      <formula>(ISNUMBER(SEARCH("CMW",D133)))=TRUE</formula>
    </cfRule>
  </conditionalFormatting>
  <conditionalFormatting sqref="C146">
    <cfRule type="expression" dxfId="12027" priority="161">
      <formula>(ISNUMBER(SEARCH("CMW",$D133)))=TRUE</formula>
    </cfRule>
  </conditionalFormatting>
  <conditionalFormatting sqref="C150">
    <cfRule type="containsText" dxfId="12026" priority="138" operator="containsText" text="CONFIG">
      <formula>NOT(ISERROR(SEARCH("CONFIG",C150)))</formula>
    </cfRule>
  </conditionalFormatting>
  <conditionalFormatting sqref="C151">
    <cfRule type="containsText" dxfId="12025" priority="116" operator="containsText" text="LIGHT SELECTION">
      <formula>NOT(ISERROR(SEARCH("LIGHT SELECTION",C151)))</formula>
    </cfRule>
  </conditionalFormatting>
  <conditionalFormatting sqref="C152:C153">
    <cfRule type="containsText" dxfId="12024" priority="18" operator="containsText" text="ANSUL SELECTION">
      <formula>NOT(ISERROR(SEARCH("ANSUL SELECTION",C152)))</formula>
    </cfRule>
  </conditionalFormatting>
  <conditionalFormatting sqref="C156:C157">
    <cfRule type="cellIs" dxfId="12021" priority="137" operator="lessThan">
      <formula>1</formula>
    </cfRule>
  </conditionalFormatting>
  <conditionalFormatting sqref="C158:C159">
    <cfRule type="expression" dxfId="12020" priority="84">
      <formula>D158="WW PODS"</formula>
    </cfRule>
  </conditionalFormatting>
  <conditionalFormatting sqref="C160">
    <cfRule type="expression" dxfId="12019" priority="152">
      <formula>ISNUMBER(SEARCH("UV",D150))</formula>
    </cfRule>
  </conditionalFormatting>
  <conditionalFormatting sqref="C161">
    <cfRule type="expression" dxfId="12018" priority="135">
      <formula>(ISNUMBER(SEARCH("CMW",D150)))=TRUE</formula>
    </cfRule>
  </conditionalFormatting>
  <conditionalFormatting sqref="C162">
    <cfRule type="expression" dxfId="12017" priority="127">
      <formula>(ISNUMBER(SEARCH("CMW",D150)))=TRUE</formula>
    </cfRule>
  </conditionalFormatting>
  <conditionalFormatting sqref="C167">
    <cfRule type="containsText" dxfId="12016" priority="62" operator="containsText" text="CONFIG">
      <formula>NOT(ISERROR(SEARCH("CONFIG",C167)))</formula>
    </cfRule>
  </conditionalFormatting>
  <conditionalFormatting sqref="C168">
    <cfRule type="containsText" dxfId="12015" priority="47" operator="containsText" text="LIGHT SELECTION">
      <formula>NOT(ISERROR(SEARCH("LIGHT SELECTION",C168)))</formula>
    </cfRule>
  </conditionalFormatting>
  <conditionalFormatting sqref="C169:C170">
    <cfRule type="containsText" dxfId="12014" priority="7" operator="containsText" text="ANSUL SELECTION">
      <formula>NOT(ISERROR(SEARCH("ANSUL SELECTION",C169)))</formula>
    </cfRule>
  </conditionalFormatting>
  <conditionalFormatting sqref="C173:C174">
    <cfRule type="cellIs" dxfId="12011" priority="61" operator="lessThan">
      <formula>1</formula>
    </cfRule>
  </conditionalFormatting>
  <conditionalFormatting sqref="C175:C176">
    <cfRule type="expression" dxfId="12010" priority="31">
      <formula>D175="WW PODS"</formula>
    </cfRule>
  </conditionalFormatting>
  <conditionalFormatting sqref="C177">
    <cfRule type="expression" dxfId="12009" priority="76">
      <formula>ISNUMBER(SEARCH("UV",D167))</formula>
    </cfRule>
  </conditionalFormatting>
  <conditionalFormatting sqref="C178">
    <cfRule type="expression" dxfId="12008" priority="59">
      <formula>(ISNUMBER(SEARCH("CMW",D167)))=TRUE</formula>
    </cfRule>
  </conditionalFormatting>
  <conditionalFormatting sqref="C179">
    <cfRule type="expression" dxfId="12007" priority="52">
      <formula>(ISNUMBER(SEARCH("CMW",D167)))=TRUE</formula>
    </cfRule>
  </conditionalFormatting>
  <conditionalFormatting sqref="C183:C184">
    <cfRule type="cellIs" dxfId="12006" priority="766" operator="lessThan">
      <formula>1</formula>
    </cfRule>
  </conditionalFormatting>
  <conditionalFormatting sqref="C185:C186">
    <cfRule type="cellIs" dxfId="12005" priority="755" operator="lessThan">
      <formula>1</formula>
    </cfRule>
  </conditionalFormatting>
  <conditionalFormatting sqref="C187:C197">
    <cfRule type="cellIs" dxfId="12004" priority="286" operator="lessThan">
      <formula>1</formula>
    </cfRule>
  </conditionalFormatting>
  <conditionalFormatting sqref="C9:D9">
    <cfRule type="cellIs" dxfId="12003" priority="756" operator="lessThan">
      <formula>0</formula>
    </cfRule>
    <cfRule type="cellIs" dxfId="12002" priority="757" operator="greaterThan">
      <formula>0</formula>
    </cfRule>
  </conditionalFormatting>
  <conditionalFormatting sqref="D14">
    <cfRule type="containsText" dxfId="12001" priority="768" operator="containsText" text="CANOPY TYPE">
      <formula>NOT(ISERROR(SEARCH("CANOPY TYPE",D14)))</formula>
    </cfRule>
  </conditionalFormatting>
  <conditionalFormatting sqref="D15">
    <cfRule type="expression" dxfId="12000" priority="500">
      <formula>(C15="LIGHT SELECTION")</formula>
    </cfRule>
  </conditionalFormatting>
  <conditionalFormatting sqref="D18">
    <cfRule type="expression" dxfId="11999" priority="720">
      <formula>($C18="SELECT WORKS")</formula>
    </cfRule>
  </conditionalFormatting>
  <conditionalFormatting sqref="D19">
    <cfRule type="expression" dxfId="11998" priority="285">
      <formula>$C19="SELECT CLADDING"</formula>
    </cfRule>
  </conditionalFormatting>
  <conditionalFormatting sqref="D22:D23">
    <cfRule type="expression" dxfId="11997" priority="483">
      <formula>($D$14="CANOPY TYPE")</formula>
    </cfRule>
  </conditionalFormatting>
  <conditionalFormatting sqref="D24">
    <cfRule type="expression" dxfId="11996" priority="781">
      <formula>ISNUMBER(SEARCH("UV",D14))</formula>
    </cfRule>
  </conditionalFormatting>
  <conditionalFormatting sqref="D25">
    <cfRule type="expression" dxfId="11995" priority="705">
      <formula>($D$14="CANOPY TYPE")</formula>
    </cfRule>
  </conditionalFormatting>
  <conditionalFormatting sqref="D26">
    <cfRule type="expression" dxfId="11994" priority="728">
      <formula>(ISNUMBER(SEARCH("CMW",D14)))=TRUE</formula>
    </cfRule>
  </conditionalFormatting>
  <conditionalFormatting sqref="D31">
    <cfRule type="containsText" dxfId="11993" priority="687" operator="containsText" text="CANOPY TYPE">
      <formula>NOT(ISERROR(SEARCH("CANOPY TYPE",D31)))</formula>
    </cfRule>
  </conditionalFormatting>
  <conditionalFormatting sqref="D32">
    <cfRule type="expression" dxfId="11992" priority="513">
      <formula>(C32="LIGHT SELECTION")</formula>
    </cfRule>
  </conditionalFormatting>
  <conditionalFormatting sqref="D35">
    <cfRule type="expression" dxfId="11991" priority="680">
      <formula>($C35="SELECT WORKS")</formula>
    </cfRule>
  </conditionalFormatting>
  <conditionalFormatting sqref="D36">
    <cfRule type="expression" dxfId="11990" priority="492">
      <formula>$C36="SELECT CLADDING"</formula>
    </cfRule>
  </conditionalFormatting>
  <conditionalFormatting sqref="D39:D40">
    <cfRule type="expression" dxfId="11989" priority="457">
      <formula>($D$14="CANOPY TYPE")</formula>
    </cfRule>
  </conditionalFormatting>
  <conditionalFormatting sqref="D41">
    <cfRule type="expression" dxfId="11988" priority="699">
      <formula>ISNUMBER(SEARCH("UV",D31))</formula>
    </cfRule>
  </conditionalFormatting>
  <conditionalFormatting sqref="D42">
    <cfRule type="expression" dxfId="11987" priority="673">
      <formula>($D$14="CANOPY TYPE")</formula>
    </cfRule>
  </conditionalFormatting>
  <conditionalFormatting sqref="D43">
    <cfRule type="expression" dxfId="11986" priority="682">
      <formula>(ISNUMBER(SEARCH("CMW",D31)))=TRUE</formula>
    </cfRule>
  </conditionalFormatting>
  <conditionalFormatting sqref="D48">
    <cfRule type="containsText" dxfId="11985" priority="495" operator="containsText" text="CANOPY TYPE">
      <formula>NOT(ISERROR(SEARCH("CANOPY TYPE",D48)))</formula>
    </cfRule>
  </conditionalFormatting>
  <conditionalFormatting sqref="D49">
    <cfRule type="expression" dxfId="11984" priority="510">
      <formula>(C15="LIGHT SELECTION")</formula>
    </cfRule>
  </conditionalFormatting>
  <conditionalFormatting sqref="D52">
    <cfRule type="expression" dxfId="11983" priority="649">
      <formula>($C52="SELECT WORKS")</formula>
    </cfRule>
  </conditionalFormatting>
  <conditionalFormatting sqref="D53">
    <cfRule type="expression" dxfId="11982" priority="493">
      <formula>$C53="SELECT CLADDING"</formula>
    </cfRule>
  </conditionalFormatting>
  <conditionalFormatting sqref="D56:D57">
    <cfRule type="expression" dxfId="11981" priority="431">
      <formula>($D$14="CANOPY TYPE")</formula>
    </cfRule>
  </conditionalFormatting>
  <conditionalFormatting sqref="D58">
    <cfRule type="expression" dxfId="11980" priority="667">
      <formula>ISNUMBER(SEARCH("UV",D48))</formula>
    </cfRule>
  </conditionalFormatting>
  <conditionalFormatting sqref="D59">
    <cfRule type="expression" dxfId="11979" priority="643">
      <formula>($D$14="CANOPY TYPE")</formula>
    </cfRule>
  </conditionalFormatting>
  <conditionalFormatting sqref="D60">
    <cfRule type="expression" dxfId="11978" priority="651">
      <formula>(ISNUMBER(SEARCH("CMW",D48)))=TRUE</formula>
    </cfRule>
  </conditionalFormatting>
  <conditionalFormatting sqref="D65">
    <cfRule type="containsText" dxfId="11977" priority="494" operator="containsText" text="CANOPY TYPE">
      <formula>NOT(ISERROR(SEARCH("CANOPY TYPE",D65)))</formula>
    </cfRule>
  </conditionalFormatting>
  <conditionalFormatting sqref="D66">
    <cfRule type="expression" dxfId="11976" priority="503">
      <formula>(C66="LIGHT SELECTION")</formula>
    </cfRule>
  </conditionalFormatting>
  <conditionalFormatting sqref="D69">
    <cfRule type="expression" dxfId="11975" priority="618">
      <formula>($C69="SELECT WORKS")</formula>
    </cfRule>
  </conditionalFormatting>
  <conditionalFormatting sqref="D70">
    <cfRule type="expression" dxfId="11974" priority="622">
      <formula>$C70="SELECT CLADDING"</formula>
    </cfRule>
  </conditionalFormatting>
  <conditionalFormatting sqref="D73:D74">
    <cfRule type="expression" dxfId="11973" priority="405">
      <formula>($D$14="CANOPY TYPE")</formula>
    </cfRule>
  </conditionalFormatting>
  <conditionalFormatting sqref="D75">
    <cfRule type="expression" dxfId="11972" priority="637">
      <formula>ISNUMBER(SEARCH("UV",D65))</formula>
    </cfRule>
  </conditionalFormatting>
  <conditionalFormatting sqref="D76">
    <cfRule type="expression" dxfId="11971" priority="612">
      <formula>($D$14="CANOPY TYPE")</formula>
    </cfRule>
  </conditionalFormatting>
  <conditionalFormatting sqref="D77">
    <cfRule type="expression" dxfId="11970" priority="620">
      <formula>(ISNUMBER(SEARCH("CMW",D65)))=TRUE</formula>
    </cfRule>
  </conditionalFormatting>
  <conditionalFormatting sqref="D82">
    <cfRule type="containsText" dxfId="11969" priority="594" operator="containsText" text="CANOPY TYPE">
      <formula>NOT(ISERROR(SEARCH("CANOPY TYPE",D82)))</formula>
    </cfRule>
  </conditionalFormatting>
  <conditionalFormatting sqref="D83">
    <cfRule type="expression" dxfId="11968" priority="502">
      <formula>(C83="LIGHT SELECTION")</formula>
    </cfRule>
  </conditionalFormatting>
  <conditionalFormatting sqref="D86">
    <cfRule type="expression" dxfId="11967" priority="586">
      <formula>($C86="SELECT WORKS")</formula>
    </cfRule>
  </conditionalFormatting>
  <conditionalFormatting sqref="D87">
    <cfRule type="expression" dxfId="11966" priority="590">
      <formula>$C87="SELECT CLADDING"</formula>
    </cfRule>
  </conditionalFormatting>
  <conditionalFormatting sqref="D90:D91">
    <cfRule type="expression" dxfId="11965" priority="379">
      <formula>($D$14="CANOPY TYPE")</formula>
    </cfRule>
  </conditionalFormatting>
  <conditionalFormatting sqref="D92">
    <cfRule type="expression" dxfId="11964" priority="606">
      <formula>ISNUMBER(SEARCH("UV",D82))</formula>
    </cfRule>
  </conditionalFormatting>
  <conditionalFormatting sqref="D93">
    <cfRule type="expression" dxfId="11963" priority="580">
      <formula>($D$14="CANOPY TYPE")</formula>
    </cfRule>
  </conditionalFormatting>
  <conditionalFormatting sqref="D94">
    <cfRule type="expression" dxfId="11962" priority="588">
      <formula>(ISNUMBER(SEARCH("CMW",D82)))=TRUE</formula>
    </cfRule>
  </conditionalFormatting>
  <conditionalFormatting sqref="D99">
    <cfRule type="containsText" dxfId="11961" priority="562" operator="containsText" text="CANOPY TYPE">
      <formula>NOT(ISERROR(SEARCH("CANOPY TYPE",D99)))</formula>
    </cfRule>
  </conditionalFormatting>
  <conditionalFormatting sqref="D100">
    <cfRule type="expression" dxfId="11960" priority="501">
      <formula>(C100="LIGHT SELECTION")</formula>
    </cfRule>
  </conditionalFormatting>
  <conditionalFormatting sqref="D103">
    <cfRule type="expression" dxfId="11959" priority="555">
      <formula>($C103="SELECT WORKS")</formula>
    </cfRule>
  </conditionalFormatting>
  <conditionalFormatting sqref="D104">
    <cfRule type="expression" dxfId="11958" priority="491">
      <formula>$C104="SELECT CLADDING"</formula>
    </cfRule>
  </conditionalFormatting>
  <conditionalFormatting sqref="D107:D108">
    <cfRule type="expression" dxfId="11957" priority="353">
      <formula>($D$14="CANOPY TYPE")</formula>
    </cfRule>
  </conditionalFormatting>
  <conditionalFormatting sqref="D109">
    <cfRule type="expression" dxfId="11956" priority="574">
      <formula>ISNUMBER(SEARCH("UV",D99))</formula>
    </cfRule>
  </conditionalFormatting>
  <conditionalFormatting sqref="D110">
    <cfRule type="expression" dxfId="11955" priority="549">
      <formula>($D$14="CANOPY TYPE")</formula>
    </cfRule>
  </conditionalFormatting>
  <conditionalFormatting sqref="D111">
    <cfRule type="expression" dxfId="11954" priority="557">
      <formula>(ISNUMBER(SEARCH("CMW",D99)))=TRUE</formula>
    </cfRule>
  </conditionalFormatting>
  <conditionalFormatting sqref="D116">
    <cfRule type="containsText" dxfId="11953" priority="333" operator="containsText" text="CANOPY TYPE">
      <formula>NOT(ISERROR(SEARCH("CANOPY TYPE",D116)))</formula>
    </cfRule>
  </conditionalFormatting>
  <conditionalFormatting sqref="D117">
    <cfRule type="expression" dxfId="11952" priority="314">
      <formula>(C117="LIGHT SELECTION")</formula>
    </cfRule>
  </conditionalFormatting>
  <conditionalFormatting sqref="D120">
    <cfRule type="expression" dxfId="11951" priority="326">
      <formula>($C120="SELECT WORKS")</formula>
    </cfRule>
  </conditionalFormatting>
  <conditionalFormatting sqref="D121">
    <cfRule type="expression" dxfId="11950" priority="313">
      <formula>$C121="SELECT CLADDING"</formula>
    </cfRule>
  </conditionalFormatting>
  <conditionalFormatting sqref="D124:D125">
    <cfRule type="expression" dxfId="11949" priority="287">
      <formula>($D$14="CANOPY TYPE")</formula>
    </cfRule>
  </conditionalFormatting>
  <conditionalFormatting sqref="D126">
    <cfRule type="expression" dxfId="11948" priority="345">
      <formula>ISNUMBER(SEARCH("UV",D116))</formula>
    </cfRule>
  </conditionalFormatting>
  <conditionalFormatting sqref="D127">
    <cfRule type="expression" dxfId="11947" priority="322">
      <formula>($D$14="CANOPY TYPE")</formula>
    </cfRule>
  </conditionalFormatting>
  <conditionalFormatting sqref="D128">
    <cfRule type="expression" dxfId="11946" priority="328">
      <formula>(ISNUMBER(SEARCH("CMW",D116)))=TRUE</formula>
    </cfRule>
  </conditionalFormatting>
  <conditionalFormatting sqref="D133">
    <cfRule type="containsText" dxfId="11945" priority="170" operator="containsText" text="CANOPY TYPE">
      <formula>NOT(ISERROR(SEARCH("CANOPY TYPE",D133)))</formula>
    </cfRule>
  </conditionalFormatting>
  <conditionalFormatting sqref="D134">
    <cfRule type="expression" dxfId="11944" priority="115">
      <formula>(C134="LIGHT SELECTION")</formula>
    </cfRule>
  </conditionalFormatting>
  <conditionalFormatting sqref="D137">
    <cfRule type="expression" dxfId="11943" priority="162">
      <formula>($C137="SELECT WORKS")</formula>
    </cfRule>
  </conditionalFormatting>
  <conditionalFormatting sqref="D138">
    <cfRule type="expression" dxfId="11942" priority="166">
      <formula>$C138="SELECT CLADDING"</formula>
    </cfRule>
  </conditionalFormatting>
  <conditionalFormatting sqref="D141:D142">
    <cfRule type="expression" dxfId="11941" priority="98">
      <formula>($D$14="CANOPY TYPE")</formula>
    </cfRule>
  </conditionalFormatting>
  <conditionalFormatting sqref="D143">
    <cfRule type="expression" dxfId="11940" priority="182">
      <formula>ISNUMBER(SEARCH("UV",D133))</formula>
    </cfRule>
  </conditionalFormatting>
  <conditionalFormatting sqref="D144">
    <cfRule type="expression" dxfId="11939" priority="157">
      <formula>($D$14="CANOPY TYPE")</formula>
    </cfRule>
  </conditionalFormatting>
  <conditionalFormatting sqref="D145">
    <cfRule type="expression" dxfId="11938" priority="164">
      <formula>(ISNUMBER(SEARCH("CMW",D133)))=TRUE</formula>
    </cfRule>
  </conditionalFormatting>
  <conditionalFormatting sqref="D150">
    <cfRule type="containsText" dxfId="11937" priority="139" operator="containsText" text="CANOPY TYPE">
      <formula>NOT(ISERROR(SEARCH("CANOPY TYPE",D150)))</formula>
    </cfRule>
  </conditionalFormatting>
  <conditionalFormatting sqref="D151">
    <cfRule type="expression" dxfId="11936" priority="114">
      <formula>(C151="LIGHT SELECTION")</formula>
    </cfRule>
  </conditionalFormatting>
  <conditionalFormatting sqref="D154">
    <cfRule type="expression" dxfId="11935" priority="132">
      <formula>($C154="SELECT WORKS")</formula>
    </cfRule>
  </conditionalFormatting>
  <conditionalFormatting sqref="D155">
    <cfRule type="expression" dxfId="11934" priority="113">
      <formula>$C155="SELECT CLADDING"</formula>
    </cfRule>
  </conditionalFormatting>
  <conditionalFormatting sqref="D158:D159">
    <cfRule type="expression" dxfId="11933" priority="83">
      <formula>($D$14="CANOPY TYPE")</formula>
    </cfRule>
  </conditionalFormatting>
  <conditionalFormatting sqref="D160">
    <cfRule type="expression" dxfId="11932" priority="151">
      <formula>ISNUMBER(SEARCH("UV",D150))</formula>
    </cfRule>
  </conditionalFormatting>
  <conditionalFormatting sqref="D161">
    <cfRule type="expression" dxfId="11931" priority="129">
      <formula>($D$14="CANOPY TYPE")</formula>
    </cfRule>
  </conditionalFormatting>
  <conditionalFormatting sqref="D162">
    <cfRule type="expression" dxfId="11930" priority="134">
      <formula>(ISNUMBER(SEARCH("CMW",D150)))=TRUE</formula>
    </cfRule>
  </conditionalFormatting>
  <conditionalFormatting sqref="D167">
    <cfRule type="containsText" dxfId="11929" priority="63" operator="containsText" text="CANOPY TYPE">
      <formula>NOT(ISERROR(SEARCH("CANOPY TYPE",D167)))</formula>
    </cfRule>
  </conditionalFormatting>
  <conditionalFormatting sqref="D168">
    <cfRule type="expression" dxfId="11928" priority="46">
      <formula>(C168="LIGHT SELECTION")</formula>
    </cfRule>
  </conditionalFormatting>
  <conditionalFormatting sqref="D171">
    <cfRule type="expression" dxfId="11927" priority="56">
      <formula>($C171="SELECT WORKS")</formula>
    </cfRule>
  </conditionalFormatting>
  <conditionalFormatting sqref="D172">
    <cfRule type="expression" dxfId="11926" priority="45">
      <formula>$C172="SELECT CLADDING"</formula>
    </cfRule>
  </conditionalFormatting>
  <conditionalFormatting sqref="D175:D176">
    <cfRule type="expression" dxfId="11925" priority="30">
      <formula>($D$14="CANOPY TYPE")</formula>
    </cfRule>
  </conditionalFormatting>
  <conditionalFormatting sqref="D177">
    <cfRule type="expression" dxfId="11924" priority="75">
      <formula>ISNUMBER(SEARCH("UV",D167))</formula>
    </cfRule>
  </conditionalFormatting>
  <conditionalFormatting sqref="D178">
    <cfRule type="expression" dxfId="11923" priority="53">
      <formula>($D$14="CANOPY TYPE")</formula>
    </cfRule>
  </conditionalFormatting>
  <conditionalFormatting sqref="D179">
    <cfRule type="expression" dxfId="11922" priority="58">
      <formula>(ISNUMBER(SEARCH("CMW",D167)))=TRUE</formula>
    </cfRule>
  </conditionalFormatting>
  <conditionalFormatting sqref="E12">
    <cfRule type="expression" dxfId="11921" priority="778">
      <formula>AND((ISNUMBER(SEARCH("I-MUAP",$D$14))),E12&lt;2500)</formula>
    </cfRule>
    <cfRule type="expression" dxfId="11920" priority="779">
      <formula>ISNUMBER(SEARCH("I-MUAP",$D$14))</formula>
    </cfRule>
    <cfRule type="cellIs" dxfId="11919" priority="780" operator="greaterThan">
      <formula>2000</formula>
    </cfRule>
  </conditionalFormatting>
  <conditionalFormatting sqref="E15">
    <cfRule type="expression" dxfId="11918" priority="498">
      <formula>(C15="LIGHT SELECTION")</formula>
    </cfRule>
  </conditionalFormatting>
  <conditionalFormatting sqref="E17:E18">
    <cfRule type="expression" dxfId="11917" priority="719">
      <formula>$C17="SELECT WORKS"</formula>
    </cfRule>
  </conditionalFormatting>
  <conditionalFormatting sqref="E22:E23">
    <cfRule type="expression" dxfId="11916" priority="760">
      <formula>D22="WW PODS"</formula>
    </cfRule>
    <cfRule type="expression" dxfId="11915" priority="761">
      <formula>D22="FILTER TYPE"</formula>
    </cfRule>
    <cfRule type="expression" dxfId="11914" priority="762">
      <formula>D22="KSA"</formula>
    </cfRule>
    <cfRule type="expression" dxfId="11913" priority="783">
      <formula>(D14="CANOPY TYPE")</formula>
    </cfRule>
  </conditionalFormatting>
  <conditionalFormatting sqref="E24">
    <cfRule type="containsText" dxfId="11912" priority="770" operator="containsText" text="LONG ">
      <formula>NOT(ISERROR(SEARCH("LONG ",E24)))</formula>
    </cfRule>
  </conditionalFormatting>
  <conditionalFormatting sqref="E29">
    <cfRule type="expression" dxfId="11911" priority="696">
      <formula>AND((ISNUMBER(SEARCH("I-MUAP",$D$14))),E29&lt;2500)</formula>
    </cfRule>
    <cfRule type="expression" dxfId="11910" priority="697">
      <formula>ISNUMBER(SEARCH("I-MUAP",$D$14))</formula>
    </cfRule>
    <cfRule type="cellIs" dxfId="11909" priority="698" operator="greaterThan">
      <formula>2000</formula>
    </cfRule>
  </conditionalFormatting>
  <conditionalFormatting sqref="E34">
    <cfRule type="expression" dxfId="11908" priority="276">
      <formula>$C34="SELECT WORKS"</formula>
    </cfRule>
  </conditionalFormatting>
  <conditionalFormatting sqref="E39:E40">
    <cfRule type="expression" dxfId="11907" priority="470">
      <formula>D39="WW PODS"</formula>
    </cfRule>
    <cfRule type="expression" dxfId="11906" priority="471">
      <formula>D39="FILTER TYPE"</formula>
    </cfRule>
    <cfRule type="expression" dxfId="11905" priority="472">
      <formula>D39="KSA"</formula>
    </cfRule>
    <cfRule type="expression" dxfId="11904" priority="473">
      <formula>(D31="CANOPY TYPE")</formula>
    </cfRule>
  </conditionalFormatting>
  <conditionalFormatting sqref="E41">
    <cfRule type="containsText" dxfId="11903" priority="689" operator="containsText" text="LONG ">
      <formula>NOT(ISERROR(SEARCH("LONG ",E41)))</formula>
    </cfRule>
  </conditionalFormatting>
  <conditionalFormatting sqref="E46">
    <cfRule type="expression" dxfId="11902" priority="664">
      <formula>AND((ISNUMBER(SEARCH("I-MUAP",$D$14))),E46&lt;2500)</formula>
    </cfRule>
    <cfRule type="expression" dxfId="11901" priority="665">
      <formula>ISNUMBER(SEARCH("I-MUAP",$D$14))</formula>
    </cfRule>
    <cfRule type="cellIs" dxfId="11900" priority="666" operator="greaterThan">
      <formula>2000</formula>
    </cfRule>
  </conditionalFormatting>
  <conditionalFormatting sqref="E49">
    <cfRule type="expression" dxfId="11899" priority="512">
      <formula>(C49="LIGHT SELECTION")</formula>
    </cfRule>
  </conditionalFormatting>
  <conditionalFormatting sqref="E51:E52">
    <cfRule type="expression" dxfId="11898" priority="263">
      <formula>$C51="SELECT WORKS"</formula>
    </cfRule>
  </conditionalFormatting>
  <conditionalFormatting sqref="E56:E57">
    <cfRule type="expression" dxfId="11897" priority="444">
      <formula>D56="WW PODS"</formula>
    </cfRule>
    <cfRule type="expression" dxfId="11896" priority="445">
      <formula>D56="FILTER TYPE"</formula>
    </cfRule>
    <cfRule type="expression" dxfId="11895" priority="446">
      <formula>D56="KSA"</formula>
    </cfRule>
    <cfRule type="expression" dxfId="11894" priority="447">
      <formula>(D48="CANOPY TYPE")</formula>
    </cfRule>
  </conditionalFormatting>
  <conditionalFormatting sqref="E58">
    <cfRule type="containsText" dxfId="11893" priority="657" operator="containsText" text="LONG ">
      <formula>NOT(ISERROR(SEARCH("LONG ",E58)))</formula>
    </cfRule>
  </conditionalFormatting>
  <conditionalFormatting sqref="E63">
    <cfRule type="expression" dxfId="11892" priority="634">
      <formula>AND((ISNUMBER(SEARCH("I-MUAP",$D$14))),E63&lt;2500)</formula>
    </cfRule>
    <cfRule type="expression" dxfId="11891" priority="635">
      <formula>ISNUMBER(SEARCH("I-MUAP",$D$14))</formula>
    </cfRule>
    <cfRule type="cellIs" dxfId="11890" priority="636" operator="greaterThan">
      <formula>2000</formula>
    </cfRule>
  </conditionalFormatting>
  <conditionalFormatting sqref="E68:E69">
    <cfRule type="expression" dxfId="11889" priority="250">
      <formula>$C68="SELECT WORKS"</formula>
    </cfRule>
  </conditionalFormatting>
  <conditionalFormatting sqref="E73:E74">
    <cfRule type="expression" dxfId="11888" priority="418">
      <formula>D73="WW PODS"</formula>
    </cfRule>
    <cfRule type="expression" dxfId="11887" priority="419">
      <formula>D73="FILTER TYPE"</formula>
    </cfRule>
    <cfRule type="expression" dxfId="11886" priority="420">
      <formula>D73="KSA"</formula>
    </cfRule>
    <cfRule type="expression" dxfId="11885" priority="421">
      <formula>(D65="CANOPY TYPE")</formula>
    </cfRule>
  </conditionalFormatting>
  <conditionalFormatting sqref="E75">
    <cfRule type="containsText" dxfId="11884" priority="627" operator="containsText" text="LONG ">
      <formula>NOT(ISERROR(SEARCH("LONG ",E75)))</formula>
    </cfRule>
  </conditionalFormatting>
  <conditionalFormatting sqref="E80">
    <cfRule type="expression" dxfId="11883" priority="603">
      <formula>AND((ISNUMBER(SEARCH("I-MUAP",$D$14))),E80&lt;2500)</formula>
    </cfRule>
    <cfRule type="expression" dxfId="11882" priority="604">
      <formula>ISNUMBER(SEARCH("I-MUAP",$D$14))</formula>
    </cfRule>
    <cfRule type="cellIs" dxfId="11881" priority="605" operator="greaterThan">
      <formula>2000</formula>
    </cfRule>
  </conditionalFormatting>
  <conditionalFormatting sqref="E85:E86">
    <cfRule type="expression" dxfId="11880" priority="237">
      <formula>$C85="SELECT WORKS"</formula>
    </cfRule>
  </conditionalFormatting>
  <conditionalFormatting sqref="E90:E91">
    <cfRule type="expression" dxfId="11879" priority="392">
      <formula>D90="WW PODS"</formula>
    </cfRule>
    <cfRule type="expression" dxfId="11878" priority="393">
      <formula>D90="FILTER TYPE"</formula>
    </cfRule>
    <cfRule type="expression" dxfId="11877" priority="394">
      <formula>D90="KSA"</formula>
    </cfRule>
    <cfRule type="expression" dxfId="11876" priority="395">
      <formula>(D82="CANOPY TYPE")</formula>
    </cfRule>
  </conditionalFormatting>
  <conditionalFormatting sqref="E92">
    <cfRule type="containsText" dxfId="11875" priority="596" operator="containsText" text="LONG ">
      <formula>NOT(ISERROR(SEARCH("LONG ",E92)))</formula>
    </cfRule>
  </conditionalFormatting>
  <conditionalFormatting sqref="E97">
    <cfRule type="expression" dxfId="11874" priority="571">
      <formula>AND((ISNUMBER(SEARCH("I-MUAP",$D$14))),E97&lt;2500)</formula>
    </cfRule>
    <cfRule type="expression" dxfId="11873" priority="572">
      <formula>ISNUMBER(SEARCH("I-MUAP",$D$14))</formula>
    </cfRule>
    <cfRule type="cellIs" dxfId="11872" priority="573" operator="greaterThan">
      <formula>2000</formula>
    </cfRule>
  </conditionalFormatting>
  <conditionalFormatting sqref="E102:E103">
    <cfRule type="expression" dxfId="11871" priority="224">
      <formula>$C102="SELECT WORKS"</formula>
    </cfRule>
  </conditionalFormatting>
  <conditionalFormatting sqref="E107:E108">
    <cfRule type="expression" dxfId="11870" priority="366">
      <formula>D107="WW PODS"</formula>
    </cfRule>
    <cfRule type="expression" dxfId="11869" priority="367">
      <formula>D107="FILTER TYPE"</formula>
    </cfRule>
    <cfRule type="expression" dxfId="11868" priority="368">
      <formula>D107="KSA"</formula>
    </cfRule>
    <cfRule type="expression" dxfId="11867" priority="369">
      <formula>(D99="CANOPY TYPE")</formula>
    </cfRule>
  </conditionalFormatting>
  <conditionalFormatting sqref="E109">
    <cfRule type="containsText" dxfId="11866" priority="564" operator="containsText" text="LONG ">
      <formula>NOT(ISERROR(SEARCH("LONG ",E109)))</formula>
    </cfRule>
  </conditionalFormatting>
  <conditionalFormatting sqref="E114">
    <cfRule type="expression" dxfId="11865" priority="342">
      <formula>AND((ISNUMBER(SEARCH("I-MUAP",$D$14))),E114&lt;2500)</formula>
    </cfRule>
    <cfRule type="expression" dxfId="11864" priority="343">
      <formula>ISNUMBER(SEARCH("I-MUAP",$D$14))</formula>
    </cfRule>
    <cfRule type="cellIs" dxfId="11863" priority="344" operator="greaterThan">
      <formula>2000</formula>
    </cfRule>
  </conditionalFormatting>
  <conditionalFormatting sqref="E119:E120">
    <cfRule type="expression" dxfId="11862" priority="211">
      <formula>$C119="SELECT WORKS"</formula>
    </cfRule>
  </conditionalFormatting>
  <conditionalFormatting sqref="E124:E125">
    <cfRule type="expression" dxfId="11861" priority="300">
      <formula>D124="WW PODS"</formula>
    </cfRule>
    <cfRule type="expression" dxfId="11860" priority="301">
      <formula>D124="FILTER TYPE"</formula>
    </cfRule>
    <cfRule type="expression" dxfId="11859" priority="302">
      <formula>D124="KSA"</formula>
    </cfRule>
    <cfRule type="expression" dxfId="11858" priority="303">
      <formula>(D116="CANOPY TYPE")</formula>
    </cfRule>
  </conditionalFormatting>
  <conditionalFormatting sqref="E126">
    <cfRule type="containsText" dxfId="11857" priority="335" operator="containsText" text="LONG ">
      <formula>NOT(ISERROR(SEARCH("LONG ",E126)))</formula>
    </cfRule>
  </conditionalFormatting>
  <conditionalFormatting sqref="E131">
    <cfRule type="expression" dxfId="11856" priority="179">
      <formula>AND((ISNUMBER(SEARCH("I-MUAP",$D$14))),E131&lt;2500)</formula>
    </cfRule>
    <cfRule type="expression" dxfId="11855" priority="180">
      <formula>ISNUMBER(SEARCH("I-MUAP",$D$14))</formula>
    </cfRule>
    <cfRule type="cellIs" dxfId="11854" priority="181" operator="greaterThan">
      <formula>2000</formula>
    </cfRule>
  </conditionalFormatting>
  <conditionalFormatting sqref="E136:E137">
    <cfRule type="expression" dxfId="11853" priority="22">
      <formula>$C136="SELECT WORKS"</formula>
    </cfRule>
  </conditionalFormatting>
  <conditionalFormatting sqref="E141:E142">
    <cfRule type="expression" dxfId="11852" priority="100">
      <formula>D141="WW PODS"</formula>
    </cfRule>
    <cfRule type="expression" dxfId="11851" priority="101">
      <formula>D141="FILTER TYPE"</formula>
    </cfRule>
    <cfRule type="expression" dxfId="11850" priority="102">
      <formula>D141="KSA"</formula>
    </cfRule>
    <cfRule type="expression" dxfId="11849" priority="103">
      <formula>(D133="CANOPY TYPE")</formula>
    </cfRule>
  </conditionalFormatting>
  <conditionalFormatting sqref="E143">
    <cfRule type="containsText" dxfId="11848" priority="172" operator="containsText" text="LONG ">
      <formula>NOT(ISERROR(SEARCH("LONG ",E143)))</formula>
    </cfRule>
  </conditionalFormatting>
  <conditionalFormatting sqref="E148">
    <cfRule type="expression" dxfId="11847" priority="148">
      <formula>AND((ISNUMBER(SEARCH("I-MUAP",$D$14))),E148&lt;2500)</formula>
    </cfRule>
    <cfRule type="expression" dxfId="11846" priority="149">
      <formula>ISNUMBER(SEARCH("I-MUAP",$D$14))</formula>
    </cfRule>
    <cfRule type="cellIs" dxfId="11845" priority="150" operator="greaterThan">
      <formula>2000</formula>
    </cfRule>
  </conditionalFormatting>
  <conditionalFormatting sqref="E153:E154">
    <cfRule type="expression" dxfId="11844" priority="11">
      <formula>$C153="SELECT WORKS"</formula>
    </cfRule>
  </conditionalFormatting>
  <conditionalFormatting sqref="E158:E159">
    <cfRule type="expression" dxfId="11843" priority="85">
      <formula>D158="WW PODS"</formula>
    </cfRule>
    <cfRule type="expression" dxfId="11842" priority="86">
      <formula>D158="FILTER TYPE"</formula>
    </cfRule>
    <cfRule type="expression" dxfId="11841" priority="87">
      <formula>D158="KSA"</formula>
    </cfRule>
    <cfRule type="expression" dxfId="11840" priority="88">
      <formula>(D150="CANOPY TYPE")</formula>
    </cfRule>
  </conditionalFormatting>
  <conditionalFormatting sqref="E160">
    <cfRule type="containsText" dxfId="11839" priority="141" operator="containsText" text="LONG ">
      <formula>NOT(ISERROR(SEARCH("LONG ",E160)))</formula>
    </cfRule>
  </conditionalFormatting>
  <conditionalFormatting sqref="E165">
    <cfRule type="expression" dxfId="11838" priority="72">
      <formula>AND((ISNUMBER(SEARCH("I-MUAP",$D$14))),E165&lt;2500)</formula>
    </cfRule>
    <cfRule type="expression" dxfId="11837" priority="73">
      <formula>ISNUMBER(SEARCH("I-MUAP",$D$14))</formula>
    </cfRule>
    <cfRule type="cellIs" dxfId="11836" priority="74" operator="greaterThan">
      <formula>2000</formula>
    </cfRule>
  </conditionalFormatting>
  <conditionalFormatting sqref="E170:E171">
    <cfRule type="expression" dxfId="11835" priority="6">
      <formula>$C170="SELECT WORKS"</formula>
    </cfRule>
  </conditionalFormatting>
  <conditionalFormatting sqref="E175:E176">
    <cfRule type="expression" dxfId="11834" priority="32">
      <formula>D175="WW PODS"</formula>
    </cfRule>
    <cfRule type="expression" dxfId="11833" priority="33">
      <formula>D175="FILTER TYPE"</formula>
    </cfRule>
    <cfRule type="expression" dxfId="11832" priority="34">
      <formula>D175="KSA"</formula>
    </cfRule>
    <cfRule type="expression" dxfId="11831" priority="35">
      <formula>(D167="CANOPY TYPE")</formula>
    </cfRule>
  </conditionalFormatting>
  <conditionalFormatting sqref="E177">
    <cfRule type="containsText" dxfId="11830" priority="65" operator="containsText" text="LONG ">
      <formula>NOT(ISERROR(SEARCH("LONG ",E177)))</formula>
    </cfRule>
  </conditionalFormatting>
  <conditionalFormatting sqref="E12:F12">
    <cfRule type="cellIs" dxfId="11829" priority="774" operator="lessThan">
      <formula>1000</formula>
    </cfRule>
  </conditionalFormatting>
  <conditionalFormatting sqref="E14:F14">
    <cfRule type="cellIs" dxfId="11828" priority="771" operator="lessThan">
      <formula>1000</formula>
    </cfRule>
  </conditionalFormatting>
  <conditionalFormatting sqref="E25:F27">
    <cfRule type="expression" dxfId="11827" priority="706">
      <formula>($D$14="CANOPY TYPE")</formula>
    </cfRule>
  </conditionalFormatting>
  <conditionalFormatting sqref="E29:F29">
    <cfRule type="cellIs" dxfId="11826" priority="693" operator="lessThan">
      <formula>1000</formula>
    </cfRule>
  </conditionalFormatting>
  <conditionalFormatting sqref="E31:F31">
    <cfRule type="cellIs" dxfId="11825" priority="690" operator="lessThan">
      <formula>1000</formula>
    </cfRule>
  </conditionalFormatting>
  <conditionalFormatting sqref="E32:F32">
    <cfRule type="expression" dxfId="11824" priority="536">
      <formula>(C32="LIGHT SELECTION")</formula>
    </cfRule>
  </conditionalFormatting>
  <conditionalFormatting sqref="E42:F44">
    <cfRule type="expression" dxfId="11823" priority="674">
      <formula>($D$14="CANOPY TYPE")</formula>
    </cfRule>
  </conditionalFormatting>
  <conditionalFormatting sqref="E46:F46">
    <cfRule type="cellIs" dxfId="11822" priority="661" operator="lessThan">
      <formula>1000</formula>
    </cfRule>
  </conditionalFormatting>
  <conditionalFormatting sqref="E48:F48">
    <cfRule type="cellIs" dxfId="11821" priority="658" operator="lessThan">
      <formula>1000</formula>
    </cfRule>
  </conditionalFormatting>
  <conditionalFormatting sqref="E59:F61">
    <cfRule type="expression" dxfId="11820" priority="644">
      <formula>($D$14="CANOPY TYPE")</formula>
    </cfRule>
  </conditionalFormatting>
  <conditionalFormatting sqref="E63:F63">
    <cfRule type="cellIs" dxfId="11819" priority="631" operator="lessThan">
      <formula>1000</formula>
    </cfRule>
  </conditionalFormatting>
  <conditionalFormatting sqref="E65:F65">
    <cfRule type="cellIs" dxfId="11818" priority="628" operator="lessThan">
      <formula>1000</formula>
    </cfRule>
  </conditionalFormatting>
  <conditionalFormatting sqref="E66:F66">
    <cfRule type="expression" dxfId="11817" priority="529">
      <formula>(C66="LIGHT SELECTION")</formula>
    </cfRule>
  </conditionalFormatting>
  <conditionalFormatting sqref="E76:F78">
    <cfRule type="expression" dxfId="11816" priority="613">
      <formula>($D$14="CANOPY TYPE")</formula>
    </cfRule>
  </conditionalFormatting>
  <conditionalFormatting sqref="E80:F80">
    <cfRule type="cellIs" dxfId="11815" priority="600" operator="lessThan">
      <formula>1000</formula>
    </cfRule>
  </conditionalFormatting>
  <conditionalFormatting sqref="E82:F82">
    <cfRule type="cellIs" dxfId="11814" priority="597" operator="lessThan">
      <formula>1000</formula>
    </cfRule>
  </conditionalFormatting>
  <conditionalFormatting sqref="E83:F83">
    <cfRule type="expression" dxfId="11813" priority="525">
      <formula>(C83="LIGHT SELECTION")</formula>
    </cfRule>
  </conditionalFormatting>
  <conditionalFormatting sqref="E93:F95">
    <cfRule type="expression" dxfId="11812" priority="581">
      <formula>($D$14="CANOPY TYPE")</formula>
    </cfRule>
  </conditionalFormatting>
  <conditionalFormatting sqref="E97:F97">
    <cfRule type="cellIs" dxfId="11811" priority="568" operator="lessThan">
      <formula>1000</formula>
    </cfRule>
  </conditionalFormatting>
  <conditionalFormatting sqref="E99:F99">
    <cfRule type="cellIs" dxfId="11810" priority="565" operator="lessThan">
      <formula>1000</formula>
    </cfRule>
  </conditionalFormatting>
  <conditionalFormatting sqref="E100:F100">
    <cfRule type="expression" dxfId="11809" priority="521">
      <formula>(C100="LIGHT SELECTION")</formula>
    </cfRule>
  </conditionalFormatting>
  <conditionalFormatting sqref="E110:F112 E127:F129 E161:F163 E178:F180">
    <cfRule type="expression" dxfId="11808" priority="550">
      <formula>($D$14="CANOPY TYPE")</formula>
    </cfRule>
  </conditionalFormatting>
  <conditionalFormatting sqref="E114:F114">
    <cfRule type="cellIs" dxfId="11807" priority="339" operator="lessThan">
      <formula>1000</formula>
    </cfRule>
  </conditionalFormatting>
  <conditionalFormatting sqref="E116:F116">
    <cfRule type="cellIs" dxfId="11806" priority="336" operator="lessThan">
      <formula>1000</formula>
    </cfRule>
  </conditionalFormatting>
  <conditionalFormatting sqref="E117:F117">
    <cfRule type="expression" dxfId="11805" priority="318">
      <formula>(C117="LIGHT SELECTION")</formula>
    </cfRule>
  </conditionalFormatting>
  <conditionalFormatting sqref="E131:F131">
    <cfRule type="cellIs" dxfId="11804" priority="176" operator="lessThan">
      <formula>1000</formula>
    </cfRule>
  </conditionalFormatting>
  <conditionalFormatting sqref="E133:F133">
    <cfRule type="cellIs" dxfId="11803" priority="173" operator="lessThan">
      <formula>1000</formula>
    </cfRule>
  </conditionalFormatting>
  <conditionalFormatting sqref="E134:F134">
    <cfRule type="expression" dxfId="11802" priority="125">
      <formula>(C134="LIGHT SELECTION")</formula>
    </cfRule>
  </conditionalFormatting>
  <conditionalFormatting sqref="E144:F146">
    <cfRule type="expression" dxfId="11801" priority="158">
      <formula>($D$14="CANOPY TYPE")</formula>
    </cfRule>
  </conditionalFormatting>
  <conditionalFormatting sqref="E148:F148">
    <cfRule type="cellIs" dxfId="11800" priority="145" operator="lessThan">
      <formula>1000</formula>
    </cfRule>
  </conditionalFormatting>
  <conditionalFormatting sqref="E150:F150">
    <cfRule type="cellIs" dxfId="11799" priority="142" operator="lessThan">
      <formula>1000</formula>
    </cfRule>
  </conditionalFormatting>
  <conditionalFormatting sqref="E151:F151">
    <cfRule type="expression" dxfId="11798" priority="121">
      <formula>(C151="LIGHT SELECTION")</formula>
    </cfRule>
  </conditionalFormatting>
  <conditionalFormatting sqref="E165:F165">
    <cfRule type="cellIs" dxfId="11797" priority="69" operator="lessThan">
      <formula>1000</formula>
    </cfRule>
  </conditionalFormatting>
  <conditionalFormatting sqref="E167:F167">
    <cfRule type="cellIs" dxfId="11796" priority="66" operator="lessThan">
      <formula>1000</formula>
    </cfRule>
  </conditionalFormatting>
  <conditionalFormatting sqref="E168:F168">
    <cfRule type="expression" dxfId="11795" priority="50">
      <formula>(C168="LIGHT SELECTION")</formula>
    </cfRule>
  </conditionalFormatting>
  <conditionalFormatting sqref="F12">
    <cfRule type="cellIs" dxfId="11794" priority="775" operator="greaterThan">
      <formula>3001</formula>
    </cfRule>
  </conditionalFormatting>
  <conditionalFormatting sqref="F15">
    <cfRule type="expression" dxfId="11793" priority="538">
      <formula>(C15="LED STRIP")</formula>
    </cfRule>
    <cfRule type="expression" dxfId="11792" priority="763">
      <formula>(C15="LIGHT SELECTION")</formula>
    </cfRule>
    <cfRule type="expression" dxfId="11791" priority="765">
      <formula>(C15="FLO")</formula>
    </cfRule>
    <cfRule type="expression" dxfId="11790" priority="797">
      <formula>(D49="LIGHT SELECTION")</formula>
    </cfRule>
  </conditionalFormatting>
  <conditionalFormatting sqref="F22:F23">
    <cfRule type="expression" dxfId="11789" priority="788">
      <formula>D22="NF"</formula>
    </cfRule>
    <cfRule type="expression" dxfId="11788" priority="789">
      <formula>D22="WW PODS"</formula>
    </cfRule>
    <cfRule type="expression" dxfId="11787" priority="790">
      <formula>D22="GRILLE"</formula>
    </cfRule>
    <cfRule type="expression" dxfId="11786" priority="791">
      <formula>D22="CENTREX"</formula>
    </cfRule>
    <cfRule type="expression" dxfId="11785" priority="792" stopIfTrue="1">
      <formula>D14="canopy type"</formula>
    </cfRule>
    <cfRule type="expression" dxfId="11784" priority="793">
      <formula>(((I14*3600)/(C22*I11))^2+20)&gt;300</formula>
    </cfRule>
    <cfRule type="expression" dxfId="11783" priority="794" stopIfTrue="1">
      <formula>(ISNUMBER(SEARCH("UV",D14)))</formula>
    </cfRule>
    <cfRule type="expression" dxfId="11782" priority="795">
      <formula>(((I14*3600)/(C22*I11))^2+20)&gt;180</formula>
    </cfRule>
    <cfRule type="expression" dxfId="11781" priority="796">
      <formula>D22="KSA"</formula>
    </cfRule>
  </conditionalFormatting>
  <conditionalFormatting sqref="F24">
    <cfRule type="cellIs" dxfId="11780" priority="769" operator="lessThan">
      <formula>2100</formula>
    </cfRule>
  </conditionalFormatting>
  <conditionalFormatting sqref="F29">
    <cfRule type="cellIs" dxfId="11779" priority="694" operator="greaterThan">
      <formula>3001</formula>
    </cfRule>
  </conditionalFormatting>
  <conditionalFormatting sqref="F32">
    <cfRule type="expression" dxfId="11778" priority="534">
      <formula>(C32="LED STRIP")</formula>
    </cfRule>
    <cfRule type="expression" dxfId="11777" priority="535">
      <formula>(C32="LIGHT SELECTION")</formula>
    </cfRule>
    <cfRule type="expression" dxfId="11776" priority="537">
      <formula>(C32="FLO")</formula>
    </cfRule>
  </conditionalFormatting>
  <conditionalFormatting sqref="F39:F40">
    <cfRule type="expression" dxfId="11775" priority="474">
      <formula>D39="NF"</formula>
    </cfRule>
    <cfRule type="expression" dxfId="11774" priority="475">
      <formula>D39="WW PODS"</formula>
    </cfRule>
    <cfRule type="expression" dxfId="11773" priority="476">
      <formula>D39="GRILLE"</formula>
    </cfRule>
    <cfRule type="expression" dxfId="11772" priority="477">
      <formula>D39="CENTREX"</formula>
    </cfRule>
    <cfRule type="expression" dxfId="11771" priority="478" stopIfTrue="1">
      <formula>D31="canopy type"</formula>
    </cfRule>
    <cfRule type="expression" dxfId="11770" priority="479">
      <formula>(((I31*3600)/(C39*I28))^2+20)&gt;300</formula>
    </cfRule>
    <cfRule type="expression" dxfId="11769" priority="480" stopIfTrue="1">
      <formula>(ISNUMBER(SEARCH("UV",D31)))</formula>
    </cfRule>
    <cfRule type="expression" dxfId="11768" priority="481">
      <formula>(((I31*3600)/(C39*I28))^2+20)&gt;180</formula>
    </cfRule>
    <cfRule type="expression" dxfId="11767" priority="482">
      <formula>D39="KSA"</formula>
    </cfRule>
  </conditionalFormatting>
  <conditionalFormatting sqref="F41">
    <cfRule type="cellIs" dxfId="11766" priority="688" operator="lessThan">
      <formula>2100</formula>
    </cfRule>
  </conditionalFormatting>
  <conditionalFormatting sqref="F46">
    <cfRule type="cellIs" dxfId="11765" priority="662" operator="greaterThan">
      <formula>3001</formula>
    </cfRule>
  </conditionalFormatting>
  <conditionalFormatting sqref="F49">
    <cfRule type="expression" dxfId="11764" priority="531">
      <formula>(C49="LED STRIP")</formula>
    </cfRule>
    <cfRule type="expression" dxfId="11763" priority="532">
      <formula>(C49="LIGHT SELECTION")</formula>
    </cfRule>
    <cfRule type="expression" dxfId="11762" priority="533">
      <formula>(C49="FLO")</formula>
    </cfRule>
    <cfRule type="expression" dxfId="11761" priority="798">
      <formula>(#REF!="LIGHT SELECTION")</formula>
    </cfRule>
  </conditionalFormatting>
  <conditionalFormatting sqref="F56:F57">
    <cfRule type="expression" dxfId="11760" priority="448">
      <formula>D56="NF"</formula>
    </cfRule>
    <cfRule type="expression" dxfId="11759" priority="449">
      <formula>D56="WW PODS"</formula>
    </cfRule>
    <cfRule type="expression" dxfId="11758" priority="450">
      <formula>D56="GRILLE"</formula>
    </cfRule>
    <cfRule type="expression" dxfId="11757" priority="451">
      <formula>D56="CENTREX"</formula>
    </cfRule>
    <cfRule type="expression" dxfId="11756" priority="452" stopIfTrue="1">
      <formula>D48="canopy type"</formula>
    </cfRule>
    <cfRule type="expression" dxfId="11755" priority="453">
      <formula>(((I48*3600)/(C56*I45))^2+20)&gt;300</formula>
    </cfRule>
    <cfRule type="expression" dxfId="11754" priority="454" stopIfTrue="1">
      <formula>(ISNUMBER(SEARCH("UV",D48)))</formula>
    </cfRule>
    <cfRule type="expression" dxfId="11753" priority="455">
      <formula>(((I48*3600)/(C56*I45))^2+20)&gt;180</formula>
    </cfRule>
    <cfRule type="expression" dxfId="11752" priority="456">
      <formula>D56="KSA"</formula>
    </cfRule>
  </conditionalFormatting>
  <conditionalFormatting sqref="F58">
    <cfRule type="cellIs" dxfId="11751" priority="656" operator="lessThan">
      <formula>2100</formula>
    </cfRule>
  </conditionalFormatting>
  <conditionalFormatting sqref="F63">
    <cfRule type="cellIs" dxfId="11750" priority="632" operator="greaterThan">
      <formula>3001</formula>
    </cfRule>
  </conditionalFormatting>
  <conditionalFormatting sqref="F66">
    <cfRule type="expression" dxfId="11749" priority="527">
      <formula>(C66="LED STRIP")</formula>
    </cfRule>
    <cfRule type="expression" dxfId="11748" priority="528">
      <formula>(C66="LIGHT SELECTION")</formula>
    </cfRule>
    <cfRule type="expression" dxfId="11747" priority="530">
      <formula>(C66="FLO")</formula>
    </cfRule>
  </conditionalFormatting>
  <conditionalFormatting sqref="F73:F74">
    <cfRule type="expression" dxfId="11746" priority="422">
      <formula>D73="NF"</formula>
    </cfRule>
    <cfRule type="expression" dxfId="11745" priority="423">
      <formula>D73="WW PODS"</formula>
    </cfRule>
    <cfRule type="expression" dxfId="11744" priority="424">
      <formula>D73="GRILLE"</formula>
    </cfRule>
    <cfRule type="expression" dxfId="11743" priority="425">
      <formula>D73="CENTREX"</formula>
    </cfRule>
    <cfRule type="expression" dxfId="11742" priority="426" stopIfTrue="1">
      <formula>D65="canopy type"</formula>
    </cfRule>
    <cfRule type="expression" dxfId="11741" priority="427">
      <formula>(((I65*3600)/(C73*I62))^2+20)&gt;300</formula>
    </cfRule>
    <cfRule type="expression" dxfId="11740" priority="428" stopIfTrue="1">
      <formula>(ISNUMBER(SEARCH("UV",D65)))</formula>
    </cfRule>
    <cfRule type="expression" dxfId="11739" priority="429">
      <formula>(((I65*3600)/(C73*I62))^2+20)&gt;180</formula>
    </cfRule>
    <cfRule type="expression" dxfId="11738" priority="430">
      <formula>D73="KSA"</formula>
    </cfRule>
  </conditionalFormatting>
  <conditionalFormatting sqref="F75">
    <cfRule type="cellIs" dxfId="11737" priority="626" operator="lessThan">
      <formula>2100</formula>
    </cfRule>
  </conditionalFormatting>
  <conditionalFormatting sqref="F80">
    <cfRule type="cellIs" dxfId="11736" priority="601" operator="greaterThan">
      <formula>3001</formula>
    </cfRule>
  </conditionalFormatting>
  <conditionalFormatting sqref="F83">
    <cfRule type="expression" dxfId="11735" priority="523">
      <formula>(C83="LED STRIP")</formula>
    </cfRule>
    <cfRule type="expression" dxfId="11734" priority="524">
      <formula>(C83="LIGHT SELECTION")</formula>
    </cfRule>
    <cfRule type="expression" dxfId="11733" priority="526">
      <formula>(C83="FLO")</formula>
    </cfRule>
  </conditionalFormatting>
  <conditionalFormatting sqref="F90:F91">
    <cfRule type="expression" dxfId="11732" priority="396">
      <formula>D90="NF"</formula>
    </cfRule>
    <cfRule type="expression" dxfId="11731" priority="397">
      <formula>D90="WW PODS"</formula>
    </cfRule>
    <cfRule type="expression" dxfId="11730" priority="398">
      <formula>D90="GRILLE"</formula>
    </cfRule>
    <cfRule type="expression" dxfId="11729" priority="399">
      <formula>D90="CENTREX"</formula>
    </cfRule>
    <cfRule type="expression" dxfId="11728" priority="400" stopIfTrue="1">
      <formula>D82="canopy type"</formula>
    </cfRule>
    <cfRule type="expression" dxfId="11727" priority="401">
      <formula>(((I82*3600)/(C90*I79))^2+20)&gt;300</formula>
    </cfRule>
    <cfRule type="expression" dxfId="11726" priority="402" stopIfTrue="1">
      <formula>(ISNUMBER(SEARCH("UV",D82)))</formula>
    </cfRule>
    <cfRule type="expression" dxfId="11725" priority="403">
      <formula>(((I82*3600)/(C90*I79))^2+20)&gt;180</formula>
    </cfRule>
    <cfRule type="expression" dxfId="11724" priority="404">
      <formula>D90="KSA"</formula>
    </cfRule>
  </conditionalFormatting>
  <conditionalFormatting sqref="F92">
    <cfRule type="cellIs" dxfId="11723" priority="595" operator="lessThan">
      <formula>2100</formula>
    </cfRule>
  </conditionalFormatting>
  <conditionalFormatting sqref="F97">
    <cfRule type="cellIs" dxfId="11722" priority="569" operator="greaterThan">
      <formula>3001</formula>
    </cfRule>
  </conditionalFormatting>
  <conditionalFormatting sqref="F100">
    <cfRule type="expression" dxfId="11721" priority="519">
      <formula>(C100="LED STRIP")</formula>
    </cfRule>
    <cfRule type="expression" dxfId="11720" priority="520">
      <formula>(C100="LIGHT SELECTION")</formula>
    </cfRule>
    <cfRule type="expression" dxfId="11719" priority="522">
      <formula>(C100="FLO")</formula>
    </cfRule>
  </conditionalFormatting>
  <conditionalFormatting sqref="F107:F108">
    <cfRule type="expression" dxfId="11718" priority="370">
      <formula>D107="NF"</formula>
    </cfRule>
    <cfRule type="expression" dxfId="11717" priority="371">
      <formula>D107="WW PODS"</formula>
    </cfRule>
    <cfRule type="expression" dxfId="11716" priority="372">
      <formula>D107="GRILLE"</formula>
    </cfRule>
    <cfRule type="expression" dxfId="11715" priority="373">
      <formula>D107="CENTREX"</formula>
    </cfRule>
    <cfRule type="expression" dxfId="11714" priority="374" stopIfTrue="1">
      <formula>D99="canopy type"</formula>
    </cfRule>
    <cfRule type="expression" dxfId="11713" priority="375">
      <formula>(((I99*3600)/(C107*I96))^2+20)&gt;300</formula>
    </cfRule>
    <cfRule type="expression" dxfId="11712" priority="376" stopIfTrue="1">
      <formula>(ISNUMBER(SEARCH("UV",D99)))</formula>
    </cfRule>
    <cfRule type="expression" dxfId="11711" priority="377">
      <formula>(((I99*3600)/(C107*I96))^2+20)&gt;180</formula>
    </cfRule>
    <cfRule type="expression" dxfId="11710" priority="378">
      <formula>D107="KSA"</formula>
    </cfRule>
  </conditionalFormatting>
  <conditionalFormatting sqref="F109">
    <cfRule type="cellIs" dxfId="11709" priority="563" operator="lessThan">
      <formula>2100</formula>
    </cfRule>
  </conditionalFormatting>
  <conditionalFormatting sqref="F114">
    <cfRule type="cellIs" dxfId="11708" priority="340" operator="greaterThan">
      <formula>3001</formula>
    </cfRule>
  </conditionalFormatting>
  <conditionalFormatting sqref="F117">
    <cfRule type="expression" dxfId="11707" priority="316">
      <formula>(C117="LED STRIP")</formula>
    </cfRule>
    <cfRule type="expression" dxfId="11706" priority="317">
      <formula>(C117="LIGHT SELECTION")</formula>
    </cfRule>
    <cfRule type="expression" dxfId="11705" priority="319">
      <formula>(C117="FLO")</formula>
    </cfRule>
  </conditionalFormatting>
  <conditionalFormatting sqref="F124:F125">
    <cfRule type="expression" dxfId="11704" priority="304">
      <formula>D124="NF"</formula>
    </cfRule>
    <cfRule type="expression" dxfId="11703" priority="305">
      <formula>D124="WW PODS"</formula>
    </cfRule>
    <cfRule type="expression" dxfId="11702" priority="306">
      <formula>D124="GRILLE"</formula>
    </cfRule>
    <cfRule type="expression" dxfId="11701" priority="307">
      <formula>D124="CENTREX"</formula>
    </cfRule>
    <cfRule type="expression" dxfId="11700" priority="308" stopIfTrue="1">
      <formula>D116="canopy type"</formula>
    </cfRule>
    <cfRule type="expression" dxfId="11699" priority="309">
      <formula>(((I116*3600)/(C124*I113))^2+20)&gt;300</formula>
    </cfRule>
    <cfRule type="expression" dxfId="11698" priority="310" stopIfTrue="1">
      <formula>(ISNUMBER(SEARCH("UV",D116)))</formula>
    </cfRule>
    <cfRule type="expression" dxfId="11697" priority="311">
      <formula>(((I116*3600)/(C124*I113))^2+20)&gt;180</formula>
    </cfRule>
    <cfRule type="expression" dxfId="11696" priority="312">
      <formula>D124="KSA"</formula>
    </cfRule>
  </conditionalFormatting>
  <conditionalFormatting sqref="F126">
    <cfRule type="cellIs" dxfId="11695" priority="334" operator="lessThan">
      <formula>2100</formula>
    </cfRule>
  </conditionalFormatting>
  <conditionalFormatting sqref="F131">
    <cfRule type="cellIs" dxfId="11694" priority="177" operator="greaterThan">
      <formula>3001</formula>
    </cfRule>
  </conditionalFormatting>
  <conditionalFormatting sqref="F134">
    <cfRule type="expression" dxfId="11693" priority="123">
      <formula>(C134="LED STRIP")</formula>
    </cfRule>
    <cfRule type="expression" dxfId="11692" priority="124">
      <formula>(C134="LIGHT SELECTION")</formula>
    </cfRule>
    <cfRule type="expression" dxfId="11691" priority="126">
      <formula>(C134="FLO")</formula>
    </cfRule>
  </conditionalFormatting>
  <conditionalFormatting sqref="F141:F142">
    <cfRule type="expression" dxfId="11690" priority="104">
      <formula>D141="NF"</formula>
    </cfRule>
    <cfRule type="expression" dxfId="11689" priority="105">
      <formula>D141="WW PODS"</formula>
    </cfRule>
    <cfRule type="expression" dxfId="11688" priority="106">
      <formula>D141="GRILLE"</formula>
    </cfRule>
    <cfRule type="expression" dxfId="11687" priority="107">
      <formula>D141="CENTREX"</formula>
    </cfRule>
    <cfRule type="expression" dxfId="11686" priority="108" stopIfTrue="1">
      <formula>D133="canopy type"</formula>
    </cfRule>
    <cfRule type="expression" dxfId="11685" priority="109">
      <formula>(((I133*3600)/(C141*I130))^2+20)&gt;300</formula>
    </cfRule>
    <cfRule type="expression" dxfId="11684" priority="110" stopIfTrue="1">
      <formula>(ISNUMBER(SEARCH("UV",D133)))</formula>
    </cfRule>
    <cfRule type="expression" dxfId="11683" priority="111">
      <formula>(((I133*3600)/(C141*I130))^2+20)&gt;180</formula>
    </cfRule>
    <cfRule type="expression" dxfId="11682" priority="112">
      <formula>D141="KSA"</formula>
    </cfRule>
  </conditionalFormatting>
  <conditionalFormatting sqref="F143">
    <cfRule type="cellIs" dxfId="11681" priority="171" operator="lessThan">
      <formula>2100</formula>
    </cfRule>
  </conditionalFormatting>
  <conditionalFormatting sqref="F148">
    <cfRule type="cellIs" dxfId="11680" priority="146" operator="greaterThan">
      <formula>3001</formula>
    </cfRule>
  </conditionalFormatting>
  <conditionalFormatting sqref="F151">
    <cfRule type="expression" dxfId="11679" priority="119">
      <formula>(C151="LED STRIP")</formula>
    </cfRule>
    <cfRule type="expression" dxfId="11678" priority="120">
      <formula>(C151="LIGHT SELECTION")</formula>
    </cfRule>
    <cfRule type="expression" dxfId="11677" priority="122">
      <formula>(C151="FLO")</formula>
    </cfRule>
  </conditionalFormatting>
  <conditionalFormatting sqref="F158:F159">
    <cfRule type="expression" dxfId="11676" priority="89">
      <formula>D158="NF"</formula>
    </cfRule>
    <cfRule type="expression" dxfId="11675" priority="90">
      <formula>D158="WW PODS"</formula>
    </cfRule>
    <cfRule type="expression" dxfId="11674" priority="91">
      <formula>D158="GRILLE"</formula>
    </cfRule>
    <cfRule type="expression" dxfId="11673" priority="92">
      <formula>D158="CENTREX"</formula>
    </cfRule>
    <cfRule type="expression" dxfId="11672" priority="93" stopIfTrue="1">
      <formula>D150="canopy type"</formula>
    </cfRule>
    <cfRule type="expression" dxfId="11671" priority="94">
      <formula>(((I150*3600)/(C158*I147))^2+20)&gt;300</formula>
    </cfRule>
    <cfRule type="expression" dxfId="11670" priority="95" stopIfTrue="1">
      <formula>(ISNUMBER(SEARCH("UV",D150)))</formula>
    </cfRule>
    <cfRule type="expression" dxfId="11669" priority="96">
      <formula>(((I150*3600)/(C158*I147))^2+20)&gt;180</formula>
    </cfRule>
    <cfRule type="expression" dxfId="11668" priority="97">
      <formula>D158="KSA"</formula>
    </cfRule>
  </conditionalFormatting>
  <conditionalFormatting sqref="F160">
    <cfRule type="cellIs" dxfId="11667" priority="140" operator="lessThan">
      <formula>2100</formula>
    </cfRule>
  </conditionalFormatting>
  <conditionalFormatting sqref="F165">
    <cfRule type="cellIs" dxfId="11666" priority="70" operator="greaterThan">
      <formula>3001</formula>
    </cfRule>
  </conditionalFormatting>
  <conditionalFormatting sqref="F168">
    <cfRule type="expression" dxfId="11665" priority="48">
      <formula>(C168="LED STRIP")</formula>
    </cfRule>
    <cfRule type="expression" dxfId="11664" priority="49">
      <formula>(C168="LIGHT SELECTION")</formula>
    </cfRule>
    <cfRule type="expression" dxfId="11663" priority="51">
      <formula>(C168="FLO")</formula>
    </cfRule>
  </conditionalFormatting>
  <conditionalFormatting sqref="F175:F176">
    <cfRule type="expression" dxfId="11662" priority="36">
      <formula>D175="NF"</formula>
    </cfRule>
    <cfRule type="expression" dxfId="11661" priority="37">
      <formula>D175="WW PODS"</formula>
    </cfRule>
    <cfRule type="expression" dxfId="11660" priority="38">
      <formula>D175="GRILLE"</formula>
    </cfRule>
    <cfRule type="expression" dxfId="11659" priority="39">
      <formula>D175="CENTREX"</formula>
    </cfRule>
    <cfRule type="expression" dxfId="11658" priority="40" stopIfTrue="1">
      <formula>D167="canopy type"</formula>
    </cfRule>
    <cfRule type="expression" dxfId="11657" priority="41">
      <formula>(((I167*3600)/(C175*I164))^2+20)&gt;300</formula>
    </cfRule>
    <cfRule type="expression" dxfId="11656" priority="42" stopIfTrue="1">
      <formula>(ISNUMBER(SEARCH("UV",D167)))</formula>
    </cfRule>
    <cfRule type="expression" dxfId="11655" priority="43">
      <formula>(((I167*3600)/(C175*I164))^2+20)&gt;180</formula>
    </cfRule>
    <cfRule type="expression" dxfId="11654" priority="44">
      <formula>D175="KSA"</formula>
    </cfRule>
  </conditionalFormatting>
  <conditionalFormatting sqref="F177">
    <cfRule type="cellIs" dxfId="11653" priority="64" operator="lessThan">
      <formula>2100</formula>
    </cfRule>
  </conditionalFormatting>
  <conditionalFormatting sqref="G11">
    <cfRule type="expression" dxfId="11652" priority="777">
      <formula>((F14-50)/H14)&lt;950</formula>
    </cfRule>
  </conditionalFormatting>
  <conditionalFormatting sqref="G12">
    <cfRule type="expression" dxfId="11651" priority="776">
      <formula>((F14-50)/H14)&lt;950</formula>
    </cfRule>
  </conditionalFormatting>
  <conditionalFormatting sqref="G14">
    <cfRule type="cellIs" dxfId="11650" priority="772" operator="lessThan">
      <formula>400</formula>
    </cfRule>
  </conditionalFormatting>
  <conditionalFormatting sqref="G28">
    <cfRule type="expression" dxfId="11649" priority="717">
      <formula>((F31-50)/H31)&lt;950</formula>
    </cfRule>
  </conditionalFormatting>
  <conditionalFormatting sqref="G29">
    <cfRule type="expression" dxfId="11648" priority="695">
      <formula>((F31-50)/H31)&lt;950</formula>
    </cfRule>
  </conditionalFormatting>
  <conditionalFormatting sqref="G31">
    <cfRule type="cellIs" dxfId="11647" priority="691" operator="lessThan">
      <formula>400</formula>
    </cfRule>
  </conditionalFormatting>
  <conditionalFormatting sqref="G45">
    <cfRule type="expression" dxfId="11646" priority="734">
      <formula>((F48-50)/H48)&lt;950</formula>
    </cfRule>
  </conditionalFormatting>
  <conditionalFormatting sqref="G46">
    <cfRule type="expression" dxfId="11645" priority="663">
      <formula>((F48-50)/H48)&lt;950</formula>
    </cfRule>
  </conditionalFormatting>
  <conditionalFormatting sqref="G48">
    <cfRule type="cellIs" dxfId="11644" priority="659" operator="lessThan">
      <formula>400</formula>
    </cfRule>
  </conditionalFormatting>
  <conditionalFormatting sqref="G62">
    <cfRule type="expression" dxfId="11643" priority="735">
      <formula>((F65-50)/H65)&lt;950</formula>
    </cfRule>
  </conditionalFormatting>
  <conditionalFormatting sqref="G63">
    <cfRule type="expression" dxfId="11642" priority="633">
      <formula>((F65-50)/H65)&lt;950</formula>
    </cfRule>
  </conditionalFormatting>
  <conditionalFormatting sqref="G65">
    <cfRule type="cellIs" dxfId="11641" priority="629" operator="lessThan">
      <formula>400</formula>
    </cfRule>
  </conditionalFormatting>
  <conditionalFormatting sqref="G79">
    <cfRule type="expression" dxfId="11640" priority="736">
      <formula>((F82-50)/H82)&lt;950</formula>
    </cfRule>
  </conditionalFormatting>
  <conditionalFormatting sqref="G80">
    <cfRule type="expression" dxfId="11639" priority="602">
      <formula>((F82-50)/H82)&lt;950</formula>
    </cfRule>
  </conditionalFormatting>
  <conditionalFormatting sqref="G82">
    <cfRule type="cellIs" dxfId="11638" priority="598" operator="lessThan">
      <formula>400</formula>
    </cfRule>
  </conditionalFormatting>
  <conditionalFormatting sqref="G96">
    <cfRule type="expression" dxfId="11637" priority="746">
      <formula>((F99-50)/H99)&lt;950</formula>
    </cfRule>
  </conditionalFormatting>
  <conditionalFormatting sqref="G97">
    <cfRule type="expression" dxfId="11636" priority="570">
      <formula>((F99-50)/H99)&lt;950</formula>
    </cfRule>
  </conditionalFormatting>
  <conditionalFormatting sqref="G99">
    <cfRule type="cellIs" dxfId="11635" priority="566" operator="lessThan">
      <formula>400</formula>
    </cfRule>
  </conditionalFormatting>
  <conditionalFormatting sqref="G113">
    <cfRule type="expression" dxfId="11634" priority="352">
      <formula>((F116-50)/H116)&lt;950</formula>
    </cfRule>
  </conditionalFormatting>
  <conditionalFormatting sqref="G114">
    <cfRule type="expression" dxfId="11633" priority="341">
      <formula>((F116-50)/H116)&lt;950</formula>
    </cfRule>
  </conditionalFormatting>
  <conditionalFormatting sqref="G116">
    <cfRule type="cellIs" dxfId="11632" priority="337" operator="lessThan">
      <formula>400</formula>
    </cfRule>
  </conditionalFormatting>
  <conditionalFormatting sqref="G130">
    <cfRule type="expression" dxfId="11631" priority="190">
      <formula>((F133-50)/H133)&lt;950</formula>
    </cfRule>
  </conditionalFormatting>
  <conditionalFormatting sqref="G131">
    <cfRule type="expression" dxfId="11630" priority="178">
      <formula>((F133-50)/H133)&lt;950</formula>
    </cfRule>
  </conditionalFormatting>
  <conditionalFormatting sqref="G133">
    <cfRule type="cellIs" dxfId="11629" priority="174" operator="lessThan">
      <formula>400</formula>
    </cfRule>
  </conditionalFormatting>
  <conditionalFormatting sqref="G147">
    <cfRule type="expression" dxfId="11628" priority="191">
      <formula>((F150-50)/H150)&lt;950</formula>
    </cfRule>
  </conditionalFormatting>
  <conditionalFormatting sqref="G148">
    <cfRule type="expression" dxfId="11627" priority="147">
      <formula>((F150-50)/H150)&lt;950</formula>
    </cfRule>
  </conditionalFormatting>
  <conditionalFormatting sqref="G150">
    <cfRule type="cellIs" dxfId="11626" priority="143" operator="lessThan">
      <formula>400</formula>
    </cfRule>
  </conditionalFormatting>
  <conditionalFormatting sqref="G164">
    <cfRule type="expression" dxfId="11625" priority="82">
      <formula>((F167-50)/H167)&lt;950</formula>
    </cfRule>
  </conditionalFormatting>
  <conditionalFormatting sqref="G165">
    <cfRule type="expression" dxfId="11624" priority="71">
      <formula>((F167-50)/H167)&lt;950</formula>
    </cfRule>
  </conditionalFormatting>
  <conditionalFormatting sqref="G167">
    <cfRule type="cellIs" dxfId="11623" priority="67" operator="lessThan">
      <formula>400</formula>
    </cfRule>
  </conditionalFormatting>
  <conditionalFormatting sqref="I14">
    <cfRule type="cellIs" dxfId="11622" priority="773" operator="lessThan">
      <formula>0.1</formula>
    </cfRule>
  </conditionalFormatting>
  <conditionalFormatting sqref="I31">
    <cfRule type="cellIs" dxfId="11621" priority="692" operator="lessThan">
      <formula>0.1</formula>
    </cfRule>
  </conditionalFormatting>
  <conditionalFormatting sqref="I48">
    <cfRule type="cellIs" dxfId="11620" priority="660" operator="lessThan">
      <formula>0.1</formula>
    </cfRule>
  </conditionalFormatting>
  <conditionalFormatting sqref="I65">
    <cfRule type="cellIs" dxfId="11619" priority="630" operator="lessThan">
      <formula>0.1</formula>
    </cfRule>
  </conditionalFormatting>
  <conditionalFormatting sqref="I82">
    <cfRule type="cellIs" dxfId="11618" priority="599" operator="lessThan">
      <formula>0.1</formula>
    </cfRule>
  </conditionalFormatting>
  <conditionalFormatting sqref="I99">
    <cfRule type="cellIs" dxfId="11617" priority="567" operator="lessThan">
      <formula>0.1</formula>
    </cfRule>
  </conditionalFormatting>
  <conditionalFormatting sqref="I116">
    <cfRule type="cellIs" dxfId="11616" priority="338" operator="lessThan">
      <formula>0.1</formula>
    </cfRule>
  </conditionalFormatting>
  <conditionalFormatting sqref="I133">
    <cfRule type="cellIs" dxfId="11615" priority="175" operator="lessThan">
      <formula>0.1</formula>
    </cfRule>
  </conditionalFormatting>
  <conditionalFormatting sqref="I150">
    <cfRule type="cellIs" dxfId="11614" priority="144" operator="lessThan">
      <formula>0.1</formula>
    </cfRule>
  </conditionalFormatting>
  <conditionalFormatting sqref="I167">
    <cfRule type="cellIs" dxfId="11613" priority="68" operator="lessThan">
      <formula>0.1</formula>
    </cfRule>
  </conditionalFormatting>
  <conditionalFormatting sqref="J14:J27">
    <cfRule type="cellIs" dxfId="11612" priority="485" operator="greaterThan">
      <formula>0</formula>
    </cfRule>
  </conditionalFormatting>
  <conditionalFormatting sqref="J31:J44">
    <cfRule type="cellIs" dxfId="11611" priority="271" operator="greaterThan">
      <formula>0</formula>
    </cfRule>
  </conditionalFormatting>
  <conditionalFormatting sqref="J48:J61">
    <cfRule type="cellIs" dxfId="11610" priority="258" operator="greaterThan">
      <formula>0</formula>
    </cfRule>
  </conditionalFormatting>
  <conditionalFormatting sqref="J65:J78">
    <cfRule type="cellIs" dxfId="11609" priority="245" operator="greaterThan">
      <formula>0</formula>
    </cfRule>
  </conditionalFormatting>
  <conditionalFormatting sqref="J82:J95">
    <cfRule type="cellIs" dxfId="11608" priority="232" operator="greaterThan">
      <formula>0</formula>
    </cfRule>
  </conditionalFormatting>
  <conditionalFormatting sqref="J99:J112">
    <cfRule type="cellIs" dxfId="11607" priority="219" operator="greaterThan">
      <formula>0</formula>
    </cfRule>
  </conditionalFormatting>
  <conditionalFormatting sqref="J116:J129 J167:J180">
    <cfRule type="cellIs" dxfId="11606" priority="206" operator="greaterThan">
      <formula>0</formula>
    </cfRule>
  </conditionalFormatting>
  <conditionalFormatting sqref="J133:J146">
    <cfRule type="cellIs" dxfId="11605" priority="19" operator="greaterThan">
      <formula>0</formula>
    </cfRule>
  </conditionalFormatting>
  <conditionalFormatting sqref="J150:J163">
    <cfRule type="cellIs" dxfId="11604" priority="8" operator="greaterThan">
      <formula>0</formula>
    </cfRule>
  </conditionalFormatting>
  <conditionalFormatting sqref="J183:J197">
    <cfRule type="expression" dxfId="11603" priority="747">
      <formula>C183&gt;0</formula>
    </cfRule>
  </conditionalFormatting>
  <conditionalFormatting sqref="J199">
    <cfRule type="expression" dxfId="11602" priority="752">
      <formula>#REF!="EURO"</formula>
    </cfRule>
  </conditionalFormatting>
  <conditionalFormatting sqref="K14:K27">
    <cfRule type="cellIs" dxfId="11601" priority="499" operator="greaterThan">
      <formula>0</formula>
    </cfRule>
  </conditionalFormatting>
  <conditionalFormatting sqref="K31:K44">
    <cfRule type="cellIs" dxfId="11600" priority="274" operator="greaterThan">
      <formula>0</formula>
    </cfRule>
  </conditionalFormatting>
  <conditionalFormatting sqref="K48:K61">
    <cfRule type="cellIs" dxfId="11599" priority="261" operator="greaterThan">
      <formula>0</formula>
    </cfRule>
  </conditionalFormatting>
  <conditionalFormatting sqref="K65:K78">
    <cfRule type="cellIs" dxfId="11598" priority="248" operator="greaterThan">
      <formula>0</formula>
    </cfRule>
  </conditionalFormatting>
  <conditionalFormatting sqref="K82:K95">
    <cfRule type="cellIs" dxfId="11597" priority="235" operator="greaterThan">
      <formula>0</formula>
    </cfRule>
  </conditionalFormatting>
  <conditionalFormatting sqref="K99:K112">
    <cfRule type="cellIs" dxfId="11596" priority="222" operator="greaterThan">
      <formula>0</formula>
    </cfRule>
  </conditionalFormatting>
  <conditionalFormatting sqref="K116:K129 K167:K180">
    <cfRule type="cellIs" dxfId="11595" priority="209" operator="greaterThan">
      <formula>0</formula>
    </cfRule>
  </conditionalFormatting>
  <conditionalFormatting sqref="K133:K146">
    <cfRule type="cellIs" dxfId="11594" priority="20" operator="greaterThan">
      <formula>0</formula>
    </cfRule>
  </conditionalFormatting>
  <conditionalFormatting sqref="K150:K163">
    <cfRule type="cellIs" dxfId="11593" priority="9" operator="greaterThan">
      <formula>0</formula>
    </cfRule>
  </conditionalFormatting>
  <conditionalFormatting sqref="K183:K197">
    <cfRule type="cellIs" dxfId="11592" priority="754" operator="greaterThan">
      <formula>0</formula>
    </cfRule>
  </conditionalFormatting>
  <conditionalFormatting sqref="K199">
    <cfRule type="expression" dxfId="11591" priority="748">
      <formula>$B$9="PLN"</formula>
    </cfRule>
    <cfRule type="expression" dxfId="11590" priority="749">
      <formula>$B$9="CZK"</formula>
    </cfRule>
    <cfRule type="expression" dxfId="11589" priority="750">
      <formula>$B$9="USD"</formula>
    </cfRule>
    <cfRule type="expression" dxfId="11588" priority="751">
      <formula>$B$9="EURO"</formula>
    </cfRule>
  </conditionalFormatting>
  <conditionalFormatting sqref="L14:L27">
    <cfRule type="expression" dxfId="11587" priority="496">
      <formula>$C$9&lt;0</formula>
    </cfRule>
    <cfRule type="expression" dxfId="11586" priority="497">
      <formula>$C$9&gt;0</formula>
    </cfRule>
  </conditionalFormatting>
  <conditionalFormatting sqref="L31:L44">
    <cfRule type="expression" dxfId="11585" priority="204">
      <formula>$C$9&lt;0</formula>
    </cfRule>
    <cfRule type="expression" dxfId="11584" priority="205">
      <formula>$C$9&gt;0</formula>
    </cfRule>
  </conditionalFormatting>
  <conditionalFormatting sqref="L48:L61">
    <cfRule type="expression" dxfId="11583" priority="202">
      <formula>$C$9&lt;0</formula>
    </cfRule>
    <cfRule type="expression" dxfId="11582" priority="203">
      <formula>$C$9&gt;0</formula>
    </cfRule>
  </conditionalFormatting>
  <conditionalFormatting sqref="L65:L78">
    <cfRule type="expression" dxfId="11581" priority="200">
      <formula>$C$9&lt;0</formula>
    </cfRule>
    <cfRule type="expression" dxfId="11580" priority="201">
      <formula>$C$9&gt;0</formula>
    </cfRule>
  </conditionalFormatting>
  <conditionalFormatting sqref="L82:L95">
    <cfRule type="expression" dxfId="11579" priority="198">
      <formula>$C$9&lt;0</formula>
    </cfRule>
    <cfRule type="expression" dxfId="11578" priority="199">
      <formula>$C$9&gt;0</formula>
    </cfRule>
  </conditionalFormatting>
  <conditionalFormatting sqref="L99:L112">
    <cfRule type="expression" dxfId="11577" priority="196">
      <formula>$C$9&lt;0</formula>
    </cfRule>
    <cfRule type="expression" dxfId="11576" priority="197">
      <formula>$C$9&gt;0</formula>
    </cfRule>
  </conditionalFormatting>
  <conditionalFormatting sqref="L116:L129 L167:L180">
    <cfRule type="expression" dxfId="11575" priority="194">
      <formula>$C$9&lt;0</formula>
    </cfRule>
    <cfRule type="expression" dxfId="11574" priority="195">
      <formula>$C$9&gt;0</formula>
    </cfRule>
  </conditionalFormatting>
  <conditionalFormatting sqref="L133:L146">
    <cfRule type="expression" dxfId="11573" priority="3">
      <formula>$C$9&lt;0</formula>
    </cfRule>
    <cfRule type="expression" dxfId="11572" priority="4">
      <formula>$C$9&gt;0</formula>
    </cfRule>
  </conditionalFormatting>
  <conditionalFormatting sqref="L150:L163">
    <cfRule type="expression" dxfId="11571" priority="1">
      <formula>$C$9&lt;0</formula>
    </cfRule>
    <cfRule type="expression" dxfId="11570" priority="2">
      <formula>$C$9&gt;0</formula>
    </cfRule>
  </conditionalFormatting>
  <conditionalFormatting sqref="L183:L197">
    <cfRule type="expression" dxfId="11569" priority="192">
      <formula>$C$9&lt;0</formula>
    </cfRule>
    <cfRule type="expression" dxfId="11568" priority="193">
      <formula>$C$9&gt;0</formula>
    </cfRule>
  </conditionalFormatting>
  <conditionalFormatting sqref="N9 N12">
    <cfRule type="expression" dxfId="11567" priority="784">
      <formula>$B$9="PLN"</formula>
    </cfRule>
    <cfRule type="expression" dxfId="11566" priority="785">
      <formula>$B$9="CZK"</formula>
    </cfRule>
    <cfRule type="expression" dxfId="11565" priority="786">
      <formula>$B$9="USD"</formula>
    </cfRule>
    <cfRule type="expression" dxfId="11564" priority="787">
      <formula>$B$9="EURO"</formula>
    </cfRule>
  </conditionalFormatting>
  <conditionalFormatting sqref="N14:N27">
    <cfRule type="cellIs" dxfId="11563" priority="721" operator="greaterThan">
      <formula>0</formula>
    </cfRule>
    <cfRule type="expression" dxfId="11562" priority="722">
      <formula>$B$9="EURO"</formula>
    </cfRule>
    <cfRule type="expression" dxfId="11561" priority="723">
      <formula>$B$9="USD"</formula>
    </cfRule>
    <cfRule type="expression" dxfId="11560" priority="724">
      <formula>$B$9="PLN"</formula>
    </cfRule>
    <cfRule type="expression" dxfId="11559" priority="725">
      <formula>$B$9="CZK"</formula>
    </cfRule>
  </conditionalFormatting>
  <conditionalFormatting sqref="N29">
    <cfRule type="expression" dxfId="11558" priority="701">
      <formula>$B$9="PLN"</formula>
    </cfRule>
    <cfRule type="expression" dxfId="11557" priority="702">
      <formula>$B$9="CZK"</formula>
    </cfRule>
    <cfRule type="expression" dxfId="11556" priority="703">
      <formula>$B$9="USD"</formula>
    </cfRule>
    <cfRule type="expression" dxfId="11555" priority="704">
      <formula>$B$9="EURO"</formula>
    </cfRule>
  </conditionalFormatting>
  <conditionalFormatting sqref="N31:N44">
    <cfRule type="cellIs" dxfId="11554" priority="277" operator="greaterThan">
      <formula>0</formula>
    </cfRule>
    <cfRule type="expression" dxfId="11553" priority="278">
      <formula>$B$9="EURO"</formula>
    </cfRule>
    <cfRule type="expression" dxfId="11552" priority="279">
      <formula>$B$9="USD"</formula>
    </cfRule>
    <cfRule type="expression" dxfId="11551" priority="280">
      <formula>$B$9="PLN"</formula>
    </cfRule>
    <cfRule type="expression" dxfId="11550" priority="281">
      <formula>$B$9="CZK"</formula>
    </cfRule>
  </conditionalFormatting>
  <conditionalFormatting sqref="N46">
    <cfRule type="expression" dxfId="11549" priority="669">
      <formula>$B$9="PLN"</formula>
    </cfRule>
    <cfRule type="expression" dxfId="11548" priority="670">
      <formula>$B$9="CZK"</formula>
    </cfRule>
    <cfRule type="expression" dxfId="11547" priority="671">
      <formula>$B$9="USD"</formula>
    </cfRule>
    <cfRule type="expression" dxfId="11546" priority="672">
      <formula>$B$9="EURO"</formula>
    </cfRule>
  </conditionalFormatting>
  <conditionalFormatting sqref="N48:N61">
    <cfRule type="cellIs" dxfId="11545" priority="264" operator="greaterThan">
      <formula>0</formula>
    </cfRule>
    <cfRule type="expression" dxfId="11544" priority="265">
      <formula>$B$9="EURO"</formula>
    </cfRule>
    <cfRule type="expression" dxfId="11543" priority="266">
      <formula>$B$9="USD"</formula>
    </cfRule>
    <cfRule type="expression" dxfId="11542" priority="267">
      <formula>$B$9="PLN"</formula>
    </cfRule>
    <cfRule type="expression" dxfId="11541" priority="268">
      <formula>$B$9="CZK"</formula>
    </cfRule>
  </conditionalFormatting>
  <conditionalFormatting sqref="N63">
    <cfRule type="expression" dxfId="11540" priority="639">
      <formula>$B$9="PLN"</formula>
    </cfRule>
    <cfRule type="expression" dxfId="11539" priority="640">
      <formula>$B$9="CZK"</formula>
    </cfRule>
    <cfRule type="expression" dxfId="11538" priority="641">
      <formula>$B$9="USD"</formula>
    </cfRule>
    <cfRule type="expression" dxfId="11537" priority="642">
      <formula>$B$9="EURO"</formula>
    </cfRule>
  </conditionalFormatting>
  <conditionalFormatting sqref="N65:N78">
    <cfRule type="cellIs" dxfId="11536" priority="251" operator="greaterThan">
      <formula>0</formula>
    </cfRule>
    <cfRule type="expression" dxfId="11535" priority="252">
      <formula>$B$9="EURO"</formula>
    </cfRule>
    <cfRule type="expression" dxfId="11534" priority="253">
      <formula>$B$9="USD"</formula>
    </cfRule>
    <cfRule type="expression" dxfId="11533" priority="254">
      <formula>$B$9="PLN"</formula>
    </cfRule>
    <cfRule type="expression" dxfId="11532" priority="255">
      <formula>$B$9="CZK"</formula>
    </cfRule>
  </conditionalFormatting>
  <conditionalFormatting sqref="N80">
    <cfRule type="expression" dxfId="11531" priority="608">
      <formula>$B$9="PLN"</formula>
    </cfRule>
    <cfRule type="expression" dxfId="11530" priority="609">
      <formula>$B$9="CZK"</formula>
    </cfRule>
    <cfRule type="expression" dxfId="11529" priority="610">
      <formula>$B$9="USD"</formula>
    </cfRule>
    <cfRule type="expression" dxfId="11528" priority="611">
      <formula>$B$9="EURO"</formula>
    </cfRule>
  </conditionalFormatting>
  <conditionalFormatting sqref="N82:N95">
    <cfRule type="cellIs" dxfId="11527" priority="238" operator="greaterThan">
      <formula>0</formula>
    </cfRule>
    <cfRule type="expression" dxfId="11526" priority="239">
      <formula>$B$9="EURO"</formula>
    </cfRule>
    <cfRule type="expression" dxfId="11525" priority="240">
      <formula>$B$9="USD"</formula>
    </cfRule>
    <cfRule type="expression" dxfId="11524" priority="241">
      <formula>$B$9="PLN"</formula>
    </cfRule>
    <cfRule type="expression" dxfId="11523" priority="242">
      <formula>$B$9="CZK"</formula>
    </cfRule>
  </conditionalFormatting>
  <conditionalFormatting sqref="N97">
    <cfRule type="expression" dxfId="11522" priority="576">
      <formula>$B$9="PLN"</formula>
    </cfRule>
    <cfRule type="expression" dxfId="11521" priority="577">
      <formula>$B$9="CZK"</formula>
    </cfRule>
    <cfRule type="expression" dxfId="11520" priority="578">
      <formula>$B$9="USD"</formula>
    </cfRule>
    <cfRule type="expression" dxfId="11519" priority="579">
      <formula>$B$9="EURO"</formula>
    </cfRule>
  </conditionalFormatting>
  <conditionalFormatting sqref="N99:N112">
    <cfRule type="cellIs" dxfId="11518" priority="225" operator="greaterThan">
      <formula>0</formula>
    </cfRule>
    <cfRule type="expression" dxfId="11517" priority="226">
      <formula>$B$9="EURO"</formula>
    </cfRule>
    <cfRule type="expression" dxfId="11516" priority="227">
      <formula>$B$9="USD"</formula>
    </cfRule>
    <cfRule type="expression" dxfId="11515" priority="228">
      <formula>$B$9="PLN"</formula>
    </cfRule>
    <cfRule type="expression" dxfId="11514" priority="229">
      <formula>$B$9="CZK"</formula>
    </cfRule>
  </conditionalFormatting>
  <conditionalFormatting sqref="N114">
    <cfRule type="expression" dxfId="11513" priority="347">
      <formula>$B$9="PLN"</formula>
    </cfRule>
    <cfRule type="expression" dxfId="11512" priority="348">
      <formula>$B$9="CZK"</formula>
    </cfRule>
    <cfRule type="expression" dxfId="11511" priority="349">
      <formula>$B$9="USD"</formula>
    </cfRule>
    <cfRule type="expression" dxfId="11510" priority="350">
      <formula>$B$9="EURO"</formula>
    </cfRule>
  </conditionalFormatting>
  <conditionalFormatting sqref="N116:N129 N167:N180">
    <cfRule type="cellIs" dxfId="11509" priority="212" operator="greaterThan">
      <formula>0</formula>
    </cfRule>
    <cfRule type="expression" dxfId="11508" priority="213">
      <formula>$B$9="EURO"</formula>
    </cfRule>
    <cfRule type="expression" dxfId="11507" priority="214">
      <formula>$B$9="USD"</formula>
    </cfRule>
    <cfRule type="expression" dxfId="11506" priority="215">
      <formula>$B$9="PLN"</formula>
    </cfRule>
    <cfRule type="expression" dxfId="11505" priority="216">
      <formula>$B$9="CZK"</formula>
    </cfRule>
  </conditionalFormatting>
  <conditionalFormatting sqref="N131">
    <cfRule type="expression" dxfId="11504" priority="184">
      <formula>$B$9="PLN"</formula>
    </cfRule>
    <cfRule type="expression" dxfId="11503" priority="185">
      <formula>$B$9="CZK"</formula>
    </cfRule>
    <cfRule type="expression" dxfId="11502" priority="186">
      <formula>$B$9="USD"</formula>
    </cfRule>
    <cfRule type="expression" dxfId="11501" priority="187">
      <formula>$B$9="EURO"</formula>
    </cfRule>
  </conditionalFormatting>
  <conditionalFormatting sqref="N133:N146">
    <cfRule type="cellIs" dxfId="11500" priority="23" operator="greaterThan">
      <formula>0</formula>
    </cfRule>
    <cfRule type="expression" dxfId="11499" priority="24">
      <formula>$B$9="EURO"</formula>
    </cfRule>
    <cfRule type="expression" dxfId="11498" priority="25">
      <formula>$B$9="USD"</formula>
    </cfRule>
    <cfRule type="expression" dxfId="11497" priority="26">
      <formula>$B$9="PLN"</formula>
    </cfRule>
    <cfRule type="expression" dxfId="11496" priority="27">
      <formula>$B$9="CZK"</formula>
    </cfRule>
  </conditionalFormatting>
  <conditionalFormatting sqref="N148">
    <cfRule type="expression" dxfId="11495" priority="153">
      <formula>$B$9="PLN"</formula>
    </cfRule>
    <cfRule type="expression" dxfId="11494" priority="154">
      <formula>$B$9="CZK"</formula>
    </cfRule>
    <cfRule type="expression" dxfId="11493" priority="155">
      <formula>$B$9="USD"</formula>
    </cfRule>
    <cfRule type="expression" dxfId="11492" priority="156">
      <formula>$B$9="EURO"</formula>
    </cfRule>
  </conditionalFormatting>
  <conditionalFormatting sqref="N150:N163">
    <cfRule type="cellIs" dxfId="11491" priority="12" operator="greaterThan">
      <formula>0</formula>
    </cfRule>
    <cfRule type="expression" dxfId="11490" priority="13">
      <formula>$B$9="EURO"</formula>
    </cfRule>
    <cfRule type="expression" dxfId="11489" priority="14">
      <formula>$B$9="USD"</formula>
    </cfRule>
    <cfRule type="expression" dxfId="11488" priority="15">
      <formula>$B$9="PLN"</formula>
    </cfRule>
    <cfRule type="expression" dxfId="11487" priority="16">
      <formula>$B$9="CZK"</formula>
    </cfRule>
  </conditionalFormatting>
  <conditionalFormatting sqref="N165">
    <cfRule type="expression" dxfId="11486" priority="77">
      <formula>$B$9="PLN"</formula>
    </cfRule>
    <cfRule type="expression" dxfId="11485" priority="78">
      <formula>$B$9="CZK"</formula>
    </cfRule>
    <cfRule type="expression" dxfId="11484" priority="79">
      <formula>$B$9="USD"</formula>
    </cfRule>
    <cfRule type="expression" dxfId="11483" priority="80">
      <formula>$B$9="EURO"</formula>
    </cfRule>
  </conditionalFormatting>
  <conditionalFormatting sqref="N183:N197">
    <cfRule type="cellIs" dxfId="11482" priority="729" operator="greaterThan">
      <formula>0</formula>
    </cfRule>
    <cfRule type="expression" dxfId="11481" priority="730">
      <formula>$B$9="EURO"</formula>
    </cfRule>
    <cfRule type="expression" dxfId="11480" priority="731">
      <formula>$B$9="USD"</formula>
    </cfRule>
    <cfRule type="expression" dxfId="11479" priority="732">
      <formula>$B$9="PLN"</formula>
    </cfRule>
    <cfRule type="expression" dxfId="11478" priority="733">
      <formula>$B$9="CZK"</formula>
    </cfRule>
  </conditionalFormatting>
  <conditionalFormatting sqref="N182:O182">
    <cfRule type="expression" dxfId="11477" priority="739">
      <formula>$B$9="PLN"</formula>
    </cfRule>
    <cfRule type="expression" dxfId="11476" priority="740">
      <formula>$B$9="CZK"</formula>
    </cfRule>
    <cfRule type="expression" dxfId="11475" priority="741">
      <formula>$B$9="USD"</formula>
    </cfRule>
    <cfRule type="expression" dxfId="11474" priority="742">
      <formula>$B$9="EURO"</formula>
    </cfRule>
  </conditionalFormatting>
  <conditionalFormatting sqref="O14:O27">
    <cfRule type="cellIs" dxfId="11473" priority="726" operator="greaterThan">
      <formula>0</formula>
    </cfRule>
  </conditionalFormatting>
  <conditionalFormatting sqref="O31:O44">
    <cfRule type="cellIs" dxfId="11472" priority="282" operator="greaterThan">
      <formula>0</formula>
    </cfRule>
  </conditionalFormatting>
  <conditionalFormatting sqref="O48:O61">
    <cfRule type="cellIs" dxfId="11471" priority="269" operator="greaterThan">
      <formula>0</formula>
    </cfRule>
  </conditionalFormatting>
  <conditionalFormatting sqref="O65:O78">
    <cfRule type="cellIs" dxfId="11470" priority="256" operator="greaterThan">
      <formula>0</formula>
    </cfRule>
  </conditionalFormatting>
  <conditionalFormatting sqref="O82:O95">
    <cfRule type="cellIs" dxfId="11469" priority="243" operator="greaterThan">
      <formula>0</formula>
    </cfRule>
  </conditionalFormatting>
  <conditionalFormatting sqref="O99:O112">
    <cfRule type="cellIs" dxfId="11468" priority="230" operator="greaterThan">
      <formula>0</formula>
    </cfRule>
  </conditionalFormatting>
  <conditionalFormatting sqref="O116:O129 O167:O180">
    <cfRule type="cellIs" dxfId="11467" priority="217" operator="greaterThan">
      <formula>0</formula>
    </cfRule>
  </conditionalFormatting>
  <conditionalFormatting sqref="O133:O146">
    <cfRule type="cellIs" dxfId="11466" priority="28" operator="greaterThan">
      <formula>0</formula>
    </cfRule>
  </conditionalFormatting>
  <conditionalFormatting sqref="O150:O163">
    <cfRule type="cellIs" dxfId="11465" priority="17" operator="greaterThan">
      <formula>0</formula>
    </cfRule>
  </conditionalFormatting>
  <conditionalFormatting sqref="O183:O197">
    <cfRule type="cellIs" dxfId="11464" priority="753" operator="greaterThan">
      <formula>0</formula>
    </cfRule>
  </conditionalFormatting>
  <conditionalFormatting sqref="Q16">
    <cfRule type="cellIs" dxfId="11463" priority="486" operator="greaterThan">
      <formula>0</formula>
    </cfRule>
    <cfRule type="expression" dxfId="11462" priority="487">
      <formula>$B$9="EURO"</formula>
    </cfRule>
    <cfRule type="expression" dxfId="11461" priority="488">
      <formula>$B$9="USD"</formula>
    </cfRule>
    <cfRule type="expression" dxfId="11460" priority="489">
      <formula>$B$9="PLN"</formula>
    </cfRule>
    <cfRule type="expression" dxfId="11459" priority="490">
      <formula>$B$9="CZK"</formula>
    </cfRule>
  </conditionalFormatting>
  <dataValidations count="7">
    <dataValidation type="list" allowBlank="1" showInputMessage="1" showErrorMessage="1" sqref="C27 C78 C95 C44 C61 C112 C129 C146 C163 C180" xr:uid="{FB7876D2-F8AB-452D-B5B8-E19DE8047C64}">
      <formula1>"0,0.5,1,1.5,2,2.5,3,3.5,4,4.5,5"</formula1>
    </dataValidation>
    <dataValidation type="list" allowBlank="1" showInputMessage="1" showErrorMessage="1" errorTitle="Minimum number of sections " error="Must be greater than zero" sqref="H14 H65 H48 H31 H82 H99 H116 H133 H150 H167" xr:uid="{4FE552E8-F032-4798-8F07-ECD47B2CABBA}">
      <formula1>"1,2,3,4,5,6,7,8,9,10"</formula1>
    </dataValidation>
    <dataValidation type="list" allowBlank="1" showInputMessage="1" showErrorMessage="1" sqref="C71:C72 C37:C38 C88:C89 C20:C21 I84 I16 C54:C55 I67 I33 I50 C105:C106 I101 C122:C123 I118 C139:C140 I135 C156:C157 I152 C173:C174 I169" xr:uid="{122DA972-3373-4D77-BE14-EFCD3F0F8B47}">
      <formula1>"0,1,2,3,4,5,6,7,8,9,10,11,12,13,14,15,16,17,18,19,20"</formula1>
    </dataValidation>
    <dataValidation operator="greaterThan" allowBlank="1" showInputMessage="1" showErrorMessage="1" sqref="E14 E65 E48 E31 E82 E99 E116 E133 E150 E167" xr:uid="{954D9280-FF99-4E5D-916E-A45A9C9116AB}"/>
    <dataValidation type="list" allowBlank="1" showInputMessage="1" showErrorMessage="1" sqref="C99 C31 C82 C65 C48 C14 C116 C150 C133 C167" xr:uid="{A1B33BC9-FBD7-443E-9165-F2265D1CD02E}">
      <formula1>"WALL, ISLAND"</formula1>
    </dataValidation>
    <dataValidation type="list" allowBlank="1" showInputMessage="1" showErrorMessage="1" sqref="G181" xr:uid="{694E9951-0BD0-4FD6-9B73-EF8C05E4824F}">
      <formula1>#REF!</formula1>
    </dataValidation>
    <dataValidation type="list" allowBlank="1" showInputMessage="1" showErrorMessage="1" sqref="D26 D94 D77 D60 D43 D111 D128 D145 D162 D179" xr:uid="{4131F884-2C45-49F9-A119-468469376302}">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ignoredErrors>
    <ignoredError sqref="K15:K16 L12 L29 K32:K33 L46 K49:K50 K66 L80 K83 K100 L97 L114 K117:K118 L131 K134 L148 K151 L165 K168:K169" formula="1"/>
  </ignoredErrors>
  <drawing r:id="rId2"/>
  <extLst>
    <ext xmlns:x14="http://schemas.microsoft.com/office/spreadsheetml/2009/9/main" uri="{78C0D931-6437-407d-A8EE-F0AAD7539E65}">
      <x14:conditionalFormattings>
        <x14:conditionalFormatting xmlns:xm="http://schemas.microsoft.com/office/excel/2006/main">
          <x14:cfRule type="containsText" priority="727" operator="containsText" id="{BEFFD306-1692-476E-8506-019524728BF6}">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745" operator="containsText" id="{52D2B3AF-B3DC-462C-A6D2-7B5B4AED60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81" operator="containsText" id="{8AA8F730-B37C-4DC5-A790-2D4C056F2A6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684" operator="containsText" id="{C13742DB-DDCE-4A8D-ADC1-B4AB192404D5}">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650" operator="containsText" id="{6C68C9C8-C110-4496-A7CD-C13E73FD68D6}">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653" operator="containsText" id="{18B87946-F97A-4D85-812C-29730FE7CCE7}">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619" operator="containsText" id="{EF7CCF9B-6425-4780-BA08-506109C68C7C}">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623" operator="containsText" id="{757E3A84-9BC2-4212-A4EE-2E0FB0C1B9A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87" operator="containsText" id="{4A1B643F-3F2F-4082-ADF9-5C9651272C8D}">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91" operator="containsText" id="{465461F8-B746-42D5-A26E-9414A46531B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556" operator="containsText" id="{74F93450-8861-459C-94F6-A90CEE49BC7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559" operator="containsText" id="{2FF563AB-A70E-4A97-B0FE-3DD54B058590}">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27" operator="containsText" id="{69CB2625-3EBE-4C3B-8302-5D530AF32208}">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30" operator="containsText" id="{74119339-1A34-4486-9329-FFBBB1B0672B}">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F968E7E-767E-4893-B8DF-35CC922F7665}">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3AF20D4F-4E2A-4C2D-927E-496ED53D676B}">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1889F1C-1935-4A8A-A4D2-D75BB5C7AC77}">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42D8C863-6F80-4837-A5DB-6B4AD9C355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EDE79650-B85D-4FDE-A872-73F3B387B870}">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8FF066-9E94-49BC-B425-72318EA90869}">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E09FC5A1-3DBB-46DC-B8E4-B11662B18C61}">
          <x14:formula1>
            <xm:f>'Base Costs'!$M$4:$M$23</xm:f>
          </x14:formula1>
          <xm:sqref>C15</xm:sqref>
        </x14:dataValidation>
        <x14:dataValidation type="list" allowBlank="1" showInputMessage="1" showErrorMessage="1" xr:uid="{6562BB6D-2EDC-4D8D-8A92-B817651CBD5C}">
          <x14:formula1>
            <xm:f>'Base Costs'!$M$4:$M$21</xm:f>
          </x14:formula1>
          <xm:sqref>C32 C151 C134 C168 C100 C49 C66 C83 C117</xm:sqref>
        </x14:dataValidation>
        <x14:dataValidation type="list" allowBlank="1" showInputMessage="1" showErrorMessage="1" xr:uid="{8E3BB70A-011B-4665-9420-87F3F6E07CE9}">
          <x14:formula1>
            <xm:f>'Base Costs'!$A$39:$A$53</xm:f>
          </x14:formula1>
          <xm:sqref>D14 D150 D133 D167 D31 D99 D48 D82 D65 D116</xm:sqref>
        </x14:dataValidation>
        <x14:dataValidation type="list" allowBlank="1" showInputMessage="1" showErrorMessage="1" xr:uid="{EF27B5A6-904B-4FD0-AA9E-04A227A6D81D}">
          <x14:formula1>
            <xm:f>CCBASE!$A$53:$A$73</xm:f>
          </x14:formula1>
          <xm:sqref>C52 C69 C18 C35 C103 C86 C120 C154 C137 C171</xm:sqref>
        </x14:dataValidation>
        <x14:dataValidation type="list" allowBlank="1" showInputMessage="1" showErrorMessage="1" xr:uid="{170A87DC-F9E5-4247-97C0-398DCAC1E549}">
          <x14:formula1>
            <xm:f>CCBASE!$A$81:$A$85</xm:f>
          </x14:formula1>
          <xm:sqref>C25 C42 C93 C76 C59 C110 C127 C144 C161 C178</xm:sqref>
        </x14:dataValidation>
        <x14:dataValidation type="list" allowBlank="1" showInputMessage="1" showErrorMessage="1" xr:uid="{7EAD99DE-62C9-4387-AD1C-4C3F5C2BFD45}">
          <x14:formula1>
            <xm:f>'Base Costs'!$A$32:$A$37</xm:f>
          </x14:formula1>
          <xm:sqref>B9</xm:sqref>
        </x14:dataValidation>
        <x14:dataValidation type="list" allowBlank="1" showInputMessage="1" showErrorMessage="1" xr:uid="{C6E344F8-5E00-46E7-A7B1-69CA07E34777}">
          <x14:formula1>
            <xm:f>'Base Costs'!$E$4:$E$213</xm:f>
          </x14:formula1>
          <xm:sqref>D183 D186</xm:sqref>
        </x14:dataValidation>
        <x14:dataValidation type="list" allowBlank="1" showInputMessage="1" showErrorMessage="1" xr:uid="{8B624E54-A610-4F5F-8E5F-0779D220602E}">
          <x14:formula1>
            <xm:f>'Base Costs'!$A$4:$A$16</xm:f>
          </x14:formula1>
          <xm:sqref>D184:D185</xm:sqref>
        </x14:dataValidation>
        <x14:dataValidation type="list" allowBlank="1" showInputMessage="1" showErrorMessage="1" xr:uid="{BB1290A8-DC90-436E-91A9-462B3DAB662D}">
          <x14:formula1>
            <xm:f>'Base Costs'!$A$19:$A$22</xm:f>
          </x14:formula1>
          <xm:sqref>C19 C138 C155 C172 C36 C87 C70 C53 C104 C121</xm:sqref>
        </x14:dataValidation>
        <x14:dataValidation type="list" allowBlank="1" showInputMessage="1" showErrorMessage="1" xr:uid="{C0F05A1B-8B68-4647-98AF-03C9F714CC8B}">
          <x14:formula1>
            <xm:f>'Base Costs'!$Q$35:$Q$45</xm:f>
          </x14:formula1>
          <xm:sqref>C43 C145 C162 C179 C60 C77 C94 C111 C26 C128</xm:sqref>
        </x14:dataValidation>
        <x14:dataValidation type="list" allowBlank="1" showInputMessage="1" showErrorMessage="1" xr:uid="{E07EA41F-9D8F-400D-AB93-D001A9EFC28B}">
          <x14:formula1>
            <xm:f>'Base Costs'!$U$4:$U$41</xm:f>
          </x14:formula1>
          <xm:sqref>C33 C152 C135 C169 C16 C101 C84 C67 C50 C118</xm:sqref>
        </x14:dataValidation>
        <x14:dataValidation type="list" allowBlank="1" showInputMessage="1" showErrorMessage="1" xr:uid="{82F077B8-85AA-46B9-A346-56C00C4CE3E9}">
          <x14:formula1>
            <xm:f>'Base Costs'!$U$44:$U$56</xm:f>
          </x14:formula1>
          <xm:sqref>C17 C170 C153 C136 C119 C102 C85 C68 C51 C34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8" tint="0.79998168889431442"/>
    <pageSetUpPr fitToPage="1"/>
  </sheetPr>
  <dimension ref="A1:AE117"/>
  <sheetViews>
    <sheetView topLeftCell="A14" zoomScale="80" zoomScaleNormal="80" workbookViewId="0">
      <selection activeCell="R29" sqref="R29"/>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56" t="s">
        <v>1502</v>
      </c>
      <c r="C1" s="1156"/>
      <c r="D1" s="1156"/>
      <c r="E1" s="160"/>
      <c r="F1" s="161"/>
      <c r="G1" s="162"/>
      <c r="H1" s="163"/>
      <c r="I1" s="161"/>
      <c r="J1" s="161"/>
      <c r="K1" s="989" t="s">
        <v>1501</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8" t="e">
        <f>IF(#REF!="","",#REF!)</f>
        <v>#REF!</v>
      </c>
      <c r="D4" s="1158"/>
      <c r="E4" s="177" t="s">
        <v>78</v>
      </c>
      <c r="F4" s="1159" t="e">
        <f>IF(#REF!="","",#REF!)</f>
        <v>#REF!</v>
      </c>
      <c r="G4" s="1159"/>
      <c r="H4" s="1159"/>
      <c r="I4" s="1157"/>
      <c r="J4" s="1157"/>
      <c r="K4" s="1157"/>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8" t="e">
        <f>IF(#REF!="","",#REF!)</f>
        <v>#REF!</v>
      </c>
      <c r="D6" s="1158"/>
      <c r="E6" s="177" t="s">
        <v>77</v>
      </c>
      <c r="F6" s="1159" t="e">
        <f>IF(#REF!="","",#REF!)</f>
        <v>#REF!</v>
      </c>
      <c r="G6" s="1159"/>
      <c r="H6" s="1159"/>
      <c r="I6" s="1157"/>
      <c r="J6" s="1157"/>
      <c r="K6" s="1157"/>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8" t="e">
        <f>IF(#REF!="","",#REF!)</f>
        <v>#REF!</v>
      </c>
      <c r="D8" s="1158"/>
      <c r="E8" s="181" t="s">
        <v>76</v>
      </c>
      <c r="F8" s="1160" t="e">
        <f>IF(#REF!="","",#REF!)</f>
        <v>#REF!</v>
      </c>
      <c r="G8" s="1160"/>
      <c r="H8" s="1160"/>
      <c r="J8" s="187" t="s">
        <v>79</v>
      </c>
      <c r="K8" s="1148" t="e">
        <f>IF(#REF!="","",#REF!)</f>
        <v>#REF!</v>
      </c>
      <c r="L8" s="1148"/>
      <c r="M8" s="467"/>
      <c r="N8" s="1094" t="s">
        <v>1409</v>
      </c>
      <c r="O8" s="1094"/>
      <c r="P8" s="1094"/>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0"/>
      <c r="F10" s="1151"/>
      <c r="G10" s="25">
        <f>SUBTOTAL(9,G14:G102)</f>
        <v>1488</v>
      </c>
      <c r="H10" s="981">
        <f>IF(K10=0,"-",K10/I10)</f>
        <v>0.40143664399961704</v>
      </c>
      <c r="I10" s="25">
        <f>SUBTOTAL(9,I14:I102)</f>
        <v>2485.9523809523807</v>
      </c>
      <c r="J10" s="464">
        <f>SUBTOTAL(9,J14:J102)</f>
        <v>2485.9523809523807</v>
      </c>
      <c r="K10" s="25">
        <f>SUBTOTAL(9,K14:K102)</f>
        <v>997.95238095238119</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1488</v>
      </c>
      <c r="H13" s="145">
        <f>IF(G13=0,"-",K13/I13)</f>
        <v>0.40143664399961704</v>
      </c>
      <c r="I13" s="61">
        <f>SUBTOTAL(9,I14:I32)</f>
        <v>2485.9523809523807</v>
      </c>
      <c r="J13" s="465">
        <f>SUBTOTAL(9,J14:J32)</f>
        <v>2485.9523809523807</v>
      </c>
      <c r="K13" s="61">
        <f>SUBTOTAL(9,K14:K32)</f>
        <v>997.95238095238119</v>
      </c>
      <c r="L13" s="469"/>
      <c r="O13" s="840" t="s">
        <v>918</v>
      </c>
      <c r="Q13" s="1154" t="s">
        <v>664</v>
      </c>
      <c r="R13" s="1155"/>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ref="K15:K32" si="3">I15-G15</f>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3"/>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3"/>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3"/>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3"/>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3"/>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3"/>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3"/>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3"/>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3"/>
        <v>0</v>
      </c>
      <c r="L24" s="469"/>
      <c r="M24" s="469"/>
      <c r="N24" s="469"/>
      <c r="Q24" s="164"/>
      <c r="R24" s="164"/>
    </row>
    <row r="25" spans="1:18" ht="15.75" customHeight="1" x14ac:dyDescent="0.2">
      <c r="B25" s="992" t="s">
        <v>1351</v>
      </c>
      <c r="C25" s="1007">
        <v>1</v>
      </c>
      <c r="D25" s="992" t="s">
        <v>1405</v>
      </c>
      <c r="E25" s="1008"/>
      <c r="F25" s="1009">
        <v>50</v>
      </c>
      <c r="G25" s="1010">
        <f t="shared" ref="G25" si="4">C25*F25</f>
        <v>50</v>
      </c>
      <c r="H25" s="1011">
        <v>0.44</v>
      </c>
      <c r="I25" s="1012">
        <f t="shared" ref="I25" si="5">G25/(1-H25)*(1+$C$10)</f>
        <v>89.285714285714278</v>
      </c>
      <c r="J25" s="1010">
        <f>I25*VLOOKUP($B$10,'Base Costs'!$A$32:$B$37,2,FALSE)</f>
        <v>89.285714285714278</v>
      </c>
      <c r="K25" s="1013">
        <f t="shared" ref="K25" si="6">I25-G25</f>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3"/>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3"/>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3"/>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3"/>
        <v>0</v>
      </c>
      <c r="L29" s="469"/>
      <c r="M29" s="469"/>
      <c r="N29" s="469"/>
      <c r="Q29" s="164"/>
      <c r="R29" s="164"/>
    </row>
    <row r="30" spans="1:18" ht="15.75" customHeight="1" x14ac:dyDescent="0.2">
      <c r="A30" s="299">
        <v>268</v>
      </c>
      <c r="B30" s="269" t="s">
        <v>54</v>
      </c>
      <c r="C30" s="314">
        <v>1</v>
      </c>
      <c r="D30" s="269" t="s">
        <v>491</v>
      </c>
      <c r="E30" s="315"/>
      <c r="F30" s="380">
        <f>'Base Costs'!AX22</f>
        <v>700</v>
      </c>
      <c r="G30" s="378">
        <f t="shared" si="2"/>
        <v>700</v>
      </c>
      <c r="H30" s="381">
        <v>0.4</v>
      </c>
      <c r="I30" s="311">
        <f t="shared" si="0"/>
        <v>1166.6666666666667</v>
      </c>
      <c r="J30" s="378">
        <f>I30*VLOOKUP($B$10,'Base Costs'!$A$32:$B$37,2,FALSE)</f>
        <v>1166.6666666666667</v>
      </c>
      <c r="K30" s="379">
        <f t="shared" si="3"/>
        <v>466.66666666666674</v>
      </c>
      <c r="L30" s="469"/>
      <c r="M30" s="469"/>
      <c r="N30" s="469"/>
      <c r="Q30" s="164"/>
      <c r="R30" s="164"/>
    </row>
    <row r="31" spans="1:18" ht="15.75" customHeight="1" x14ac:dyDescent="0.2">
      <c r="A31" s="299">
        <v>268</v>
      </c>
      <c r="B31" s="269" t="s">
        <v>55</v>
      </c>
      <c r="C31" s="314">
        <v>1</v>
      </c>
      <c r="D31" s="269" t="s">
        <v>491</v>
      </c>
      <c r="E31" s="315"/>
      <c r="F31" s="380">
        <f>'Base Costs'!AX23</f>
        <v>380</v>
      </c>
      <c r="G31" s="378">
        <f t="shared" si="2"/>
        <v>380</v>
      </c>
      <c r="H31" s="381">
        <v>0.4</v>
      </c>
      <c r="I31" s="311">
        <f t="shared" si="0"/>
        <v>633.33333333333337</v>
      </c>
      <c r="J31" s="378">
        <f>I31*VLOOKUP($B$10,'Base Costs'!$A$32:$B$37,2,FALSE)</f>
        <v>633.33333333333337</v>
      </c>
      <c r="K31" s="379">
        <f t="shared" si="3"/>
        <v>253.33333333333337</v>
      </c>
      <c r="L31" s="469"/>
      <c r="M31" s="469"/>
      <c r="N31" s="469"/>
      <c r="Q31" s="164"/>
      <c r="R31" s="164"/>
    </row>
    <row r="32" spans="1:18" ht="15.75" customHeight="1" x14ac:dyDescent="0.2">
      <c r="A32" s="299">
        <v>268</v>
      </c>
      <c r="B32" s="269" t="s">
        <v>56</v>
      </c>
      <c r="C32" s="314">
        <v>1</v>
      </c>
      <c r="D32" s="269" t="s">
        <v>442</v>
      </c>
      <c r="E32" s="315"/>
      <c r="F32" s="380">
        <f>'Base Costs'!AX24</f>
        <v>358</v>
      </c>
      <c r="G32" s="378">
        <f t="shared" si="2"/>
        <v>358</v>
      </c>
      <c r="H32" s="381">
        <v>0.4</v>
      </c>
      <c r="I32" s="311">
        <f t="shared" si="0"/>
        <v>596.66666666666674</v>
      </c>
      <c r="J32" s="378">
        <f>I32*VLOOKUP($B$10,'Base Costs'!$A$32:$B$37,2,FALSE)</f>
        <v>596.66666666666674</v>
      </c>
      <c r="K32" s="379">
        <f t="shared" si="3"/>
        <v>238.66666666666674</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61"/>
      <c r="P34" s="1161"/>
      <c r="Q34" s="815"/>
      <c r="R34" s="815"/>
      <c r="S34" s="1162"/>
      <c r="T34" s="1162"/>
      <c r="U34" s="1162"/>
      <c r="V34" s="1162"/>
      <c r="Y34" s="1163"/>
      <c r="Z34" s="1163"/>
      <c r="AA34" s="1163"/>
      <c r="AB34" s="1163"/>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7">G35/(1-H35)*(1+$C$10)</f>
        <v>0</v>
      </c>
      <c r="J35" s="378">
        <f>I35*VLOOKUP($B$10,'Base Costs'!$A$32:$B$37,2,FALSE)</f>
        <v>0</v>
      </c>
      <c r="K35" s="379">
        <f t="shared" ref="K35:K68" si="8">I35-G35</f>
        <v>0</v>
      </c>
      <c r="L35" s="818"/>
      <c r="M35" s="818"/>
      <c r="O35" s="1149"/>
      <c r="P35" s="1149"/>
      <c r="Q35" s="815"/>
      <c r="R35" s="815"/>
      <c r="S35" s="1152"/>
      <c r="T35" s="1152"/>
      <c r="U35" s="1152"/>
      <c r="V35" s="1152"/>
      <c r="W35" s="822"/>
      <c r="Y35" s="1152"/>
      <c r="Z35" s="1152"/>
      <c r="AA35" s="1152"/>
      <c r="AB35" s="1152"/>
      <c r="AC35" s="822"/>
      <c r="AE35" s="166"/>
    </row>
    <row r="36" spans="1:31" ht="15.75" customHeight="1" x14ac:dyDescent="0.2">
      <c r="A36" s="299">
        <v>266</v>
      </c>
      <c r="B36" s="269" t="s">
        <v>917</v>
      </c>
      <c r="C36" s="314"/>
      <c r="D36" s="816"/>
      <c r="E36" s="269"/>
      <c r="F36" s="380">
        <f>'Base Costs'!AX50</f>
        <v>151.72839999999999</v>
      </c>
      <c r="G36" s="378">
        <f t="shared" ref="G36:G68" si="9">C36*F36</f>
        <v>0</v>
      </c>
      <c r="H36" s="381">
        <v>0.37</v>
      </c>
      <c r="I36" s="378">
        <f t="shared" si="7"/>
        <v>0</v>
      </c>
      <c r="J36" s="378">
        <f>I36*VLOOKUP($B$10,'Base Costs'!$A$32:$B$37,2,FALSE)</f>
        <v>0</v>
      </c>
      <c r="K36" s="379">
        <f t="shared" si="8"/>
        <v>0</v>
      </c>
      <c r="L36" s="818"/>
      <c r="M36" s="818"/>
      <c r="O36" s="1149"/>
      <c r="P36" s="1149"/>
      <c r="Q36" s="815"/>
      <c r="R36" s="815"/>
      <c r="S36" s="1152"/>
      <c r="T36" s="1152"/>
      <c r="U36" s="1152"/>
      <c r="V36" s="1152"/>
      <c r="W36" s="822"/>
      <c r="Y36" s="1152"/>
      <c r="Z36" s="1152"/>
      <c r="AA36" s="1152"/>
      <c r="AB36" s="1152"/>
      <c r="AC36" s="822"/>
      <c r="AE36" s="166"/>
    </row>
    <row r="37" spans="1:31" ht="15.75" customHeight="1" x14ac:dyDescent="0.2">
      <c r="A37" s="299">
        <v>266</v>
      </c>
      <c r="B37" s="269"/>
      <c r="C37" s="314"/>
      <c r="D37" s="816"/>
      <c r="E37" s="269"/>
      <c r="F37" s="380">
        <f>'Base Costs'!AX51</f>
        <v>0</v>
      </c>
      <c r="G37" s="378">
        <f t="shared" si="9"/>
        <v>0</v>
      </c>
      <c r="H37" s="381">
        <v>0.37</v>
      </c>
      <c r="I37" s="378">
        <f t="shared" si="7"/>
        <v>0</v>
      </c>
      <c r="J37" s="378">
        <f>I37*VLOOKUP($B$10,'Base Costs'!$A$32:$B$37,2,FALSE)</f>
        <v>0</v>
      </c>
      <c r="K37" s="379">
        <f t="shared" si="8"/>
        <v>0</v>
      </c>
      <c r="L37" s="818"/>
      <c r="M37" s="818"/>
      <c r="O37" s="1149"/>
      <c r="P37" s="1149"/>
      <c r="Q37" s="815"/>
      <c r="R37" s="815"/>
      <c r="S37" s="1152"/>
      <c r="T37" s="1152"/>
      <c r="U37" s="1152"/>
      <c r="V37" s="1152"/>
      <c r="W37" s="822"/>
      <c r="Y37" s="1152"/>
      <c r="Z37" s="1152"/>
      <c r="AA37" s="1152"/>
      <c r="AB37" s="1152"/>
      <c r="AC37" s="822"/>
      <c r="AE37" s="166"/>
    </row>
    <row r="38" spans="1:31" ht="15.75" customHeight="1" x14ac:dyDescent="0.2">
      <c r="A38" s="299">
        <v>266</v>
      </c>
      <c r="B38" s="269" t="s">
        <v>474</v>
      </c>
      <c r="C38" s="314"/>
      <c r="D38" s="1077"/>
      <c r="E38" s="269"/>
      <c r="F38" s="380">
        <f>'Base Costs'!AX52</f>
        <v>0</v>
      </c>
      <c r="G38" s="378">
        <f t="shared" si="9"/>
        <v>0</v>
      </c>
      <c r="H38" s="381">
        <v>0.37</v>
      </c>
      <c r="I38" s="378">
        <f t="shared" si="7"/>
        <v>0</v>
      </c>
      <c r="J38" s="839">
        <f>I38*VLOOKUP($B$10,'Base Costs'!$A$32:$B$37,2,FALSE)</f>
        <v>0</v>
      </c>
      <c r="K38" s="379">
        <f t="shared" si="8"/>
        <v>0</v>
      </c>
      <c r="L38" s="818"/>
      <c r="M38" s="818"/>
      <c r="N38" s="97" t="s">
        <v>1481</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9"/>
        <v>0</v>
      </c>
      <c r="H39" s="381">
        <v>0.37</v>
      </c>
      <c r="I39" s="378">
        <f t="shared" si="7"/>
        <v>0</v>
      </c>
      <c r="J39" s="378">
        <f>I39*VLOOKUP($B$10,'Base Costs'!$A$32:$B$37,2,FALSE)</f>
        <v>0</v>
      </c>
      <c r="K39" s="379">
        <f t="shared" si="8"/>
        <v>0</v>
      </c>
      <c r="L39" s="818"/>
      <c r="M39" s="818"/>
      <c r="O39" s="1149"/>
      <c r="P39" s="1149"/>
      <c r="Q39" s="815"/>
      <c r="R39" s="815"/>
      <c r="S39" s="1152"/>
      <c r="T39" s="1152"/>
      <c r="U39" s="1152"/>
      <c r="V39" s="1152"/>
      <c r="W39" s="822"/>
      <c r="Y39" s="1152"/>
      <c r="Z39" s="1152"/>
      <c r="AA39" s="1152"/>
      <c r="AB39" s="1152"/>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7"/>
        <v>0</v>
      </c>
      <c r="J40" s="378">
        <f>IFERROR((I40*VLOOKUP($B$10,'Base Costs'!$A$32:$B$37,2,FALSE)),0)</f>
        <v>0</v>
      </c>
      <c r="K40" s="379">
        <f>I40-G40</f>
        <v>0</v>
      </c>
      <c r="L40" s="818"/>
      <c r="M40" s="818"/>
      <c r="O40" s="1149"/>
      <c r="P40" s="1149"/>
      <c r="Q40" s="815"/>
      <c r="R40" s="815"/>
      <c r="S40" s="1152"/>
      <c r="T40" s="1152"/>
      <c r="U40" s="1152"/>
      <c r="V40" s="1152"/>
      <c r="W40" s="822"/>
      <c r="Y40" s="1152"/>
      <c r="Z40" s="1152"/>
      <c r="AA40" s="1152"/>
      <c r="AB40" s="1152"/>
      <c r="AC40" s="822"/>
      <c r="AE40" s="166"/>
    </row>
    <row r="41" spans="1:31" ht="15.75" customHeight="1" x14ac:dyDescent="0.2">
      <c r="A41" s="299">
        <v>266</v>
      </c>
      <c r="B41" s="269" t="s">
        <v>927</v>
      </c>
      <c r="C41" s="314"/>
      <c r="D41" s="269"/>
      <c r="E41" s="269"/>
      <c r="F41" s="380">
        <f>IFERROR((VLOOKUP(D41,'Base Costs'!$AU$56:$AX$61,4,FALSE)),0)</f>
        <v>0</v>
      </c>
      <c r="G41" s="378">
        <f t="shared" ref="G41:G47" si="10">C41*F41</f>
        <v>0</v>
      </c>
      <c r="H41" s="381">
        <v>0.37</v>
      </c>
      <c r="I41" s="378">
        <f t="shared" ref="I41:I47" si="11">G41/(1-H41)*(1+$C$10)</f>
        <v>0</v>
      </c>
      <c r="J41" s="378">
        <f>IFERROR((I41*VLOOKUP($B$10,'Base Costs'!$A$32:$B$37,2,FALSE)),0)</f>
        <v>0</v>
      </c>
      <c r="K41" s="379">
        <f t="shared" ref="K41:K47" si="12">I41-G41</f>
        <v>0</v>
      </c>
      <c r="L41" s="165"/>
      <c r="M41" s="165"/>
      <c r="O41" s="1149"/>
      <c r="P41" s="1149"/>
      <c r="Q41" s="815"/>
      <c r="R41" s="815"/>
      <c r="Y41" s="1153"/>
      <c r="Z41" s="1153"/>
      <c r="AA41" s="1153"/>
      <c r="AB41" s="1153"/>
      <c r="AC41" s="824"/>
      <c r="AE41" s="166"/>
    </row>
    <row r="42" spans="1:31" ht="15.75" customHeight="1" x14ac:dyDescent="0.2">
      <c r="B42" s="269" t="s">
        <v>928</v>
      </c>
      <c r="C42" s="314"/>
      <c r="D42" s="269"/>
      <c r="E42" s="269"/>
      <c r="F42" s="380">
        <f>IFERROR((VLOOKUP(D42,'Base Costs'!$AU$56:$AX$61,4,FALSE)),0)</f>
        <v>0</v>
      </c>
      <c r="G42" s="378">
        <f t="shared" si="10"/>
        <v>0</v>
      </c>
      <c r="H42" s="381">
        <v>0.37</v>
      </c>
      <c r="I42" s="378">
        <f t="shared" si="11"/>
        <v>0</v>
      </c>
      <c r="J42" s="378">
        <f>IFERROR((I42*VLOOKUP($B$10,'Base Costs'!$A$32:$B$37,2,FALSE)),0)</f>
        <v>0</v>
      </c>
      <c r="K42" s="379">
        <f t="shared" si="12"/>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10"/>
        <v>0</v>
      </c>
      <c r="H43" s="381">
        <v>0.37</v>
      </c>
      <c r="I43" s="378">
        <f t="shared" si="11"/>
        <v>0</v>
      </c>
      <c r="J43" s="378">
        <f>IFERROR((I43*VLOOKUP($B$10,'Base Costs'!$A$32:$B$37,2,FALSE)),0)</f>
        <v>0</v>
      </c>
      <c r="K43" s="379">
        <f t="shared" si="12"/>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10"/>
        <v>0</v>
      </c>
      <c r="H44" s="381">
        <v>0.37</v>
      </c>
      <c r="I44" s="378">
        <f t="shared" si="11"/>
        <v>0</v>
      </c>
      <c r="J44" s="378">
        <f>IFERROR((I44*VLOOKUP($B$10,'Base Costs'!$A$32:$B$37,2,FALSE)),0)</f>
        <v>0</v>
      </c>
      <c r="K44" s="379">
        <f t="shared" si="12"/>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10"/>
        <v>0</v>
      </c>
      <c r="H45" s="381">
        <v>0.37</v>
      </c>
      <c r="I45" s="378">
        <f t="shared" si="11"/>
        <v>0</v>
      </c>
      <c r="J45" s="378">
        <f>IFERROR((I45*VLOOKUP($B$10,'Base Costs'!$A$32:$B$37,2,FALSE)),0)</f>
        <v>0</v>
      </c>
      <c r="K45" s="379">
        <f t="shared" si="12"/>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10"/>
        <v>0</v>
      </c>
      <c r="H46" s="381">
        <v>0.37</v>
      </c>
      <c r="I46" s="378">
        <f t="shared" si="11"/>
        <v>0</v>
      </c>
      <c r="J46" s="378">
        <f>IFERROR((I46*VLOOKUP($B$10,'Base Costs'!$A$32:$B$37,2,FALSE)),0)</f>
        <v>0</v>
      </c>
      <c r="K46" s="379">
        <f t="shared" si="12"/>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10"/>
        <v>0</v>
      </c>
      <c r="H47" s="381">
        <v>0.37</v>
      </c>
      <c r="I47" s="378">
        <f t="shared" si="11"/>
        <v>0</v>
      </c>
      <c r="J47" s="378">
        <f>IFERROR((I47*VLOOKUP($B$10,'Base Costs'!$A$32:$B$37,2,FALSE)),0)</f>
        <v>0</v>
      </c>
      <c r="K47" s="379">
        <f t="shared" si="12"/>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Costs'!$AU$65:$BA$72,7,FALSE)),0)</f>
        <v>0</v>
      </c>
      <c r="M49" s="820">
        <f>L49*C49</f>
        <v>0</v>
      </c>
      <c r="N49" s="469"/>
      <c r="O49" s="1149"/>
      <c r="P49" s="1149"/>
      <c r="Q49" s="815"/>
      <c r="R49" s="815"/>
      <c r="Y49" s="1153"/>
      <c r="Z49" s="1153"/>
      <c r="AA49" s="1153"/>
      <c r="AB49" s="1153"/>
      <c r="AC49" s="824"/>
    </row>
    <row r="50" spans="1:29" ht="15.75" customHeight="1" x14ac:dyDescent="0.2">
      <c r="B50" s="269" t="s">
        <v>935</v>
      </c>
      <c r="C50" s="314"/>
      <c r="D50" s="269"/>
      <c r="E50" s="269"/>
      <c r="F50" s="380">
        <f>IFERROR((VLOOKUP(D50,'Base Costs'!$AU$65:$AX$72,4,FALSE)),0)</f>
        <v>0</v>
      </c>
      <c r="G50" s="378">
        <f t="shared" ref="G50:G56" si="13">C50*F50</f>
        <v>0</v>
      </c>
      <c r="H50" s="381">
        <v>0.37</v>
      </c>
      <c r="I50" s="378">
        <f t="shared" ref="I50:I56" si="14">G50/(1-H50)*(1+$C$10)</f>
        <v>0</v>
      </c>
      <c r="J50" s="378">
        <f>IFERROR((I50*VLOOKUP($B$10,'Base Costs'!$A$32:$B$37,2,FALSE)),0)</f>
        <v>0</v>
      </c>
      <c r="K50" s="379">
        <f t="shared" ref="K50:K56" si="15">I50-G50</f>
        <v>0</v>
      </c>
      <c r="L50" s="819">
        <f>IFERROR((VLOOKUP(D50,'Base Costs'!$AU$65:$BA$72,7,FALSE)),0)</f>
        <v>0</v>
      </c>
      <c r="M50" s="820">
        <f t="shared" ref="M50:M56" si="16">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13"/>
        <v>0</v>
      </c>
      <c r="H51" s="381">
        <v>0.37</v>
      </c>
      <c r="I51" s="378">
        <f t="shared" si="14"/>
        <v>0</v>
      </c>
      <c r="J51" s="378">
        <f>IFERROR((I51*VLOOKUP($B$10,'Base Costs'!$A$32:$B$37,2,FALSE)),0)</f>
        <v>0</v>
      </c>
      <c r="K51" s="379">
        <f t="shared" si="15"/>
        <v>0</v>
      </c>
      <c r="L51" s="819">
        <f>IFERROR((VLOOKUP(D51,'Base Costs'!$AU$65:$BA$72,7,FALSE)),0)</f>
        <v>0</v>
      </c>
      <c r="M51" s="820">
        <f t="shared" si="16"/>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13"/>
        <v>0</v>
      </c>
      <c r="H52" s="381">
        <v>0.37</v>
      </c>
      <c r="I52" s="378">
        <f t="shared" si="14"/>
        <v>0</v>
      </c>
      <c r="J52" s="378">
        <f>IFERROR((I52*VLOOKUP($B$10,'Base Costs'!$A$32:$B$37,2,FALSE)),0)</f>
        <v>0</v>
      </c>
      <c r="K52" s="379">
        <f t="shared" si="15"/>
        <v>0</v>
      </c>
      <c r="L52" s="819">
        <f>IFERROR((VLOOKUP(D52,'Base Costs'!$AU$65:$BA$72,7,FALSE)),0)</f>
        <v>0</v>
      </c>
      <c r="M52" s="820">
        <f t="shared" si="16"/>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13"/>
        <v>0</v>
      </c>
      <c r="H53" s="381">
        <v>0.37</v>
      </c>
      <c r="I53" s="378">
        <f t="shared" si="14"/>
        <v>0</v>
      </c>
      <c r="J53" s="378">
        <f>IFERROR((I53*VLOOKUP($B$10,'Base Costs'!$A$32:$B$37,2,FALSE)),0)</f>
        <v>0</v>
      </c>
      <c r="K53" s="379">
        <f t="shared" si="15"/>
        <v>0</v>
      </c>
      <c r="L53" s="819">
        <f>IFERROR((VLOOKUP(D53,'Base Costs'!$AU$65:$BA$72,7,FALSE)),0)</f>
        <v>0</v>
      </c>
      <c r="M53" s="820">
        <f t="shared" si="16"/>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13"/>
        <v>0</v>
      </c>
      <c r="H54" s="381">
        <v>0.37</v>
      </c>
      <c r="I54" s="378">
        <f t="shared" si="14"/>
        <v>0</v>
      </c>
      <c r="J54" s="378">
        <f>IFERROR((I54*VLOOKUP($B$10,'Base Costs'!$A$32:$B$37,2,FALSE)),0)</f>
        <v>0</v>
      </c>
      <c r="K54" s="379">
        <f t="shared" si="15"/>
        <v>0</v>
      </c>
      <c r="L54" s="819">
        <f>IFERROR((VLOOKUP(D54,'Base Costs'!$AU$65:$BA$72,7,FALSE)),0)</f>
        <v>0</v>
      </c>
      <c r="M54" s="820">
        <f t="shared" si="16"/>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13"/>
        <v>0</v>
      </c>
      <c r="H55" s="381">
        <v>0.37</v>
      </c>
      <c r="I55" s="378">
        <f t="shared" si="14"/>
        <v>0</v>
      </c>
      <c r="J55" s="378">
        <f>IFERROR((I55*VLOOKUP($B$10,'Base Costs'!$A$32:$B$37,2,FALSE)),0)</f>
        <v>0</v>
      </c>
      <c r="K55" s="379">
        <f t="shared" si="15"/>
        <v>0</v>
      </c>
      <c r="L55" s="819">
        <f>IFERROR((VLOOKUP(D55,'Base Costs'!$AU$65:$BA$72,7,FALSE)),0)</f>
        <v>0</v>
      </c>
      <c r="M55" s="820">
        <f t="shared" si="16"/>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13"/>
        <v>0</v>
      </c>
      <c r="H56" s="381">
        <v>0.37</v>
      </c>
      <c r="I56" s="378">
        <f t="shared" si="14"/>
        <v>0</v>
      </c>
      <c r="J56" s="378">
        <f>IFERROR((I56*VLOOKUP($B$10,'Base Costs'!$A$32:$B$37,2,FALSE)),0)</f>
        <v>0</v>
      </c>
      <c r="K56" s="379">
        <f t="shared" si="15"/>
        <v>0</v>
      </c>
      <c r="L56" s="819">
        <f>IFERROR((VLOOKUP(D56,'Base Costs'!$AU$65:$BA$72,7,FALSE)),0)</f>
        <v>0</v>
      </c>
      <c r="M56" s="820">
        <f t="shared" si="16"/>
        <v>0</v>
      </c>
      <c r="N56" s="469"/>
      <c r="O56" s="1149"/>
      <c r="P56" s="1149"/>
      <c r="Q56" s="815"/>
      <c r="R56" s="815"/>
      <c r="Y56" s="166"/>
    </row>
    <row r="57" spans="1:29" ht="15.75" customHeight="1" x14ac:dyDescent="0.2">
      <c r="A57" s="299">
        <v>266</v>
      </c>
      <c r="B57" s="269"/>
      <c r="C57" s="314"/>
      <c r="D57" s="269"/>
      <c r="E57" s="269"/>
      <c r="F57" s="380">
        <f>'Base Costs'!AX77</f>
        <v>0</v>
      </c>
      <c r="G57" s="378">
        <f t="shared" si="9"/>
        <v>0</v>
      </c>
      <c r="H57" s="381">
        <v>0.37</v>
      </c>
      <c r="I57" s="378">
        <f t="shared" si="7"/>
        <v>0</v>
      </c>
      <c r="J57" s="378">
        <f>I57*VLOOKUP($B$10,'Base Costs'!$A$32:$B$37,2,FALSE)</f>
        <v>0</v>
      </c>
      <c r="K57" s="379">
        <f t="shared" si="8"/>
        <v>0</v>
      </c>
      <c r="L57" s="469"/>
      <c r="M57" s="469"/>
      <c r="N57" s="469"/>
      <c r="O57" s="1149"/>
      <c r="P57" s="1149"/>
      <c r="Q57" s="815"/>
      <c r="R57" s="815"/>
      <c r="Y57" s="166"/>
    </row>
    <row r="58" spans="1:29" ht="15.75" customHeight="1" x14ac:dyDescent="0.2">
      <c r="A58" s="299">
        <v>266</v>
      </c>
      <c r="B58" s="269"/>
      <c r="C58" s="314"/>
      <c r="D58" s="269"/>
      <c r="E58" s="269"/>
      <c r="F58" s="380">
        <f>'Base Costs'!AX78</f>
        <v>0</v>
      </c>
      <c r="G58" s="378">
        <f t="shared" si="9"/>
        <v>0</v>
      </c>
      <c r="H58" s="381">
        <v>0.37</v>
      </c>
      <c r="I58" s="378">
        <f t="shared" si="7"/>
        <v>0</v>
      </c>
      <c r="J58" s="378">
        <f>I58*VLOOKUP($B$10,'Base Costs'!$A$32:$B$37,2,FALSE)</f>
        <v>0</v>
      </c>
      <c r="K58" s="379">
        <f t="shared" si="8"/>
        <v>0</v>
      </c>
      <c r="L58" s="469"/>
      <c r="M58" s="469"/>
      <c r="N58" s="469"/>
      <c r="O58" s="1149"/>
      <c r="P58" s="1149"/>
      <c r="Q58" s="815"/>
      <c r="R58" s="815"/>
      <c r="Y58" s="166"/>
    </row>
    <row r="59" spans="1:29" ht="15.75" customHeight="1" x14ac:dyDescent="0.2">
      <c r="A59" s="299">
        <v>266</v>
      </c>
      <c r="B59" s="269"/>
      <c r="C59" s="314"/>
      <c r="D59" s="269"/>
      <c r="E59" s="269"/>
      <c r="F59" s="380">
        <f>'Base Costs'!AX79</f>
        <v>0</v>
      </c>
      <c r="G59" s="378">
        <f t="shared" si="9"/>
        <v>0</v>
      </c>
      <c r="H59" s="381">
        <v>0.37</v>
      </c>
      <c r="I59" s="378">
        <f t="shared" si="7"/>
        <v>0</v>
      </c>
      <c r="J59" s="378">
        <f>I59*VLOOKUP($B$10,'Base Costs'!$A$32:$B$37,2,FALSE)</f>
        <v>0</v>
      </c>
      <c r="K59" s="379">
        <f t="shared" si="8"/>
        <v>0</v>
      </c>
      <c r="L59" s="469"/>
      <c r="M59" s="469"/>
      <c r="N59" s="469"/>
      <c r="O59" s="1149"/>
      <c r="P59" s="1149"/>
      <c r="Q59" s="815"/>
      <c r="R59" s="815"/>
      <c r="AC59" s="825"/>
    </row>
    <row r="60" spans="1:29" ht="15.75" customHeight="1" x14ac:dyDescent="0.2">
      <c r="A60" s="299">
        <v>266</v>
      </c>
      <c r="B60" s="269"/>
      <c r="C60" s="314"/>
      <c r="D60" s="269"/>
      <c r="E60" s="269"/>
      <c r="F60" s="380">
        <f>'Base Costs'!AX80</f>
        <v>0</v>
      </c>
      <c r="G60" s="378">
        <f t="shared" si="9"/>
        <v>0</v>
      </c>
      <c r="H60" s="381">
        <v>0.37</v>
      </c>
      <c r="I60" s="378">
        <f t="shared" si="7"/>
        <v>0</v>
      </c>
      <c r="J60" s="378">
        <f>I60*VLOOKUP($B$10,'Base Costs'!$A$32:$B$37,2,FALSE)</f>
        <v>0</v>
      </c>
      <c r="K60" s="379">
        <f t="shared" si="8"/>
        <v>0</v>
      </c>
      <c r="L60" s="469"/>
      <c r="M60" s="469"/>
      <c r="N60" s="469"/>
      <c r="O60" s="1149"/>
      <c r="P60" s="1149"/>
      <c r="Q60" s="815"/>
      <c r="R60" s="815"/>
    </row>
    <row r="61" spans="1:29" ht="15.75" customHeight="1" x14ac:dyDescent="0.2">
      <c r="A61" s="299">
        <v>266</v>
      </c>
      <c r="B61" s="269"/>
      <c r="C61" s="314"/>
      <c r="D61" s="269"/>
      <c r="E61" s="269"/>
      <c r="F61" s="380">
        <f>'Base Costs'!AX81</f>
        <v>0</v>
      </c>
      <c r="G61" s="378">
        <f t="shared" si="9"/>
        <v>0</v>
      </c>
      <c r="H61" s="381">
        <v>0.37</v>
      </c>
      <c r="I61" s="378">
        <f t="shared" si="7"/>
        <v>0</v>
      </c>
      <c r="J61" s="378">
        <f>I61*VLOOKUP($B$10,'Base Costs'!$A$32:$B$37,2,FALSE)</f>
        <v>0</v>
      </c>
      <c r="K61" s="379">
        <f t="shared" si="8"/>
        <v>0</v>
      </c>
      <c r="L61" s="469"/>
      <c r="M61" s="469"/>
      <c r="N61" s="469"/>
      <c r="O61" s="1149"/>
      <c r="P61" s="1149"/>
      <c r="Q61" s="815"/>
      <c r="R61" s="815"/>
    </row>
    <row r="62" spans="1:29" ht="15.75" customHeight="1" x14ac:dyDescent="0.2">
      <c r="A62" s="299">
        <v>266</v>
      </c>
      <c r="B62" s="269"/>
      <c r="C62" s="314"/>
      <c r="D62" s="269"/>
      <c r="E62" s="269"/>
      <c r="F62" s="380">
        <f>'Base Costs'!AX82</f>
        <v>0</v>
      </c>
      <c r="G62" s="378">
        <f t="shared" si="9"/>
        <v>0</v>
      </c>
      <c r="H62" s="381">
        <v>0.37</v>
      </c>
      <c r="I62" s="378">
        <f t="shared" si="7"/>
        <v>0</v>
      </c>
      <c r="J62" s="378">
        <f>I62*VLOOKUP($B$10,'Base Costs'!$A$32:$B$37,2,FALSE)</f>
        <v>0</v>
      </c>
      <c r="K62" s="379">
        <f t="shared" si="8"/>
        <v>0</v>
      </c>
      <c r="L62" s="469"/>
      <c r="M62" s="469"/>
      <c r="N62" s="469"/>
      <c r="O62" s="1149"/>
      <c r="P62" s="1149"/>
      <c r="Q62" s="815"/>
      <c r="R62" s="815"/>
    </row>
    <row r="63" spans="1:29" ht="15.75" customHeight="1" x14ac:dyDescent="0.2">
      <c r="A63" s="299">
        <v>266</v>
      </c>
      <c r="B63" s="269"/>
      <c r="C63" s="314"/>
      <c r="D63" s="269"/>
      <c r="E63" s="269"/>
      <c r="F63" s="380">
        <f>'Base Costs'!AX83</f>
        <v>0</v>
      </c>
      <c r="G63" s="378">
        <f t="shared" si="9"/>
        <v>0</v>
      </c>
      <c r="H63" s="381">
        <v>0.37</v>
      </c>
      <c r="I63" s="378">
        <f t="shared" si="7"/>
        <v>0</v>
      </c>
      <c r="J63" s="378">
        <f>I63*VLOOKUP($B$10,'Base Costs'!$A$32:$B$37,2,FALSE)</f>
        <v>0</v>
      </c>
      <c r="K63" s="379">
        <f t="shared" si="8"/>
        <v>0</v>
      </c>
      <c r="L63" s="469"/>
      <c r="M63" s="469"/>
      <c r="N63" s="469"/>
      <c r="O63" s="1149"/>
      <c r="P63" s="1149"/>
      <c r="Q63" s="815"/>
      <c r="R63" s="815"/>
    </row>
    <row r="64" spans="1:29" ht="15.75" customHeight="1" x14ac:dyDescent="0.2">
      <c r="A64" s="299">
        <v>266</v>
      </c>
      <c r="B64" s="269"/>
      <c r="C64" s="314"/>
      <c r="D64" s="269"/>
      <c r="E64" s="269"/>
      <c r="F64" s="380">
        <f>'Base Costs'!AX84</f>
        <v>0</v>
      </c>
      <c r="G64" s="378">
        <f t="shared" si="9"/>
        <v>0</v>
      </c>
      <c r="H64" s="381">
        <v>0.37</v>
      </c>
      <c r="I64" s="378">
        <f t="shared" si="7"/>
        <v>0</v>
      </c>
      <c r="J64" s="378">
        <f>I64*VLOOKUP($B$10,'Base Costs'!$A$32:$B$37,2,FALSE)</f>
        <v>0</v>
      </c>
      <c r="K64" s="379">
        <f t="shared" si="8"/>
        <v>0</v>
      </c>
      <c r="L64" s="469"/>
      <c r="M64" s="469"/>
      <c r="N64" s="469"/>
      <c r="O64" s="1149"/>
      <c r="P64" s="1149"/>
      <c r="Q64" s="815"/>
      <c r="R64" s="815"/>
    </row>
    <row r="65" spans="1:18" ht="15.75" customHeight="1" x14ac:dyDescent="0.2">
      <c r="A65" s="299">
        <v>266</v>
      </c>
      <c r="B65" s="269" t="s">
        <v>478</v>
      </c>
      <c r="C65" s="314"/>
      <c r="D65" s="269" t="s">
        <v>498</v>
      </c>
      <c r="E65" s="269"/>
      <c r="F65" s="380">
        <f>'Base Costs'!AX85</f>
        <v>90.619399999999999</v>
      </c>
      <c r="G65" s="378">
        <f t="shared" si="9"/>
        <v>0</v>
      </c>
      <c r="H65" s="381">
        <v>0.37</v>
      </c>
      <c r="I65" s="378">
        <f t="shared" si="7"/>
        <v>0</v>
      </c>
      <c r="J65" s="378">
        <f>I65*VLOOKUP($B$10,'Base Costs'!$A$32:$B$37,2,FALSE)</f>
        <v>0</v>
      </c>
      <c r="K65" s="379">
        <f t="shared" si="8"/>
        <v>0</v>
      </c>
      <c r="L65" s="469"/>
      <c r="M65" s="469"/>
      <c r="N65" s="469"/>
      <c r="O65" s="1149"/>
      <c r="P65" s="1149"/>
      <c r="Q65" s="815"/>
      <c r="R65" s="815"/>
    </row>
    <row r="66" spans="1:18" ht="15.75" customHeight="1" x14ac:dyDescent="0.2">
      <c r="A66" s="299">
        <v>266</v>
      </c>
      <c r="B66" s="269" t="s">
        <v>479</v>
      </c>
      <c r="C66" s="314"/>
      <c r="D66" s="269" t="s">
        <v>442</v>
      </c>
      <c r="E66" s="269"/>
      <c r="F66" s="380">
        <f>'Base Costs'!AX86</f>
        <v>40.396599999999999</v>
      </c>
      <c r="G66" s="378">
        <f t="shared" si="9"/>
        <v>0</v>
      </c>
      <c r="H66" s="381">
        <v>0.37</v>
      </c>
      <c r="I66" s="378">
        <f t="shared" si="7"/>
        <v>0</v>
      </c>
      <c r="J66" s="378">
        <f>I66*VLOOKUP($B$10,'Base Costs'!$A$32:$B$37,2,FALSE)</f>
        <v>0</v>
      </c>
      <c r="K66" s="379">
        <f t="shared" si="8"/>
        <v>0</v>
      </c>
      <c r="L66" s="469"/>
      <c r="M66" s="469"/>
      <c r="N66" s="469"/>
      <c r="O66" s="1149"/>
      <c r="P66" s="1149"/>
      <c r="Q66" s="815"/>
      <c r="R66" s="815"/>
    </row>
    <row r="67" spans="1:18" ht="15.75" customHeight="1" x14ac:dyDescent="0.2">
      <c r="A67" s="299">
        <v>266</v>
      </c>
      <c r="B67" s="269" t="s">
        <v>35</v>
      </c>
      <c r="C67" s="314"/>
      <c r="D67" s="269" t="s">
        <v>499</v>
      </c>
      <c r="E67" s="269"/>
      <c r="F67" s="380">
        <f>'Base Costs'!AX87</f>
        <v>836.34</v>
      </c>
      <c r="G67" s="378">
        <f t="shared" si="9"/>
        <v>0</v>
      </c>
      <c r="H67" s="381">
        <v>0.37</v>
      </c>
      <c r="I67" s="378">
        <f t="shared" si="7"/>
        <v>0</v>
      </c>
      <c r="J67" s="378">
        <f>I67*VLOOKUP($B$10,'Base Costs'!$A$32:$B$37,2,FALSE)</f>
        <v>0</v>
      </c>
      <c r="K67" s="379">
        <f t="shared" si="8"/>
        <v>0</v>
      </c>
      <c r="L67" s="469"/>
      <c r="M67" s="469"/>
      <c r="N67" s="469"/>
      <c r="O67" s="1149"/>
      <c r="P67" s="1149"/>
      <c r="Q67" s="815"/>
      <c r="R67" s="815"/>
    </row>
    <row r="68" spans="1:18" ht="15.75" customHeight="1" x14ac:dyDescent="0.2">
      <c r="A68" s="299">
        <v>266</v>
      </c>
      <c r="B68" s="269" t="s">
        <v>478</v>
      </c>
      <c r="C68" s="314"/>
      <c r="D68" s="269" t="s">
        <v>500</v>
      </c>
      <c r="E68" s="269"/>
      <c r="F68" s="380">
        <f>'Base Costs'!AX88</f>
        <v>146.30120000000002</v>
      </c>
      <c r="G68" s="378">
        <f t="shared" si="9"/>
        <v>0</v>
      </c>
      <c r="H68" s="381">
        <v>0.37</v>
      </c>
      <c r="I68" s="378">
        <f t="shared" si="7"/>
        <v>0</v>
      </c>
      <c r="J68" s="378">
        <f>I68*VLOOKUP($B$10,'Base Costs'!$A$32:$B$37,2,FALSE)</f>
        <v>0</v>
      </c>
      <c r="K68" s="379">
        <f t="shared" si="8"/>
        <v>0</v>
      </c>
      <c r="L68" s="469"/>
      <c r="M68" s="469"/>
      <c r="N68" s="469"/>
      <c r="O68" s="1149"/>
      <c r="P68" s="1149"/>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7">SUBTOTAL(9,I71:I82)</f>
        <v>0</v>
      </c>
      <c r="J70" s="465">
        <f>SUBTOTAL(9,J71:J82)</f>
        <v>0</v>
      </c>
      <c r="K70" s="61">
        <f t="shared" si="17"/>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8">G71/(1-H71)*(1+$C$10)</f>
        <v>0</v>
      </c>
      <c r="J71" s="378">
        <f>I71*VLOOKUP($B$10,'Base Costs'!$A$32:$B$37,2,FALSE)</f>
        <v>0</v>
      </c>
      <c r="K71" s="379">
        <f t="shared" ref="K71:K82" si="19">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20">C72*F72</f>
        <v>0</v>
      </c>
      <c r="H72" s="381">
        <v>0.37</v>
      </c>
      <c r="I72" s="378">
        <f t="shared" si="18"/>
        <v>0</v>
      </c>
      <c r="J72" s="378">
        <f>I72*VLOOKUP($B$10,'Base Costs'!$A$32:$B$37,2,FALSE)</f>
        <v>0</v>
      </c>
      <c r="K72" s="379">
        <f t="shared" si="19"/>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20"/>
        <v>0</v>
      </c>
      <c r="H73" s="381">
        <v>0.37</v>
      </c>
      <c r="I73" s="378">
        <f t="shared" si="18"/>
        <v>0</v>
      </c>
      <c r="J73" s="378">
        <f>I73*VLOOKUP($B$10,'Base Costs'!$A$32:$B$37,2,FALSE)</f>
        <v>0</v>
      </c>
      <c r="K73" s="379">
        <f t="shared" si="19"/>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20"/>
        <v>0</v>
      </c>
      <c r="H74" s="381">
        <v>0.37</v>
      </c>
      <c r="I74" s="378">
        <f t="shared" si="18"/>
        <v>0</v>
      </c>
      <c r="J74" s="378">
        <f>I74*VLOOKUP($B$10,'Base Costs'!$A$32:$B$37,2,FALSE)</f>
        <v>0</v>
      </c>
      <c r="K74" s="379">
        <f t="shared" si="19"/>
        <v>0</v>
      </c>
      <c r="L74" s="469"/>
      <c r="M74" s="469"/>
      <c r="N74" s="469"/>
      <c r="Q74" s="164"/>
      <c r="R74" s="164"/>
    </row>
    <row r="75" spans="1:18" ht="15.75" customHeight="1" x14ac:dyDescent="0.2">
      <c r="A75" s="299">
        <v>269</v>
      </c>
      <c r="B75" s="269" t="s">
        <v>20</v>
      </c>
      <c r="C75" s="314"/>
      <c r="D75" s="269" t="s">
        <v>505</v>
      </c>
      <c r="E75" s="269"/>
      <c r="F75" s="380">
        <f>'Base Costs'!AX94</f>
        <v>70.3416</v>
      </c>
      <c r="G75" s="378">
        <f t="shared" si="20"/>
        <v>0</v>
      </c>
      <c r="H75" s="381">
        <v>0.37</v>
      </c>
      <c r="I75" s="378">
        <f t="shared" si="18"/>
        <v>0</v>
      </c>
      <c r="J75" s="378">
        <f>I75*VLOOKUP($B$10,'Base Costs'!$A$32:$B$37,2,FALSE)</f>
        <v>0</v>
      </c>
      <c r="K75" s="379">
        <f t="shared" si="19"/>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20"/>
        <v>0</v>
      </c>
      <c r="H76" s="381">
        <v>0.37</v>
      </c>
      <c r="I76" s="378">
        <f t="shared" si="18"/>
        <v>0</v>
      </c>
      <c r="J76" s="378">
        <f>I76*VLOOKUP($B$10,'Base Costs'!$A$32:$B$37,2,FALSE)</f>
        <v>0</v>
      </c>
      <c r="K76" s="379">
        <f t="shared" si="19"/>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20"/>
        <v>0</v>
      </c>
      <c r="H77" s="381">
        <v>0.37</v>
      </c>
      <c r="I77" s="378">
        <f t="shared" si="18"/>
        <v>0</v>
      </c>
      <c r="J77" s="378">
        <f>I77*VLOOKUP($B$10,'Base Costs'!$A$32:$B$37,2,FALSE)</f>
        <v>0</v>
      </c>
      <c r="K77" s="379">
        <f t="shared" si="19"/>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20"/>
        <v>0</v>
      </c>
      <c r="H78" s="381">
        <v>0.37</v>
      </c>
      <c r="I78" s="378">
        <f t="shared" si="18"/>
        <v>0</v>
      </c>
      <c r="J78" s="378">
        <f>I78*VLOOKUP($B$10,'Base Costs'!$A$32:$B$37,2,FALSE)</f>
        <v>0</v>
      </c>
      <c r="K78" s="379">
        <f t="shared" si="19"/>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20"/>
        <v>0</v>
      </c>
      <c r="H79" s="381">
        <v>0.37</v>
      </c>
      <c r="I79" s="378">
        <f t="shared" si="18"/>
        <v>0</v>
      </c>
      <c r="J79" s="378">
        <f>I79*VLOOKUP($B$10,'Base Costs'!$A$32:$B$37,2,FALSE)</f>
        <v>0</v>
      </c>
      <c r="K79" s="379">
        <f t="shared" si="19"/>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20"/>
        <v>0</v>
      </c>
      <c r="H80" s="381">
        <v>0.37</v>
      </c>
      <c r="I80" s="378">
        <f t="shared" si="18"/>
        <v>0</v>
      </c>
      <c r="J80" s="378">
        <f>I80*VLOOKUP($B$10,'Base Costs'!$A$32:$B$37,2,FALSE)</f>
        <v>0</v>
      </c>
      <c r="K80" s="379">
        <f t="shared" si="19"/>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20"/>
        <v>0</v>
      </c>
      <c r="H81" s="381">
        <v>0.37</v>
      </c>
      <c r="I81" s="378">
        <f t="shared" si="18"/>
        <v>0</v>
      </c>
      <c r="J81" s="378">
        <f>I81*VLOOKUP($B$10,'Base Costs'!$A$32:$B$37,2,FALSE)</f>
        <v>0</v>
      </c>
      <c r="K81" s="379">
        <f t="shared" si="19"/>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20"/>
        <v>0</v>
      </c>
      <c r="H82" s="381">
        <v>0.37</v>
      </c>
      <c r="I82" s="378">
        <f t="shared" si="18"/>
        <v>0</v>
      </c>
      <c r="J82" s="378">
        <f>I82*VLOOKUP($B$10,'Base Costs'!$A$32:$B$37,2,FALSE)</f>
        <v>0</v>
      </c>
      <c r="K82" s="379">
        <f t="shared" si="19"/>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1" si="21">C85*F85</f>
        <v>0</v>
      </c>
      <c r="H85" s="381">
        <v>0.37</v>
      </c>
      <c r="I85" s="378">
        <f t="shared" ref="I85:I93" si="22">G85/(1-H85)*(1+$C$10)</f>
        <v>0</v>
      </c>
      <c r="J85" s="378">
        <f>I85*VLOOKUP($B$10,'Base Costs'!$A$32:$B$37,2,FALSE)</f>
        <v>0</v>
      </c>
      <c r="K85" s="379">
        <f t="shared" ref="K85:K91" si="23">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21"/>
        <v>0</v>
      </c>
      <c r="H86" s="381">
        <v>0.37</v>
      </c>
      <c r="I86" s="378">
        <f t="shared" si="22"/>
        <v>0</v>
      </c>
      <c r="J86" s="378">
        <f>I86*VLOOKUP($B$10,'Base Costs'!$A$32:$B$37,2,FALSE)</f>
        <v>0</v>
      </c>
      <c r="K86" s="379">
        <f t="shared" si="23"/>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21"/>
        <v>0</v>
      </c>
      <c r="H87" s="381">
        <v>0.37</v>
      </c>
      <c r="I87" s="378">
        <f t="shared" si="22"/>
        <v>0</v>
      </c>
      <c r="J87" s="378">
        <f>I87*VLOOKUP($B$10,'Base Costs'!$A$32:$B$37,2,FALSE)</f>
        <v>0</v>
      </c>
      <c r="K87" s="379">
        <f t="shared" si="23"/>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21"/>
        <v>0</v>
      </c>
      <c r="H88" s="381">
        <v>0.37</v>
      </c>
      <c r="I88" s="378">
        <f t="shared" si="22"/>
        <v>0</v>
      </c>
      <c r="J88" s="378">
        <f>I88*VLOOKUP($B$10,'Base Costs'!$A$32:$B$37,2,FALSE)</f>
        <v>0</v>
      </c>
      <c r="K88" s="379">
        <f t="shared" si="23"/>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21"/>
        <v>0</v>
      </c>
      <c r="H89" s="381">
        <v>0.37</v>
      </c>
      <c r="I89" s="378">
        <f t="shared" si="22"/>
        <v>0</v>
      </c>
      <c r="J89" s="378">
        <f>I89*VLOOKUP($B$10,'Base Costs'!$A$32:$B$37,2,FALSE)</f>
        <v>0</v>
      </c>
      <c r="K89" s="379">
        <f t="shared" si="23"/>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21"/>
        <v>0</v>
      </c>
      <c r="H90" s="381">
        <v>0.37</v>
      </c>
      <c r="I90" s="378">
        <f t="shared" si="22"/>
        <v>0</v>
      </c>
      <c r="J90" s="378">
        <f>I90*VLOOKUP($B$10,'Base Costs'!$A$32:$B$37,2,FALSE)</f>
        <v>0</v>
      </c>
      <c r="K90" s="379">
        <f t="shared" si="23"/>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21"/>
        <v>0</v>
      </c>
      <c r="H91" s="381">
        <v>0.37</v>
      </c>
      <c r="I91" s="378">
        <f t="shared" si="22"/>
        <v>0</v>
      </c>
      <c r="J91" s="378">
        <f>I91*VLOOKUP($B$10,'Base Costs'!$A$32:$B$37,2,FALSE)</f>
        <v>0</v>
      </c>
      <c r="K91" s="379">
        <f t="shared" si="23"/>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ref="G92:G93" si="24">C92*F92</f>
        <v>0</v>
      </c>
      <c r="H92" s="381">
        <v>0.37</v>
      </c>
      <c r="I92" s="378">
        <f t="shared" si="22"/>
        <v>0</v>
      </c>
      <c r="J92" s="378">
        <f>I92*VLOOKUP($B$10,'Base Costs'!$A$32:$B$37,2,FALSE)</f>
        <v>0</v>
      </c>
      <c r="K92" s="379">
        <f t="shared" ref="K92:K93" si="25">I92-G92</f>
        <v>0</v>
      </c>
      <c r="L92" s="469"/>
      <c r="M92" s="469"/>
      <c r="N92" s="469"/>
      <c r="Q92" s="164"/>
      <c r="R92" s="164"/>
    </row>
    <row r="93" spans="1:18" ht="15.75" customHeight="1" x14ac:dyDescent="0.2">
      <c r="A93" s="299">
        <v>269</v>
      </c>
      <c r="B93" s="269" t="s">
        <v>61</v>
      </c>
      <c r="C93" s="314"/>
      <c r="D93" s="269" t="s">
        <v>519</v>
      </c>
      <c r="E93" s="269"/>
      <c r="F93" s="380">
        <f>'Base Costs'!AX111</f>
        <v>93.28</v>
      </c>
      <c r="G93" s="378">
        <f t="shared" si="24"/>
        <v>0</v>
      </c>
      <c r="H93" s="381">
        <v>0.37</v>
      </c>
      <c r="I93" s="378">
        <f t="shared" si="22"/>
        <v>0</v>
      </c>
      <c r="J93" s="378">
        <f>I93*VLOOKUP($B$10,'Base Costs'!$A$32:$B$37,2,FALSE)</f>
        <v>0</v>
      </c>
      <c r="K93" s="379">
        <f t="shared" si="25"/>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26">C96*F96</f>
        <v>0</v>
      </c>
      <c r="H96" s="381">
        <v>0.33</v>
      </c>
      <c r="I96" s="378">
        <f t="shared" ref="I96:I102" si="27">G96/(1-H96)*(1+$C$10)</f>
        <v>0</v>
      </c>
      <c r="J96" s="378">
        <f>I96*VLOOKUP($B$10,'Base Costs'!$A$32:$B$37,2,FALSE)</f>
        <v>0</v>
      </c>
      <c r="K96" s="379">
        <f t="shared" ref="K96:K102" si="28">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26"/>
        <v>0</v>
      </c>
      <c r="H97" s="381">
        <v>0.33</v>
      </c>
      <c r="I97" s="378">
        <f t="shared" si="27"/>
        <v>0</v>
      </c>
      <c r="J97" s="378">
        <f>I97*VLOOKUP($B$10,'Base Costs'!$A$32:$B$37,2,FALSE)</f>
        <v>0</v>
      </c>
      <c r="K97" s="379">
        <f t="shared" si="28"/>
        <v>0</v>
      </c>
      <c r="L97" s="469"/>
      <c r="M97" s="469"/>
      <c r="N97" s="469"/>
      <c r="Q97" s="164"/>
      <c r="R97" s="164"/>
    </row>
    <row r="98" spans="1:18" ht="15.75" customHeight="1" x14ac:dyDescent="0.2">
      <c r="A98" s="299">
        <v>265</v>
      </c>
      <c r="B98" s="269" t="s">
        <v>11</v>
      </c>
      <c r="C98" s="314"/>
      <c r="D98" s="269" t="s">
        <v>53</v>
      </c>
      <c r="E98" s="269"/>
      <c r="F98" s="380">
        <v>610</v>
      </c>
      <c r="G98" s="378">
        <f t="shared" si="26"/>
        <v>0</v>
      </c>
      <c r="H98" s="381">
        <v>0.4</v>
      </c>
      <c r="I98" s="378">
        <f t="shared" si="27"/>
        <v>0</v>
      </c>
      <c r="J98" s="378">
        <f>I98*VLOOKUP($B$10,'Base Costs'!$A$32:$B$37,2,FALSE)</f>
        <v>0</v>
      </c>
      <c r="K98" s="379">
        <f t="shared" si="28"/>
        <v>0</v>
      </c>
      <c r="L98" s="469"/>
      <c r="M98" s="469"/>
      <c r="N98" s="469"/>
      <c r="Q98" s="164"/>
      <c r="R98" s="164"/>
    </row>
    <row r="99" spans="1:18" ht="15.75" customHeight="1" x14ac:dyDescent="0.2">
      <c r="A99" s="299">
        <v>267</v>
      </c>
      <c r="B99" s="269" t="s">
        <v>11</v>
      </c>
      <c r="C99" s="314"/>
      <c r="D99" s="1146" t="s">
        <v>1478</v>
      </c>
      <c r="E99" s="1147"/>
      <c r="F99" s="380">
        <v>610</v>
      </c>
      <c r="G99" s="378">
        <f t="shared" si="26"/>
        <v>0</v>
      </c>
      <c r="H99" s="381">
        <v>0.4</v>
      </c>
      <c r="I99" s="378">
        <f t="shared" si="27"/>
        <v>0</v>
      </c>
      <c r="J99" s="378">
        <f>I99*VLOOKUP($B$10,'Base Costs'!$A$32:$B$37,2,FALSE)</f>
        <v>0</v>
      </c>
      <c r="K99" s="379">
        <f t="shared" si="28"/>
        <v>0</v>
      </c>
      <c r="L99" s="469"/>
      <c r="M99" s="469"/>
      <c r="N99" s="469"/>
      <c r="Q99" s="164"/>
      <c r="R99" s="164"/>
    </row>
    <row r="100" spans="1:18" ht="15.75" customHeight="1" x14ac:dyDescent="0.2">
      <c r="A100" s="299">
        <v>253</v>
      </c>
      <c r="B100" s="269" t="s">
        <v>12</v>
      </c>
      <c r="C100" s="314"/>
      <c r="D100" s="269"/>
      <c r="E100" s="269"/>
      <c r="F100" s="380">
        <f>'Base Costs'!AX117</f>
        <v>0</v>
      </c>
      <c r="G100" s="378">
        <f t="shared" si="26"/>
        <v>0</v>
      </c>
      <c r="H100" s="381">
        <v>0.33</v>
      </c>
      <c r="I100" s="378">
        <f t="shared" si="27"/>
        <v>0</v>
      </c>
      <c r="J100" s="378">
        <f>I100*VLOOKUP($B$10,'Base Costs'!$A$32:$B$37,2,FALSE)</f>
        <v>0</v>
      </c>
      <c r="K100" s="379">
        <f t="shared" si="28"/>
        <v>0</v>
      </c>
      <c r="L100" s="469"/>
      <c r="M100" s="469"/>
      <c r="N100" s="469"/>
      <c r="Q100" s="164"/>
      <c r="R100" s="164"/>
    </row>
    <row r="101" spans="1:18" ht="15.75" customHeight="1" x14ac:dyDescent="0.2">
      <c r="A101" s="299">
        <v>102</v>
      </c>
      <c r="B101" s="269" t="s">
        <v>13</v>
      </c>
      <c r="C101" s="314"/>
      <c r="D101" s="269"/>
      <c r="E101" s="269"/>
      <c r="F101" s="380">
        <f>'Base Costs'!AX118</f>
        <v>0</v>
      </c>
      <c r="G101" s="378">
        <f t="shared" si="26"/>
        <v>0</v>
      </c>
      <c r="H101" s="381">
        <v>0.33</v>
      </c>
      <c r="I101" s="378">
        <f t="shared" si="27"/>
        <v>0</v>
      </c>
      <c r="J101" s="378">
        <f>I101*VLOOKUP($B$10,'Base Costs'!$A$32:$B$37,2,FALSE)</f>
        <v>0</v>
      </c>
      <c r="K101" s="379">
        <f t="shared" si="28"/>
        <v>0</v>
      </c>
      <c r="L101" s="469"/>
      <c r="M101" s="469"/>
      <c r="N101" s="469"/>
      <c r="Q101" s="164"/>
      <c r="R101" s="164"/>
    </row>
    <row r="102" spans="1:18" ht="15.75" customHeight="1" x14ac:dyDescent="0.2">
      <c r="A102" s="299">
        <v>280</v>
      </c>
      <c r="B102" s="269" t="s">
        <v>249</v>
      </c>
      <c r="C102" s="314"/>
      <c r="D102" s="269" t="s">
        <v>118</v>
      </c>
      <c r="E102" s="315"/>
      <c r="F102" s="380">
        <v>604</v>
      </c>
      <c r="G102" s="378">
        <f t="shared" si="26"/>
        <v>0</v>
      </c>
      <c r="H102" s="381">
        <v>0.33</v>
      </c>
      <c r="I102" s="378">
        <f t="shared" si="27"/>
        <v>0</v>
      </c>
      <c r="J102" s="378">
        <f>I102*VLOOKUP($B$10,'Base Costs'!$A$32:$B$37,2,FALSE)</f>
        <v>0</v>
      </c>
      <c r="K102" s="379">
        <f t="shared" si="28"/>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2485.9523809523807</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2485.9523809523807</v>
      </c>
      <c r="D108" s="202"/>
      <c r="E108" s="204"/>
      <c r="F108" s="202"/>
      <c r="G108" s="209"/>
      <c r="H108" s="206"/>
      <c r="I108" s="203"/>
      <c r="J108" s="203"/>
      <c r="K108" s="209"/>
    </row>
    <row r="109" spans="1:18" ht="15.75" customHeight="1" thickBot="1" x14ac:dyDescent="0.25">
      <c r="A109" s="299">
        <v>280</v>
      </c>
      <c r="B109" s="580" t="s">
        <v>666</v>
      </c>
      <c r="C109" s="916">
        <f>C108+J102</f>
        <v>2485.9523809523807</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Y49:AB49"/>
    <mergeCell ref="B1:D1"/>
    <mergeCell ref="I4:K4"/>
    <mergeCell ref="I6:K6"/>
    <mergeCell ref="C6:D6"/>
    <mergeCell ref="C8:D8"/>
    <mergeCell ref="C4:D4"/>
    <mergeCell ref="F4:H4"/>
    <mergeCell ref="F6:H6"/>
    <mergeCell ref="F8:H8"/>
    <mergeCell ref="S39:V39"/>
    <mergeCell ref="O36:P36"/>
    <mergeCell ref="Y40:AB40"/>
    <mergeCell ref="O34:P34"/>
    <mergeCell ref="S34:V34"/>
    <mergeCell ref="Y34:AB34"/>
    <mergeCell ref="E10:F10"/>
    <mergeCell ref="O41:P41"/>
    <mergeCell ref="Y35:AB35"/>
    <mergeCell ref="Y36:AB36"/>
    <mergeCell ref="Y37:AB37"/>
    <mergeCell ref="Y39:AB39"/>
    <mergeCell ref="Y41:AB41"/>
    <mergeCell ref="Q13:R13"/>
    <mergeCell ref="S35:V35"/>
    <mergeCell ref="S40:V40"/>
    <mergeCell ref="S36:V36"/>
    <mergeCell ref="S37:V37"/>
    <mergeCell ref="O64:P64"/>
    <mergeCell ref="O65:P65"/>
    <mergeCell ref="O66:P66"/>
    <mergeCell ref="O60:P60"/>
    <mergeCell ref="O61:P61"/>
    <mergeCell ref="D99:E99"/>
    <mergeCell ref="K8:L8"/>
    <mergeCell ref="O56:P56"/>
    <mergeCell ref="O57:P57"/>
    <mergeCell ref="O58:P58"/>
    <mergeCell ref="O59:P59"/>
    <mergeCell ref="O49:P49"/>
    <mergeCell ref="O39:P39"/>
    <mergeCell ref="O40:P40"/>
    <mergeCell ref="O35:P35"/>
    <mergeCell ref="O37:P37"/>
    <mergeCell ref="N8:P8"/>
    <mergeCell ref="O67:P67"/>
    <mergeCell ref="O68:P68"/>
    <mergeCell ref="O62:P62"/>
    <mergeCell ref="O63:P63"/>
  </mergeCells>
  <conditionalFormatting sqref="B10">
    <cfRule type="containsText" dxfId="11458" priority="114" operator="containsText" text="SELECT">
      <formula>NOT(ISERROR(SEARCH("SELECT",B10)))</formula>
    </cfRule>
    <cfRule type="expression" dxfId="11457" priority="121">
      <formula>B10="CURRENCY"</formula>
    </cfRule>
  </conditionalFormatting>
  <conditionalFormatting sqref="B14:B40">
    <cfRule type="expression" dxfId="11456" priority="33">
      <formula>$C14&gt;0</formula>
    </cfRule>
  </conditionalFormatting>
  <conditionalFormatting sqref="B35 B41:B56">
    <cfRule type="expression" dxfId="11455" priority="5157">
      <formula>$D35&gt;0</formula>
    </cfRule>
  </conditionalFormatting>
  <conditionalFormatting sqref="B57:B68">
    <cfRule type="expression" dxfId="11454" priority="64">
      <formula>$C57&gt;0</formula>
    </cfRule>
  </conditionalFormatting>
  <conditionalFormatting sqref="B71:B82">
    <cfRule type="expression" dxfId="11453" priority="61">
      <formula>$C71&gt;0</formula>
    </cfRule>
  </conditionalFormatting>
  <conditionalFormatting sqref="B85:B93">
    <cfRule type="expression" dxfId="11452" priority="60">
      <formula>$C85&gt;0</formula>
    </cfRule>
  </conditionalFormatting>
  <conditionalFormatting sqref="B96:B102">
    <cfRule type="expression" dxfId="11451" priority="58">
      <formula>$C96&gt;0</formula>
    </cfRule>
  </conditionalFormatting>
  <conditionalFormatting sqref="C14:C32 C71:C82 C85:C93">
    <cfRule type="cellIs" dxfId="11450" priority="127" operator="equal">
      <formula>0</formula>
    </cfRule>
  </conditionalFormatting>
  <conditionalFormatting sqref="C35:C68">
    <cfRule type="cellIs" dxfId="11449" priority="21" operator="equal">
      <formula>0</formula>
    </cfRule>
  </conditionalFormatting>
  <conditionalFormatting sqref="C96:C102">
    <cfRule type="cellIs" dxfId="11448" priority="57" operator="equal">
      <formula>0</formula>
    </cfRule>
  </conditionalFormatting>
  <conditionalFormatting sqref="C10:D10">
    <cfRule type="cellIs" dxfId="11447" priority="106" operator="lessThan">
      <formula>0</formula>
    </cfRule>
    <cfRule type="cellIs" dxfId="11446" priority="107" operator="greaterThan">
      <formula>0</formula>
    </cfRule>
  </conditionalFormatting>
  <conditionalFormatting sqref="F14:F68">
    <cfRule type="expression" dxfId="11445" priority="1">
      <formula>C14&gt;0</formula>
    </cfRule>
  </conditionalFormatting>
  <conditionalFormatting sqref="F35:F64">
    <cfRule type="expression" dxfId="11444" priority="2">
      <formula>D35&gt;0</formula>
    </cfRule>
  </conditionalFormatting>
  <conditionalFormatting sqref="F71:F82">
    <cfRule type="expression" dxfId="11443" priority="99">
      <formula>C71&gt;0</formula>
    </cfRule>
  </conditionalFormatting>
  <conditionalFormatting sqref="F85:F93">
    <cfRule type="expression" dxfId="11442" priority="94">
      <formula>C85&gt;0</formula>
    </cfRule>
  </conditionalFormatting>
  <conditionalFormatting sqref="F96:F102">
    <cfRule type="expression" dxfId="11441" priority="97">
      <formula>C96&gt;0</formula>
    </cfRule>
  </conditionalFormatting>
  <conditionalFormatting sqref="G14:G32">
    <cfRule type="cellIs" dxfId="11440" priority="93" operator="greaterThan">
      <formula>0</formula>
    </cfRule>
  </conditionalFormatting>
  <conditionalFormatting sqref="G35:G68">
    <cfRule type="cellIs" dxfId="11439" priority="3" operator="greaterThan">
      <formula>0</formula>
    </cfRule>
  </conditionalFormatting>
  <conditionalFormatting sqref="G71:G82 G85:G93 G96:G102">
    <cfRule type="cellIs" dxfId="11438" priority="92" operator="greaterThan">
      <formula>0</formula>
    </cfRule>
  </conditionalFormatting>
  <conditionalFormatting sqref="H14:H32">
    <cfRule type="expression" dxfId="11437" priority="285">
      <formula>$C$10&gt;0</formula>
    </cfRule>
    <cfRule type="expression" dxfId="11436" priority="286">
      <formula>$C$10&lt;0</formula>
    </cfRule>
  </conditionalFormatting>
  <conditionalFormatting sqref="H35:H68">
    <cfRule type="expression" dxfId="11435" priority="17">
      <formula>$C$10&gt;0</formula>
    </cfRule>
  </conditionalFormatting>
  <conditionalFormatting sqref="H35:H82">
    <cfRule type="expression" dxfId="11434" priority="72">
      <formula>$C$10&lt;0</formula>
    </cfRule>
  </conditionalFormatting>
  <conditionalFormatting sqref="H40:H68">
    <cfRule type="expression" dxfId="11433" priority="18">
      <formula>$C$10&lt;0</formula>
    </cfRule>
  </conditionalFormatting>
  <conditionalFormatting sqref="H71:H82">
    <cfRule type="expression" dxfId="11432" priority="71">
      <formula>$C$10&gt;0</formula>
    </cfRule>
  </conditionalFormatting>
  <conditionalFormatting sqref="H85:H93">
    <cfRule type="expression" dxfId="11431" priority="67">
      <formula>$C$10&gt;0</formula>
    </cfRule>
    <cfRule type="expression" dxfId="11430" priority="68">
      <formula>$C$10&lt;0</formula>
    </cfRule>
  </conditionalFormatting>
  <conditionalFormatting sqref="H96:H102">
    <cfRule type="expression" dxfId="11429" priority="65">
      <formula>$C$10&gt;0</formula>
    </cfRule>
    <cfRule type="expression" dxfId="11428" priority="66">
      <formula>$C$10&lt;0</formula>
    </cfRule>
  </conditionalFormatting>
  <conditionalFormatting sqref="J1:J7 J9:J33">
    <cfRule type="expression" dxfId="11427" priority="281">
      <formula>$B$10="EURO"</formula>
    </cfRule>
    <cfRule type="expression" dxfId="11426" priority="282">
      <formula>$B$10="USD"</formula>
    </cfRule>
    <cfRule type="expression" dxfId="11425" priority="283">
      <formula>$B$10="PLN"</formula>
    </cfRule>
    <cfRule type="expression" dxfId="11424" priority="284">
      <formula>$B$10="CZK"</formula>
    </cfRule>
  </conditionalFormatting>
  <conditionalFormatting sqref="J35:J69">
    <cfRule type="expression" dxfId="11423" priority="13">
      <formula>$B$10="EURO"</formula>
    </cfRule>
  </conditionalFormatting>
  <conditionalFormatting sqref="J35:J1048576">
    <cfRule type="expression" dxfId="11422" priority="14">
      <formula>$B$10="USD"</formula>
    </cfRule>
    <cfRule type="expression" dxfId="11421" priority="15">
      <formula>$B$10="PLN"</formula>
    </cfRule>
    <cfRule type="expression" dxfId="11420" priority="16">
      <formula>$B$10="CZK"</formula>
    </cfRule>
  </conditionalFormatting>
  <conditionalFormatting sqref="J71:J83 J85:J94 J96:J1048576">
    <cfRule type="expression" dxfId="11419" priority="88">
      <formula>$B$10="EURO"</formula>
    </cfRule>
  </conditionalFormatting>
  <conditionalFormatting sqref="J14:K68">
    <cfRule type="cellIs" dxfId="11418" priority="12" operator="greaterThan">
      <formula>0</formula>
    </cfRule>
  </conditionalFormatting>
  <conditionalFormatting sqref="J71:K82 J85:K93 J96:K102">
    <cfRule type="cellIs" dxfId="11417" priority="87"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ignoredErrors>
    <ignoredError sqref="H10 H13 H34 H70 H84 H95" formula="1"/>
    <ignoredError sqref="J34" evalError="1"/>
  </ignoredErrors>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800-000000000000}">
          <x14:formula1>
            <xm:f>'Base Costs'!$E$4:$E$213</xm:f>
          </x14:formula1>
          <xm:sqref>D97</xm:sqref>
        </x14:dataValidation>
        <x14:dataValidation type="list" allowBlank="1" showInputMessage="1" showErrorMessage="1" xr:uid="{00000000-0002-0000-0800-000001000000}">
          <x14:formula1>
            <xm:f>'Base Costs'!$A$32:$A$37</xm:f>
          </x14:formula1>
          <xm:sqref>B10</xm:sqref>
        </x14:dataValidation>
        <x14:dataValidation type="list" allowBlank="1" showInputMessage="1" showErrorMessage="1" xr:uid="{00000000-0002-0000-0800-000002000000}">
          <x14:formula1>
            <xm:f>'Base Costs'!$AU$26:$AU$48</xm:f>
          </x14:formula1>
          <xm:sqref>D35</xm:sqref>
        </x14:dataValidation>
        <x14:dataValidation type="list" allowBlank="1" showInputMessage="1" showErrorMessage="1" xr:uid="{00000000-0002-0000-0800-000003000000}">
          <x14:formula1>
            <xm:f>'Base Costs'!$AU$64:$AU$72</xm:f>
          </x14:formula1>
          <xm:sqref>D49:D56</xm:sqref>
        </x14:dataValidation>
        <x14:dataValidation type="list" allowBlank="1" showInputMessage="1" showErrorMessage="1" xr:uid="{00000000-0002-0000-0800-000004000000}">
          <x14:formula1>
            <xm:f>'Base Costs'!$AU$55:$AU$61</xm:f>
          </x14:formula1>
          <xm:sqref>D40:D47</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theme="8" tint="0.79998168889431442"/>
    <pageSetUpPr fitToPage="1"/>
  </sheetPr>
  <dimension ref="A1:Q103"/>
  <sheetViews>
    <sheetView topLeftCell="A57" zoomScale="85" zoomScaleNormal="85" workbookViewId="0">
      <selection activeCell="R83" sqref="R83"/>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28.83203125" style="165" customWidth="1"/>
    <col min="5" max="5" width="11.1640625" style="165" customWidth="1"/>
    <col min="6" max="6" width="12.6640625" style="171" customWidth="1"/>
    <col min="7" max="7" width="13" style="171" customWidth="1"/>
    <col min="8" max="8" width="12.1640625" style="159" customWidth="1"/>
    <col min="9" max="9" width="14.6640625" style="171" hidden="1" customWidth="1"/>
    <col min="10" max="10" width="14.6640625" style="171" customWidth="1"/>
    <col min="11" max="11" width="12.83203125" style="171" customWidth="1"/>
    <col min="12" max="12" width="13.5" style="97" customWidth="1"/>
    <col min="13" max="13" width="15.83203125" style="164" customWidth="1"/>
    <col min="14" max="14" width="12.5" style="164" customWidth="1"/>
    <col min="15" max="15" width="33.33203125" style="165" customWidth="1"/>
    <col min="16" max="16" width="16.6640625" style="165" customWidth="1"/>
    <col min="17" max="17" width="9.1640625" style="166" customWidth="1"/>
    <col min="18" max="16384" width="8.83203125" style="165"/>
  </cols>
  <sheetData>
    <row r="1" spans="1:17" ht="19" x14ac:dyDescent="0.2">
      <c r="B1" s="1167" t="s">
        <v>74</v>
      </c>
      <c r="C1" s="1167"/>
      <c r="D1" s="1167"/>
      <c r="E1" s="160"/>
      <c r="F1" s="161"/>
      <c r="G1" s="162"/>
      <c r="H1" s="163"/>
      <c r="I1" s="161"/>
      <c r="J1" s="161"/>
      <c r="K1" s="586" t="str">
        <f>CONTRACT!K1</f>
        <v>MAY25-19</v>
      </c>
    </row>
    <row r="2" spans="1:17" ht="15.75" customHeight="1" x14ac:dyDescent="0.2">
      <c r="B2" s="167"/>
      <c r="C2" s="167"/>
      <c r="D2" s="167"/>
      <c r="E2" s="168"/>
      <c r="F2" s="169"/>
      <c r="G2" s="169"/>
      <c r="H2" s="170"/>
      <c r="O2" s="166"/>
      <c r="Q2" s="165"/>
    </row>
    <row r="3" spans="1:17" ht="15.75" customHeight="1" x14ac:dyDescent="0.2">
      <c r="C3" s="172"/>
      <c r="D3" s="173"/>
      <c r="F3" s="174"/>
      <c r="G3" s="159"/>
      <c r="H3" s="175"/>
      <c r="I3" s="159"/>
      <c r="J3" s="159"/>
      <c r="O3" s="166"/>
      <c r="Q3" s="165"/>
    </row>
    <row r="4" spans="1:17" ht="15.75" customHeight="1" x14ac:dyDescent="0.2">
      <c r="B4" s="176" t="s">
        <v>733</v>
      </c>
      <c r="C4" s="1158" t="e">
        <f>IF(#REF!="","",#REF!)</f>
        <v>#REF!</v>
      </c>
      <c r="D4" s="1158"/>
      <c r="F4" s="177" t="s">
        <v>78</v>
      </c>
      <c r="G4" s="1159" t="e">
        <f>IF(#REF!="","",#REF!)</f>
        <v>#REF!</v>
      </c>
      <c r="H4" s="1159"/>
      <c r="I4" s="1157"/>
      <c r="J4" s="1157"/>
      <c r="K4" s="1157"/>
      <c r="O4" s="166"/>
      <c r="Q4" s="165"/>
    </row>
    <row r="5" spans="1:17" ht="15.75" customHeight="1" x14ac:dyDescent="0.2">
      <c r="C5" s="51"/>
      <c r="D5" s="51"/>
      <c r="E5" s="178"/>
      <c r="F5" s="179"/>
      <c r="G5" s="359"/>
      <c r="H5" s="359"/>
      <c r="I5" s="159"/>
      <c r="J5" s="159"/>
      <c r="K5" s="175"/>
      <c r="O5" s="166"/>
      <c r="Q5" s="165"/>
    </row>
    <row r="6" spans="1:17" ht="15.75" customHeight="1" x14ac:dyDescent="0.2">
      <c r="B6" s="176" t="s">
        <v>75</v>
      </c>
      <c r="C6" s="1158" t="e">
        <f>IF(#REF!="","",#REF!)</f>
        <v>#REF!</v>
      </c>
      <c r="D6" s="1158"/>
      <c r="E6" s="173"/>
      <c r="F6" s="177" t="s">
        <v>77</v>
      </c>
      <c r="G6" s="1159" t="e">
        <f>IF(#REF!="","",#REF!)</f>
        <v>#REF!</v>
      </c>
      <c r="H6" s="1159"/>
      <c r="I6" s="1157"/>
      <c r="J6" s="1157"/>
      <c r="K6" s="1157"/>
      <c r="O6" s="166"/>
      <c r="Q6" s="165"/>
    </row>
    <row r="7" spans="1:17" ht="15.75" customHeight="1" x14ac:dyDescent="0.2">
      <c r="B7" s="176"/>
      <c r="C7" s="176"/>
      <c r="D7" s="180"/>
      <c r="E7" s="180"/>
      <c r="F7" s="179"/>
      <c r="G7" s="359"/>
      <c r="H7" s="470"/>
      <c r="I7" s="159"/>
      <c r="J7" s="159"/>
      <c r="K7" s="159"/>
      <c r="L7" s="112"/>
      <c r="O7" s="166"/>
      <c r="Q7" s="165"/>
    </row>
    <row r="8" spans="1:17" ht="15.75" customHeight="1" x14ac:dyDescent="0.2">
      <c r="B8" s="80" t="s">
        <v>734</v>
      </c>
      <c r="C8" s="1164"/>
      <c r="D8" s="1164"/>
      <c r="E8" s="180"/>
      <c r="F8" s="181" t="s">
        <v>76</v>
      </c>
      <c r="G8" s="1160" t="e">
        <f>IF(#REF!="","",#REF!)</f>
        <v>#REF!</v>
      </c>
      <c r="H8" s="1160"/>
      <c r="J8" s="187" t="s">
        <v>79</v>
      </c>
      <c r="K8" s="591"/>
      <c r="L8" s="467"/>
      <c r="O8" s="166"/>
      <c r="Q8" s="165"/>
    </row>
    <row r="9" spans="1:17" ht="15.75" customHeight="1" x14ac:dyDescent="0.2">
      <c r="D9" s="182"/>
      <c r="E9" s="178"/>
      <c r="F9" s="159"/>
      <c r="G9" s="159"/>
      <c r="H9" s="175"/>
      <c r="I9" s="170"/>
      <c r="J9" s="170"/>
      <c r="L9" s="467"/>
      <c r="O9" s="166"/>
      <c r="Q9" s="165"/>
    </row>
    <row r="10" spans="1:17" s="173" customFormat="1" ht="15.75" customHeight="1" x14ac:dyDescent="0.2">
      <c r="A10" s="300"/>
      <c r="B10" s="38" t="s">
        <v>353</v>
      </c>
      <c r="C10" s="373"/>
      <c r="D10" s="377">
        <f>IF(C10=0,0,(SUBTOTAL(9,I13:I88)/(1-C10))-I10)</f>
        <v>0</v>
      </c>
      <c r="G10" s="25" t="e">
        <f>SUBTOTAL(9,G14:G88)</f>
        <v>#N/A</v>
      </c>
      <c r="H10" s="15" t="e">
        <f>IF(K10=0,"-",K10/I10)</f>
        <v>#N/A</v>
      </c>
      <c r="I10" s="25" t="e">
        <f>SUBTOTAL(9,I14:I88)</f>
        <v>#N/A</v>
      </c>
      <c r="J10" s="464" t="e">
        <f>SUBTOTAL(9,J14:J88)</f>
        <v>#N/A</v>
      </c>
      <c r="K10" s="25" t="e">
        <f>SUBTOTAL(9,K14:K88)</f>
        <v>#N/A</v>
      </c>
      <c r="L10" s="468"/>
      <c r="M10" s="164"/>
      <c r="N10" s="164"/>
      <c r="O10" s="185"/>
    </row>
    <row r="11" spans="1:17"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164"/>
      <c r="N11" s="164"/>
      <c r="Q11" s="185"/>
    </row>
    <row r="12" spans="1:17" s="173" customFormat="1" ht="15.75" customHeight="1" x14ac:dyDescent="0.2">
      <c r="A12" s="300"/>
      <c r="B12" s="176"/>
      <c r="C12" s="176"/>
      <c r="D12" s="176"/>
      <c r="E12" s="176"/>
      <c r="F12" s="187"/>
      <c r="G12" s="187"/>
      <c r="H12" s="187"/>
      <c r="I12" s="187"/>
      <c r="J12" s="187"/>
      <c r="K12" s="171"/>
      <c r="L12" s="469"/>
      <c r="M12" s="164"/>
      <c r="N12" s="164"/>
      <c r="Q12" s="185"/>
    </row>
    <row r="13" spans="1:17" ht="15.75" customHeight="1" x14ac:dyDescent="0.2">
      <c r="B13" s="24" t="s">
        <v>53</v>
      </c>
      <c r="C13" s="188" t="s">
        <v>2</v>
      </c>
      <c r="D13" s="24" t="s">
        <v>1</v>
      </c>
      <c r="E13" s="188" t="s">
        <v>241</v>
      </c>
      <c r="F13" s="189"/>
      <c r="G13" s="61">
        <f>SUBTOTAL(9,G14:G31)</f>
        <v>0</v>
      </c>
      <c r="H13" s="145" t="str">
        <f>IF(G13=0,"-",K13/I13)</f>
        <v>-</v>
      </c>
      <c r="I13" s="61">
        <f>SUBTOTAL(9,I14:I31)</f>
        <v>0</v>
      </c>
      <c r="J13" s="465">
        <f>SUBTOTAL(9,J14:J31)</f>
        <v>0</v>
      </c>
      <c r="K13" s="61">
        <f>SUBTOTAL(9,K14:K31)</f>
        <v>0</v>
      </c>
      <c r="L13" s="469"/>
      <c r="O13" s="164"/>
      <c r="P13" s="164"/>
    </row>
    <row r="14" spans="1:17" ht="15.75" customHeight="1" x14ac:dyDescent="0.2">
      <c r="A14" s="299">
        <v>270</v>
      </c>
      <c r="B14" s="269" t="s">
        <v>468</v>
      </c>
      <c r="C14" s="314"/>
      <c r="D14" s="269" t="s">
        <v>480</v>
      </c>
      <c r="E14" s="315">
        <v>15</v>
      </c>
      <c r="F14" s="380">
        <f>'Base Costs'!AX6</f>
        <v>683.56220000000008</v>
      </c>
      <c r="G14" s="378">
        <f>C14*F14</f>
        <v>0</v>
      </c>
      <c r="H14" s="381">
        <v>0.44</v>
      </c>
      <c r="I14" s="311">
        <f t="shared" ref="I14:I31" si="0">G14/(1-H14)*(1+$C$10)</f>
        <v>0</v>
      </c>
      <c r="J14" s="378">
        <f>I14*VLOOKUP($B$10,'Base Costs'!$A$32:$B$37,2,FALSE)</f>
        <v>0</v>
      </c>
      <c r="K14" s="379">
        <f t="shared" ref="K14:K31" si="1">I14-G14</f>
        <v>0</v>
      </c>
      <c r="L14" s="469"/>
      <c r="O14" s="164"/>
      <c r="P14" s="164"/>
    </row>
    <row r="15" spans="1:17" ht="15.75" customHeight="1" x14ac:dyDescent="0.2">
      <c r="A15" s="299">
        <v>270</v>
      </c>
      <c r="B15" s="269" t="s">
        <v>468</v>
      </c>
      <c r="C15" s="314"/>
      <c r="D15" s="269" t="s">
        <v>481</v>
      </c>
      <c r="E15" s="315">
        <v>15</v>
      </c>
      <c r="F15" s="380">
        <f>'Base Costs'!AX7</f>
        <v>858.30320000000006</v>
      </c>
      <c r="G15" s="378">
        <f t="shared" ref="G15:G31" si="2">C15*F15</f>
        <v>0</v>
      </c>
      <c r="H15" s="381">
        <v>0.44</v>
      </c>
      <c r="I15" s="311">
        <f t="shared" si="0"/>
        <v>0</v>
      </c>
      <c r="J15" s="378">
        <f>I15*VLOOKUP($B$10,'Base Costs'!$A$32:$B$37,2,FALSE)</f>
        <v>0</v>
      </c>
      <c r="K15" s="379">
        <f t="shared" si="1"/>
        <v>0</v>
      </c>
      <c r="L15" s="469"/>
      <c r="O15" s="164"/>
      <c r="P15" s="164"/>
    </row>
    <row r="16" spans="1:17" ht="15.75" customHeight="1" x14ac:dyDescent="0.2">
      <c r="A16" s="299">
        <v>270</v>
      </c>
      <c r="B16" s="269" t="s">
        <v>469</v>
      </c>
      <c r="C16" s="314"/>
      <c r="D16" s="269" t="s">
        <v>482</v>
      </c>
      <c r="E16" s="315">
        <v>12</v>
      </c>
      <c r="F16" s="380">
        <f>'Base Costs'!AX8</f>
        <v>514.32259999999997</v>
      </c>
      <c r="G16" s="378">
        <f t="shared" si="2"/>
        <v>0</v>
      </c>
      <c r="H16" s="381">
        <v>0.44</v>
      </c>
      <c r="I16" s="311">
        <f t="shared" si="0"/>
        <v>0</v>
      </c>
      <c r="J16" s="378">
        <f>I16*VLOOKUP($B$10,'Base Costs'!$A$32:$B$37,2,FALSE)</f>
        <v>0</v>
      </c>
      <c r="K16" s="379">
        <f t="shared" si="1"/>
        <v>0</v>
      </c>
      <c r="L16" s="469"/>
      <c r="O16" s="164"/>
      <c r="P16" s="164"/>
    </row>
    <row r="17" spans="1:16" ht="15.75" customHeight="1" x14ac:dyDescent="0.2">
      <c r="A17" s="299">
        <v>270</v>
      </c>
      <c r="B17" s="269" t="s">
        <v>469</v>
      </c>
      <c r="C17" s="314"/>
      <c r="D17" s="269" t="s">
        <v>483</v>
      </c>
      <c r="E17" s="315">
        <v>13</v>
      </c>
      <c r="F17" s="380">
        <f>'Base Costs'!AX9</f>
        <v>660.80399999999997</v>
      </c>
      <c r="G17" s="378">
        <f t="shared" si="2"/>
        <v>0</v>
      </c>
      <c r="H17" s="381">
        <v>0.44</v>
      </c>
      <c r="I17" s="311">
        <f t="shared" si="0"/>
        <v>0</v>
      </c>
      <c r="J17" s="378">
        <f>I17*VLOOKUP($B$10,'Base Costs'!$A$32:$B$37,2,FALSE)</f>
        <v>0</v>
      </c>
      <c r="K17" s="379">
        <f t="shared" si="1"/>
        <v>0</v>
      </c>
      <c r="L17" s="469"/>
      <c r="O17" s="164"/>
      <c r="P17" s="164"/>
    </row>
    <row r="18" spans="1:16" ht="15.75" customHeight="1" x14ac:dyDescent="0.2">
      <c r="A18" s="299">
        <v>270</v>
      </c>
      <c r="B18" s="269" t="s">
        <v>469</v>
      </c>
      <c r="C18" s="314"/>
      <c r="D18" s="269" t="s">
        <v>484</v>
      </c>
      <c r="E18" s="315">
        <v>13</v>
      </c>
      <c r="F18" s="380">
        <f>'Base Costs'!AX10</f>
        <v>750.53300000000002</v>
      </c>
      <c r="G18" s="378">
        <f t="shared" si="2"/>
        <v>0</v>
      </c>
      <c r="H18" s="381">
        <v>0.44</v>
      </c>
      <c r="I18" s="311">
        <f t="shared" si="0"/>
        <v>0</v>
      </c>
      <c r="J18" s="378">
        <f>I18*VLOOKUP($B$10,'Base Costs'!$A$32:$B$37,2,FALSE)</f>
        <v>0</v>
      </c>
      <c r="K18" s="379">
        <f t="shared" si="1"/>
        <v>0</v>
      </c>
      <c r="L18" s="469"/>
      <c r="O18" s="164"/>
      <c r="P18" s="164"/>
    </row>
    <row r="19" spans="1:16" ht="15.75" customHeight="1" x14ac:dyDescent="0.2">
      <c r="A19" s="299">
        <v>270</v>
      </c>
      <c r="B19" s="269" t="s">
        <v>470</v>
      </c>
      <c r="C19" s="314"/>
      <c r="D19" s="269" t="s">
        <v>482</v>
      </c>
      <c r="E19" s="315">
        <v>9</v>
      </c>
      <c r="F19" s="380">
        <f>'Base Costs'!AX11</f>
        <v>412.7004</v>
      </c>
      <c r="G19" s="378">
        <f t="shared" si="2"/>
        <v>0</v>
      </c>
      <c r="H19" s="381">
        <v>0.44</v>
      </c>
      <c r="I19" s="311">
        <f t="shared" si="0"/>
        <v>0</v>
      </c>
      <c r="J19" s="378">
        <f>I19*VLOOKUP($B$10,'Base Costs'!$A$32:$B$37,2,FALSE)</f>
        <v>0</v>
      </c>
      <c r="K19" s="379">
        <f t="shared" si="1"/>
        <v>0</v>
      </c>
      <c r="L19" s="469"/>
      <c r="O19" s="164"/>
      <c r="P19" s="164"/>
    </row>
    <row r="20" spans="1:16" ht="15.75" customHeight="1" x14ac:dyDescent="0.2">
      <c r="A20" s="299">
        <v>270</v>
      </c>
      <c r="B20" s="269" t="s">
        <v>470</v>
      </c>
      <c r="C20" s="314"/>
      <c r="D20" s="269" t="s">
        <v>483</v>
      </c>
      <c r="E20" s="315">
        <v>10</v>
      </c>
      <c r="F20" s="380">
        <f>'Base Costs'!AX12</f>
        <v>535.6816</v>
      </c>
      <c r="G20" s="378">
        <f t="shared" si="2"/>
        <v>0</v>
      </c>
      <c r="H20" s="381">
        <v>0.44</v>
      </c>
      <c r="I20" s="311">
        <f t="shared" si="0"/>
        <v>0</v>
      </c>
      <c r="J20" s="378">
        <f>I20*VLOOKUP($B$10,'Base Costs'!$A$32:$B$37,2,FALSE)</f>
        <v>0</v>
      </c>
      <c r="K20" s="379">
        <f t="shared" si="1"/>
        <v>0</v>
      </c>
      <c r="L20" s="469"/>
      <c r="O20" s="164"/>
      <c r="P20" s="164"/>
    </row>
    <row r="21" spans="1:16" ht="15.75" customHeight="1" x14ac:dyDescent="0.2">
      <c r="A21" s="299">
        <v>270</v>
      </c>
      <c r="B21" s="269" t="s">
        <v>470</v>
      </c>
      <c r="C21" s="314"/>
      <c r="D21" s="269" t="s">
        <v>484</v>
      </c>
      <c r="E21" s="315">
        <v>10</v>
      </c>
      <c r="F21" s="380">
        <f>'Base Costs'!AX13</f>
        <v>625.4</v>
      </c>
      <c r="G21" s="378">
        <f t="shared" si="2"/>
        <v>0</v>
      </c>
      <c r="H21" s="381">
        <v>0.44</v>
      </c>
      <c r="I21" s="311">
        <f t="shared" si="0"/>
        <v>0</v>
      </c>
      <c r="J21" s="378">
        <f>I21*VLOOKUP($B$10,'Base Costs'!$A$32:$B$37,2,FALSE)</f>
        <v>0</v>
      </c>
      <c r="K21" s="379">
        <f t="shared" si="1"/>
        <v>0</v>
      </c>
      <c r="L21" s="469"/>
      <c r="O21" s="164"/>
      <c r="P21" s="164"/>
    </row>
    <row r="22" spans="1:16" ht="15.75" customHeight="1" x14ac:dyDescent="0.2">
      <c r="A22" s="299">
        <v>270</v>
      </c>
      <c r="B22" s="269" t="s">
        <v>471</v>
      </c>
      <c r="C22" s="314"/>
      <c r="D22" s="269" t="s">
        <v>485</v>
      </c>
      <c r="E22" s="315">
        <v>12</v>
      </c>
      <c r="F22" s="380">
        <f>'Base Costs'!AX14</f>
        <v>877.40440000000001</v>
      </c>
      <c r="G22" s="378">
        <f t="shared" si="2"/>
        <v>0</v>
      </c>
      <c r="H22" s="381">
        <v>0.44</v>
      </c>
      <c r="I22" s="311">
        <f t="shared" si="0"/>
        <v>0</v>
      </c>
      <c r="J22" s="378">
        <f>I22*VLOOKUP($B$10,'Base Costs'!$A$32:$B$37,2,FALSE)</f>
        <v>0</v>
      </c>
      <c r="K22" s="379">
        <f t="shared" si="1"/>
        <v>0</v>
      </c>
      <c r="L22" s="469"/>
      <c r="O22" s="164"/>
      <c r="P22" s="164"/>
    </row>
    <row r="23" spans="1:16" ht="15.75" customHeight="1" x14ac:dyDescent="0.2">
      <c r="A23" s="299">
        <v>270</v>
      </c>
      <c r="B23" s="269" t="s">
        <v>471</v>
      </c>
      <c r="C23" s="314"/>
      <c r="D23" s="269" t="s">
        <v>486</v>
      </c>
      <c r="E23" s="315">
        <v>13</v>
      </c>
      <c r="F23" s="380">
        <f>'Base Costs'!AX15</f>
        <v>1061.6218000000001</v>
      </c>
      <c r="G23" s="378">
        <f t="shared" si="2"/>
        <v>0</v>
      </c>
      <c r="H23" s="381">
        <v>0.44</v>
      </c>
      <c r="I23" s="311">
        <f t="shared" si="0"/>
        <v>0</v>
      </c>
      <c r="J23" s="378">
        <f>I23*VLOOKUP($B$10,'Base Costs'!$A$32:$B$37,2,FALSE)</f>
        <v>0</v>
      </c>
      <c r="K23" s="379">
        <f t="shared" si="1"/>
        <v>0</v>
      </c>
      <c r="L23" s="469"/>
      <c r="O23" s="164"/>
      <c r="P23" s="164"/>
    </row>
    <row r="24" spans="1:16" ht="15.75" customHeight="1" x14ac:dyDescent="0.2">
      <c r="A24" s="299">
        <v>270</v>
      </c>
      <c r="B24" s="269" t="s">
        <v>471</v>
      </c>
      <c r="C24" s="314"/>
      <c r="D24" s="269" t="s">
        <v>487</v>
      </c>
      <c r="E24" s="315">
        <v>13</v>
      </c>
      <c r="F24" s="380">
        <f>'Base Costs'!AX16</f>
        <v>1326.2084000000002</v>
      </c>
      <c r="G24" s="378">
        <f t="shared" si="2"/>
        <v>0</v>
      </c>
      <c r="H24" s="381">
        <v>0.44</v>
      </c>
      <c r="I24" s="311">
        <f t="shared" si="0"/>
        <v>0</v>
      </c>
      <c r="J24" s="378">
        <f>I24*VLOOKUP($B$10,'Base Costs'!$A$32:$B$37,2,FALSE)</f>
        <v>0</v>
      </c>
      <c r="K24" s="379">
        <f t="shared" si="1"/>
        <v>0</v>
      </c>
      <c r="L24" s="469"/>
      <c r="O24" s="164"/>
      <c r="P24" s="164"/>
    </row>
    <row r="25" spans="1:16" ht="15.75" customHeight="1" x14ac:dyDescent="0.2">
      <c r="A25" s="299">
        <v>268</v>
      </c>
      <c r="B25" s="269" t="s">
        <v>6</v>
      </c>
      <c r="C25" s="314"/>
      <c r="D25" s="269" t="s">
        <v>488</v>
      </c>
      <c r="E25" s="315">
        <v>12</v>
      </c>
      <c r="F25" s="380">
        <f>'Base Costs'!AX18</f>
        <v>476.95760000000001</v>
      </c>
      <c r="G25" s="378">
        <f t="shared" si="2"/>
        <v>0</v>
      </c>
      <c r="H25" s="381">
        <v>0.44</v>
      </c>
      <c r="I25" s="311">
        <f t="shared" si="0"/>
        <v>0</v>
      </c>
      <c r="J25" s="378">
        <f>I25*VLOOKUP($B$10,'Base Costs'!$A$32:$B$37,2,FALSE)</f>
        <v>0</v>
      </c>
      <c r="K25" s="379">
        <f t="shared" si="1"/>
        <v>0</v>
      </c>
      <c r="L25" s="469"/>
      <c r="O25" s="164"/>
      <c r="P25" s="164"/>
    </row>
    <row r="26" spans="1:16" ht="15.75" customHeight="1" x14ac:dyDescent="0.2">
      <c r="A26" s="299">
        <v>268</v>
      </c>
      <c r="B26" s="269" t="s">
        <v>6</v>
      </c>
      <c r="C26" s="314"/>
      <c r="D26" s="269" t="s">
        <v>489</v>
      </c>
      <c r="E26" s="315">
        <v>14</v>
      </c>
      <c r="F26" s="380">
        <f>'Base Costs'!AX19</f>
        <v>633.62560000000008</v>
      </c>
      <c r="G26" s="378">
        <f t="shared" si="2"/>
        <v>0</v>
      </c>
      <c r="H26" s="381">
        <v>0.44</v>
      </c>
      <c r="I26" s="311">
        <f t="shared" si="0"/>
        <v>0</v>
      </c>
      <c r="J26" s="378">
        <f>I26*VLOOKUP($B$10,'Base Costs'!$A$32:$B$37,2,FALSE)</f>
        <v>0</v>
      </c>
      <c r="K26" s="379">
        <f t="shared" si="1"/>
        <v>0</v>
      </c>
      <c r="L26" s="469"/>
      <c r="O26" s="164"/>
      <c r="P26" s="164"/>
    </row>
    <row r="27" spans="1:16" ht="15.75" customHeight="1" x14ac:dyDescent="0.2">
      <c r="A27" s="299">
        <v>268</v>
      </c>
      <c r="B27" s="269" t="s">
        <v>6</v>
      </c>
      <c r="C27" s="314"/>
      <c r="D27" s="269" t="s">
        <v>490</v>
      </c>
      <c r="E27" s="315">
        <v>16</v>
      </c>
      <c r="F27" s="380">
        <f>'Base Costs'!AX20</f>
        <v>734.64359999999999</v>
      </c>
      <c r="G27" s="378">
        <f t="shared" si="2"/>
        <v>0</v>
      </c>
      <c r="H27" s="381">
        <v>0.44</v>
      </c>
      <c r="I27" s="311">
        <f t="shared" si="0"/>
        <v>0</v>
      </c>
      <c r="J27" s="378">
        <f>I27*VLOOKUP($B$10,'Base Costs'!$A$32:$B$37,2,FALSE)</f>
        <v>0</v>
      </c>
      <c r="K27" s="379">
        <f t="shared" si="1"/>
        <v>0</v>
      </c>
      <c r="L27" s="469"/>
      <c r="O27" s="164"/>
      <c r="P27" s="164"/>
    </row>
    <row r="28" spans="1:16" ht="15.75" customHeight="1" x14ac:dyDescent="0.2">
      <c r="A28" s="299">
        <v>268</v>
      </c>
      <c r="B28" s="269" t="s">
        <v>7</v>
      </c>
      <c r="C28" s="314"/>
      <c r="D28" s="269" t="s">
        <v>442</v>
      </c>
      <c r="E28" s="315">
        <v>3</v>
      </c>
      <c r="F28" s="380">
        <f>'Base Costs'!AX21</f>
        <v>188.36199999999999</v>
      </c>
      <c r="G28" s="378">
        <f t="shared" si="2"/>
        <v>0</v>
      </c>
      <c r="H28" s="381">
        <v>0.44</v>
      </c>
      <c r="I28" s="311">
        <f t="shared" si="0"/>
        <v>0</v>
      </c>
      <c r="J28" s="378">
        <f>I28*VLOOKUP($B$10,'Base Costs'!$A$32:$B$37,2,FALSE)</f>
        <v>0</v>
      </c>
      <c r="K28" s="379">
        <f t="shared" si="1"/>
        <v>0</v>
      </c>
      <c r="L28" s="469"/>
      <c r="O28" s="164"/>
      <c r="P28" s="164"/>
    </row>
    <row r="29" spans="1:16" ht="15.75" customHeight="1" x14ac:dyDescent="0.2">
      <c r="A29" s="299">
        <v>268</v>
      </c>
      <c r="B29" s="269" t="s">
        <v>54</v>
      </c>
      <c r="C29" s="314"/>
      <c r="D29" s="269" t="s">
        <v>491</v>
      </c>
      <c r="E29" s="315">
        <v>6</v>
      </c>
      <c r="F29" s="380">
        <f>'Base Costs'!AX22</f>
        <v>700</v>
      </c>
      <c r="G29" s="378">
        <f t="shared" si="2"/>
        <v>0</v>
      </c>
      <c r="H29" s="381">
        <v>0.44</v>
      </c>
      <c r="I29" s="311">
        <f t="shared" si="0"/>
        <v>0</v>
      </c>
      <c r="J29" s="378">
        <f>I29*VLOOKUP($B$10,'Base Costs'!$A$32:$B$37,2,FALSE)</f>
        <v>0</v>
      </c>
      <c r="K29" s="379">
        <f t="shared" si="1"/>
        <v>0</v>
      </c>
      <c r="L29" s="469"/>
      <c r="O29" s="164"/>
      <c r="P29" s="164"/>
    </row>
    <row r="30" spans="1:16" ht="15.75" customHeight="1" x14ac:dyDescent="0.2">
      <c r="A30" s="299">
        <v>268</v>
      </c>
      <c r="B30" s="269" t="s">
        <v>55</v>
      </c>
      <c r="C30" s="314"/>
      <c r="D30" s="269" t="s">
        <v>491</v>
      </c>
      <c r="E30" s="315">
        <v>3</v>
      </c>
      <c r="F30" s="380">
        <f>'Base Costs'!AX23</f>
        <v>380</v>
      </c>
      <c r="G30" s="378">
        <f t="shared" si="2"/>
        <v>0</v>
      </c>
      <c r="H30" s="381">
        <v>0.44</v>
      </c>
      <c r="I30" s="311">
        <f t="shared" si="0"/>
        <v>0</v>
      </c>
      <c r="J30" s="378">
        <f>I30*VLOOKUP($B$10,'Base Costs'!$A$32:$B$37,2,FALSE)</f>
        <v>0</v>
      </c>
      <c r="K30" s="379">
        <f t="shared" si="1"/>
        <v>0</v>
      </c>
      <c r="L30" s="469"/>
      <c r="O30" s="164"/>
      <c r="P30" s="164"/>
    </row>
    <row r="31" spans="1:16" ht="15.75" customHeight="1" x14ac:dyDescent="0.2">
      <c r="A31" s="299">
        <v>268</v>
      </c>
      <c r="B31" s="269" t="s">
        <v>56</v>
      </c>
      <c r="C31" s="314"/>
      <c r="D31" s="269" t="s">
        <v>442</v>
      </c>
      <c r="E31" s="315">
        <v>3</v>
      </c>
      <c r="F31" s="380">
        <f>'Base Costs'!AX24</f>
        <v>358</v>
      </c>
      <c r="G31" s="378">
        <f t="shared" si="2"/>
        <v>0</v>
      </c>
      <c r="H31" s="381">
        <v>0.44</v>
      </c>
      <c r="I31" s="311">
        <f t="shared" si="0"/>
        <v>0</v>
      </c>
      <c r="J31" s="378">
        <f>I31*VLOOKUP($B$10,'Base Costs'!$A$32:$B$37,2,FALSE)</f>
        <v>0</v>
      </c>
      <c r="K31" s="379">
        <f t="shared" si="1"/>
        <v>0</v>
      </c>
      <c r="L31" s="469"/>
      <c r="O31" s="164"/>
      <c r="P31" s="164"/>
    </row>
    <row r="32" spans="1:16" ht="15.75" customHeight="1" x14ac:dyDescent="0.2">
      <c r="B32" s="190" t="s">
        <v>442</v>
      </c>
      <c r="C32" s="186"/>
      <c r="D32" s="190" t="s">
        <v>442</v>
      </c>
      <c r="E32" s="190"/>
      <c r="F32" s="296"/>
      <c r="G32" s="296"/>
      <c r="H32" s="297"/>
      <c r="I32" s="296"/>
      <c r="J32" s="296"/>
      <c r="K32" s="183"/>
      <c r="L32" s="469"/>
      <c r="O32" s="164"/>
      <c r="P32" s="164"/>
    </row>
    <row r="33" spans="1:16" ht="15.75" customHeight="1" thickBot="1" x14ac:dyDescent="0.25">
      <c r="B33" s="24" t="s">
        <v>57</v>
      </c>
      <c r="C33" s="192"/>
      <c r="D33" s="193" t="s">
        <v>442</v>
      </c>
      <c r="E33" s="193"/>
      <c r="F33" s="298"/>
      <c r="G33" s="61">
        <f>SUBTOTAL(9,G34:G54)</f>
        <v>0</v>
      </c>
      <c r="H33" s="39" t="str">
        <f>IF(G33=0,"-",K33/I33)</f>
        <v>-</v>
      </c>
      <c r="I33" s="61">
        <f t="shared" ref="I33:K33" si="3">SUBTOTAL(9,I34:I54)</f>
        <v>0</v>
      </c>
      <c r="J33" s="465">
        <f t="shared" si="3"/>
        <v>0</v>
      </c>
      <c r="K33" s="61">
        <f t="shared" si="3"/>
        <v>0</v>
      </c>
      <c r="L33" s="469"/>
      <c r="O33" s="164"/>
      <c r="P33" s="164"/>
    </row>
    <row r="34" spans="1:16" ht="15.75" customHeight="1" thickBot="1" x14ac:dyDescent="0.3">
      <c r="A34" s="299">
        <v>266</v>
      </c>
      <c r="B34" s="269" t="s">
        <v>472</v>
      </c>
      <c r="C34" s="314"/>
      <c r="D34" s="269" t="s">
        <v>492</v>
      </c>
      <c r="E34" s="269"/>
      <c r="F34" s="380">
        <f>'Base Costs'!AX27</f>
        <v>0</v>
      </c>
      <c r="G34" s="378">
        <f t="shared" ref="G34:G54" si="4">C34*F34</f>
        <v>0</v>
      </c>
      <c r="H34" s="381">
        <v>0.37</v>
      </c>
      <c r="I34" s="378">
        <f t="shared" ref="I34:I54" si="5">G34/(1-H34)*(1+$C$10)</f>
        <v>0</v>
      </c>
      <c r="J34" s="378">
        <f>I34*VLOOKUP($B$10,'Base Costs'!$A$32:$B$37,2,FALSE)</f>
        <v>0</v>
      </c>
      <c r="K34" s="379">
        <f t="shared" ref="K34:K54" si="6">I34-G34</f>
        <v>0</v>
      </c>
      <c r="L34" s="469"/>
      <c r="M34" s="1165" t="s">
        <v>664</v>
      </c>
      <c r="N34" s="1166"/>
      <c r="O34" s="164"/>
      <c r="P34" s="164"/>
    </row>
    <row r="35" spans="1:16" ht="15.75" customHeight="1" x14ac:dyDescent="0.2">
      <c r="A35" s="299">
        <v>266</v>
      </c>
      <c r="B35" s="269" t="s">
        <v>472</v>
      </c>
      <c r="C35" s="314"/>
      <c r="D35" s="269" t="s">
        <v>493</v>
      </c>
      <c r="E35" s="269"/>
      <c r="F35" s="380">
        <f>'Base Costs'!AX50</f>
        <v>151.72839999999999</v>
      </c>
      <c r="G35" s="378">
        <f t="shared" si="4"/>
        <v>0</v>
      </c>
      <c r="H35" s="381">
        <v>0.37</v>
      </c>
      <c r="I35" s="378">
        <f t="shared" si="5"/>
        <v>0</v>
      </c>
      <c r="J35" s="378">
        <f>I35*VLOOKUP($B$10,'Base Costs'!$A$32:$B$37,2,FALSE)</f>
        <v>0</v>
      </c>
      <c r="K35" s="379">
        <f t="shared" si="6"/>
        <v>0</v>
      </c>
      <c r="L35" s="469"/>
      <c r="M35" s="570" t="s">
        <v>613</v>
      </c>
      <c r="N35" s="571"/>
      <c r="O35" s="164"/>
      <c r="P35" s="164"/>
    </row>
    <row r="36" spans="1:16" ht="15.75" customHeight="1" thickBot="1" x14ac:dyDescent="0.25">
      <c r="A36" s="299">
        <v>266</v>
      </c>
      <c r="B36" s="269" t="s">
        <v>473</v>
      </c>
      <c r="C36" s="314"/>
      <c r="D36" s="269" t="s">
        <v>493</v>
      </c>
      <c r="E36" s="269"/>
      <c r="F36" s="380">
        <f>'Base Costs'!AX51</f>
        <v>0</v>
      </c>
      <c r="G36" s="378">
        <f t="shared" si="4"/>
        <v>0</v>
      </c>
      <c r="H36" s="381">
        <v>0.37</v>
      </c>
      <c r="I36" s="378">
        <f t="shared" si="5"/>
        <v>0</v>
      </c>
      <c r="J36" s="378">
        <f>I36*VLOOKUP($B$10,'Base Costs'!$A$32:$B$37,2,FALSE)</f>
        <v>0</v>
      </c>
      <c r="K36" s="379">
        <f t="shared" si="6"/>
        <v>0</v>
      </c>
      <c r="L36" s="469"/>
      <c r="M36" s="572" t="s">
        <v>614</v>
      </c>
      <c r="N36" s="574">
        <v>400</v>
      </c>
      <c r="O36" s="164"/>
      <c r="P36" s="164"/>
    </row>
    <row r="37" spans="1:16" ht="15.75" customHeight="1" thickBot="1" x14ac:dyDescent="0.25">
      <c r="A37" s="299">
        <v>266</v>
      </c>
      <c r="B37" s="269" t="s">
        <v>474</v>
      </c>
      <c r="C37" s="314"/>
      <c r="D37" s="269" t="s">
        <v>442</v>
      </c>
      <c r="E37" s="269"/>
      <c r="F37" s="380">
        <f>'Base Costs'!AX52</f>
        <v>0</v>
      </c>
      <c r="G37" s="378">
        <f t="shared" si="4"/>
        <v>0</v>
      </c>
      <c r="H37" s="381">
        <v>0.37</v>
      </c>
      <c r="I37" s="378">
        <f t="shared" si="5"/>
        <v>0</v>
      </c>
      <c r="J37" s="378">
        <f>I37*VLOOKUP($B$10,'Base Costs'!$A$32:$B$37,2,FALSE)</f>
        <v>0</v>
      </c>
      <c r="K37" s="379">
        <f t="shared" si="6"/>
        <v>0</v>
      </c>
      <c r="L37" s="469"/>
      <c r="M37" s="573" t="s">
        <v>665</v>
      </c>
      <c r="N37" s="575">
        <f>IF((N36)="","0",((N35*1000)/(1.73205080756*N36)))</f>
        <v>0</v>
      </c>
      <c r="O37" s="164"/>
      <c r="P37" s="164"/>
    </row>
    <row r="38" spans="1:16" ht="15.75" customHeight="1" x14ac:dyDescent="0.2">
      <c r="A38" s="299">
        <v>266</v>
      </c>
      <c r="B38" s="269" t="s">
        <v>475</v>
      </c>
      <c r="C38" s="314"/>
      <c r="D38" s="269" t="s">
        <v>442</v>
      </c>
      <c r="E38" s="269"/>
      <c r="F38" s="380">
        <f>'Base Costs'!AX53</f>
        <v>38.213000000000001</v>
      </c>
      <c r="G38" s="378">
        <f t="shared" si="4"/>
        <v>0</v>
      </c>
      <c r="H38" s="381">
        <v>0.37</v>
      </c>
      <c r="I38" s="378">
        <f t="shared" si="5"/>
        <v>0</v>
      </c>
      <c r="J38" s="378">
        <f>I38*VLOOKUP($B$10,'Base Costs'!$A$32:$B$37,2,FALSE)</f>
        <v>0</v>
      </c>
      <c r="K38" s="379">
        <f t="shared" si="6"/>
        <v>0</v>
      </c>
      <c r="L38" s="469"/>
      <c r="O38" s="164"/>
      <c r="P38" s="164"/>
    </row>
    <row r="39" spans="1:16" ht="15.75" customHeight="1" x14ac:dyDescent="0.2">
      <c r="A39" s="299">
        <v>266</v>
      </c>
      <c r="B39" s="269" t="s">
        <v>476</v>
      </c>
      <c r="C39" s="314"/>
      <c r="D39" s="269" t="s">
        <v>726</v>
      </c>
      <c r="E39" s="269"/>
      <c r="F39" s="380">
        <f>'Base Costs'!AX54</f>
        <v>0</v>
      </c>
      <c r="G39" s="378">
        <f t="shared" si="4"/>
        <v>0</v>
      </c>
      <c r="H39" s="381">
        <v>0.37</v>
      </c>
      <c r="I39" s="378">
        <f t="shared" si="5"/>
        <v>0</v>
      </c>
      <c r="J39" s="378">
        <f>I39*VLOOKUP($B$10,'Base Costs'!$A$32:$B$37,2,FALSE)</f>
        <v>0</v>
      </c>
      <c r="K39" s="379">
        <f t="shared" si="6"/>
        <v>0</v>
      </c>
      <c r="L39" s="469"/>
      <c r="O39" s="164"/>
      <c r="P39" s="164"/>
    </row>
    <row r="40" spans="1:16" ht="15.75" customHeight="1" x14ac:dyDescent="0.2">
      <c r="A40" s="299">
        <v>266</v>
      </c>
      <c r="B40" s="269" t="s">
        <v>476</v>
      </c>
      <c r="C40" s="314"/>
      <c r="D40" s="269" t="s">
        <v>727</v>
      </c>
      <c r="E40" s="269"/>
      <c r="F40" s="380">
        <f>'Base Costs'!AX63</f>
        <v>0</v>
      </c>
      <c r="G40" s="378">
        <f t="shared" si="4"/>
        <v>0</v>
      </c>
      <c r="H40" s="381">
        <v>0.37</v>
      </c>
      <c r="I40" s="378">
        <f t="shared" si="5"/>
        <v>0</v>
      </c>
      <c r="J40" s="378">
        <f>I40*VLOOKUP($B$10,'Base Costs'!$A$32:$B$37,2,FALSE)</f>
        <v>0</v>
      </c>
      <c r="K40" s="379">
        <f t="shared" si="6"/>
        <v>0</v>
      </c>
      <c r="L40" s="469"/>
      <c r="O40" s="164"/>
      <c r="P40" s="164"/>
    </row>
    <row r="41" spans="1:16" ht="15.75" customHeight="1" x14ac:dyDescent="0.2">
      <c r="A41" s="299">
        <v>266</v>
      </c>
      <c r="B41" s="269" t="s">
        <v>477</v>
      </c>
      <c r="C41" s="314"/>
      <c r="D41" s="269" t="s">
        <v>728</v>
      </c>
      <c r="E41" s="269"/>
      <c r="F41" s="380">
        <f>'Base Costs'!AX75</f>
        <v>0</v>
      </c>
      <c r="G41" s="378">
        <f t="shared" si="4"/>
        <v>0</v>
      </c>
      <c r="H41" s="381">
        <v>0.37</v>
      </c>
      <c r="I41" s="378">
        <f t="shared" si="5"/>
        <v>0</v>
      </c>
      <c r="J41" s="378">
        <f>I41*VLOOKUP($B$10,'Base Costs'!$A$32:$B$37,2,FALSE)</f>
        <v>0</v>
      </c>
      <c r="K41" s="379">
        <f t="shared" si="6"/>
        <v>0</v>
      </c>
      <c r="L41" s="469"/>
      <c r="O41" s="164"/>
      <c r="P41" s="164"/>
    </row>
    <row r="42" spans="1:16" ht="15.75" customHeight="1" x14ac:dyDescent="0.2">
      <c r="A42" s="299">
        <v>266</v>
      </c>
      <c r="B42" s="269" t="s">
        <v>477</v>
      </c>
      <c r="C42" s="314"/>
      <c r="D42" s="269" t="s">
        <v>727</v>
      </c>
      <c r="E42" s="269"/>
      <c r="F42" s="380">
        <f>'Base Costs'!AX76</f>
        <v>0</v>
      </c>
      <c r="G42" s="378">
        <f t="shared" si="4"/>
        <v>0</v>
      </c>
      <c r="H42" s="381">
        <v>0.37</v>
      </c>
      <c r="I42" s="378">
        <f t="shared" si="5"/>
        <v>0</v>
      </c>
      <c r="J42" s="378">
        <f>I42*VLOOKUP($B$10,'Base Costs'!$A$32:$B$37,2,FALSE)</f>
        <v>0</v>
      </c>
      <c r="K42" s="379">
        <f t="shared" si="6"/>
        <v>0</v>
      </c>
      <c r="L42" s="469"/>
      <c r="O42" s="164"/>
      <c r="P42" s="164"/>
    </row>
    <row r="43" spans="1:16" ht="15.75" customHeight="1" x14ac:dyDescent="0.2">
      <c r="A43" s="299">
        <v>266</v>
      </c>
      <c r="B43" s="269" t="s">
        <v>477</v>
      </c>
      <c r="C43" s="314"/>
      <c r="D43" s="269" t="s">
        <v>729</v>
      </c>
      <c r="E43" s="269"/>
      <c r="F43" s="380">
        <f>'Base Costs'!AX77</f>
        <v>0</v>
      </c>
      <c r="G43" s="378">
        <f t="shared" si="4"/>
        <v>0</v>
      </c>
      <c r="H43" s="381">
        <v>0.37</v>
      </c>
      <c r="I43" s="378">
        <f t="shared" si="5"/>
        <v>0</v>
      </c>
      <c r="J43" s="378">
        <f>I43*VLOOKUP($B$10,'Base Costs'!$A$32:$B$37,2,FALSE)</f>
        <v>0</v>
      </c>
      <c r="K43" s="379">
        <f t="shared" si="6"/>
        <v>0</v>
      </c>
      <c r="L43" s="469"/>
      <c r="O43" s="164"/>
      <c r="P43" s="164"/>
    </row>
    <row r="44" spans="1:16" ht="15.75" customHeight="1" x14ac:dyDescent="0.2">
      <c r="A44" s="299">
        <v>266</v>
      </c>
      <c r="B44" s="269" t="s">
        <v>477</v>
      </c>
      <c r="C44" s="314"/>
      <c r="D44" s="269" t="s">
        <v>730</v>
      </c>
      <c r="E44" s="269"/>
      <c r="F44" s="380">
        <f>'Base Costs'!AX78</f>
        <v>0</v>
      </c>
      <c r="G44" s="378">
        <f t="shared" si="4"/>
        <v>0</v>
      </c>
      <c r="H44" s="381">
        <v>0.37</v>
      </c>
      <c r="I44" s="378">
        <f t="shared" si="5"/>
        <v>0</v>
      </c>
      <c r="J44" s="378">
        <f>I44*VLOOKUP($B$10,'Base Costs'!$A$32:$B$37,2,FALSE)</f>
        <v>0</v>
      </c>
      <c r="K44" s="379">
        <f t="shared" si="6"/>
        <v>0</v>
      </c>
      <c r="L44" s="469"/>
      <c r="O44" s="164"/>
      <c r="P44" s="164"/>
    </row>
    <row r="45" spans="1:16" ht="15.75" customHeight="1" x14ac:dyDescent="0.2">
      <c r="A45" s="299">
        <v>266</v>
      </c>
      <c r="B45" s="269" t="s">
        <v>476</v>
      </c>
      <c r="C45" s="314"/>
      <c r="D45" s="269" t="s">
        <v>494</v>
      </c>
      <c r="E45" s="269"/>
      <c r="F45" s="380">
        <f>'Base Costs'!AX79</f>
        <v>0</v>
      </c>
      <c r="G45" s="378">
        <f t="shared" si="4"/>
        <v>0</v>
      </c>
      <c r="H45" s="381">
        <v>0.37</v>
      </c>
      <c r="I45" s="378">
        <f t="shared" si="5"/>
        <v>0</v>
      </c>
      <c r="J45" s="378">
        <f>I45*VLOOKUP($B$10,'Base Costs'!$A$32:$B$37,2,FALSE)</f>
        <v>0</v>
      </c>
      <c r="K45" s="379">
        <f t="shared" si="6"/>
        <v>0</v>
      </c>
      <c r="L45" s="469"/>
      <c r="O45" s="164"/>
      <c r="P45" s="164"/>
    </row>
    <row r="46" spans="1:16" ht="15.75" customHeight="1" x14ac:dyDescent="0.2">
      <c r="A46" s="299">
        <v>266</v>
      </c>
      <c r="B46" s="269" t="s">
        <v>476</v>
      </c>
      <c r="C46" s="314"/>
      <c r="D46" s="269" t="s">
        <v>495</v>
      </c>
      <c r="E46" s="269"/>
      <c r="F46" s="380">
        <f>'Base Costs'!AX80</f>
        <v>0</v>
      </c>
      <c r="G46" s="378">
        <f t="shared" si="4"/>
        <v>0</v>
      </c>
      <c r="H46" s="381">
        <v>0.37</v>
      </c>
      <c r="I46" s="378">
        <f t="shared" si="5"/>
        <v>0</v>
      </c>
      <c r="J46" s="378">
        <f>I46*VLOOKUP($B$10,'Base Costs'!$A$32:$B$37,2,FALSE)</f>
        <v>0</v>
      </c>
      <c r="K46" s="379">
        <f t="shared" si="6"/>
        <v>0</v>
      </c>
      <c r="L46" s="469"/>
      <c r="O46" s="164"/>
      <c r="P46" s="164"/>
    </row>
    <row r="47" spans="1:16" ht="15.75" customHeight="1" x14ac:dyDescent="0.2">
      <c r="A47" s="299">
        <v>266</v>
      </c>
      <c r="B47" s="269" t="s">
        <v>477</v>
      </c>
      <c r="C47" s="314"/>
      <c r="D47" s="269" t="s">
        <v>494</v>
      </c>
      <c r="E47" s="269"/>
      <c r="F47" s="380">
        <f>'Base Costs'!AX81</f>
        <v>0</v>
      </c>
      <c r="G47" s="378">
        <f t="shared" si="4"/>
        <v>0</v>
      </c>
      <c r="H47" s="381">
        <v>0.37</v>
      </c>
      <c r="I47" s="378">
        <f t="shared" si="5"/>
        <v>0</v>
      </c>
      <c r="J47" s="378">
        <f>I47*VLOOKUP($B$10,'Base Costs'!$A$32:$B$37,2,FALSE)</f>
        <v>0</v>
      </c>
      <c r="K47" s="379">
        <f t="shared" si="6"/>
        <v>0</v>
      </c>
      <c r="L47" s="469"/>
      <c r="O47" s="164"/>
      <c r="P47" s="164"/>
    </row>
    <row r="48" spans="1:16" ht="15.75" customHeight="1" x14ac:dyDescent="0.2">
      <c r="A48" s="299">
        <v>266</v>
      </c>
      <c r="B48" s="269" t="s">
        <v>477</v>
      </c>
      <c r="C48" s="314"/>
      <c r="D48" s="269" t="s">
        <v>495</v>
      </c>
      <c r="E48" s="269"/>
      <c r="F48" s="380">
        <f>'Base Costs'!AX82</f>
        <v>0</v>
      </c>
      <c r="G48" s="378">
        <f t="shared" si="4"/>
        <v>0</v>
      </c>
      <c r="H48" s="381">
        <v>0.37</v>
      </c>
      <c r="I48" s="378">
        <f t="shared" si="5"/>
        <v>0</v>
      </c>
      <c r="J48" s="378">
        <f>I48*VLOOKUP($B$10,'Base Costs'!$A$32:$B$37,2,FALSE)</f>
        <v>0</v>
      </c>
      <c r="K48" s="379">
        <f t="shared" si="6"/>
        <v>0</v>
      </c>
      <c r="L48" s="469"/>
      <c r="O48" s="164"/>
      <c r="P48" s="164"/>
    </row>
    <row r="49" spans="1:16" ht="15.75" customHeight="1" x14ac:dyDescent="0.2">
      <c r="A49" s="299">
        <v>266</v>
      </c>
      <c r="B49" s="269" t="s">
        <v>477</v>
      </c>
      <c r="C49" s="314"/>
      <c r="D49" s="269" t="s">
        <v>496</v>
      </c>
      <c r="E49" s="269"/>
      <c r="F49" s="380">
        <f>'Base Costs'!AX83</f>
        <v>0</v>
      </c>
      <c r="G49" s="378">
        <f t="shared" si="4"/>
        <v>0</v>
      </c>
      <c r="H49" s="381">
        <v>0.37</v>
      </c>
      <c r="I49" s="378">
        <f t="shared" si="5"/>
        <v>0</v>
      </c>
      <c r="J49" s="378">
        <f>I49*VLOOKUP($B$10,'Base Costs'!$A$32:$B$37,2,FALSE)</f>
        <v>0</v>
      </c>
      <c r="K49" s="379">
        <f t="shared" si="6"/>
        <v>0</v>
      </c>
      <c r="L49" s="469"/>
      <c r="O49" s="164"/>
      <c r="P49" s="164"/>
    </row>
    <row r="50" spans="1:16" ht="15.75" customHeight="1" x14ac:dyDescent="0.2">
      <c r="A50" s="299">
        <v>266</v>
      </c>
      <c r="B50" s="269" t="s">
        <v>477</v>
      </c>
      <c r="C50" s="314"/>
      <c r="D50" s="269" t="s">
        <v>497</v>
      </c>
      <c r="E50" s="269"/>
      <c r="F50" s="380">
        <f>'Base Costs'!AX84</f>
        <v>0</v>
      </c>
      <c r="G50" s="378">
        <f t="shared" si="4"/>
        <v>0</v>
      </c>
      <c r="H50" s="381">
        <v>0.37</v>
      </c>
      <c r="I50" s="378">
        <f t="shared" si="5"/>
        <v>0</v>
      </c>
      <c r="J50" s="378">
        <f>I50*VLOOKUP($B$10,'Base Costs'!$A$32:$B$37,2,FALSE)</f>
        <v>0</v>
      </c>
      <c r="K50" s="379">
        <f t="shared" si="6"/>
        <v>0</v>
      </c>
      <c r="L50" s="469"/>
      <c r="O50" s="164"/>
      <c r="P50" s="164"/>
    </row>
    <row r="51" spans="1:16" ht="15.75" customHeight="1" x14ac:dyDescent="0.2">
      <c r="A51" s="299">
        <v>266</v>
      </c>
      <c r="B51" s="269" t="s">
        <v>478</v>
      </c>
      <c r="C51" s="314"/>
      <c r="D51" s="269" t="s">
        <v>498</v>
      </c>
      <c r="E51" s="269"/>
      <c r="F51" s="380">
        <f>'Base Costs'!AX85</f>
        <v>90.619399999999999</v>
      </c>
      <c r="G51" s="378">
        <f t="shared" si="4"/>
        <v>0</v>
      </c>
      <c r="H51" s="381">
        <v>0.37</v>
      </c>
      <c r="I51" s="378">
        <f t="shared" si="5"/>
        <v>0</v>
      </c>
      <c r="J51" s="378">
        <f>I51*VLOOKUP($B$10,'Base Costs'!$A$32:$B$37,2,FALSE)</f>
        <v>0</v>
      </c>
      <c r="K51" s="379">
        <f t="shared" si="6"/>
        <v>0</v>
      </c>
      <c r="L51" s="469"/>
      <c r="O51" s="164"/>
      <c r="P51" s="164"/>
    </row>
    <row r="52" spans="1:16" ht="15.75" customHeight="1" x14ac:dyDescent="0.2">
      <c r="A52" s="299">
        <v>266</v>
      </c>
      <c r="B52" s="269" t="s">
        <v>479</v>
      </c>
      <c r="C52" s="314"/>
      <c r="D52" s="269" t="s">
        <v>442</v>
      </c>
      <c r="E52" s="269"/>
      <c r="F52" s="380">
        <f>'Base Costs'!AX86</f>
        <v>40.396599999999999</v>
      </c>
      <c r="G52" s="378">
        <f t="shared" si="4"/>
        <v>0</v>
      </c>
      <c r="H52" s="381">
        <v>0.37</v>
      </c>
      <c r="I52" s="378">
        <f t="shared" si="5"/>
        <v>0</v>
      </c>
      <c r="J52" s="378">
        <f>I52*VLOOKUP($B$10,'Base Costs'!$A$32:$B$37,2,FALSE)</f>
        <v>0</v>
      </c>
      <c r="K52" s="379">
        <f t="shared" si="6"/>
        <v>0</v>
      </c>
      <c r="L52" s="469"/>
      <c r="O52" s="164"/>
      <c r="P52" s="164"/>
    </row>
    <row r="53" spans="1:16" ht="15.75" customHeight="1" x14ac:dyDescent="0.2">
      <c r="A53" s="299">
        <v>266</v>
      </c>
      <c r="B53" s="269" t="s">
        <v>35</v>
      </c>
      <c r="C53" s="314"/>
      <c r="D53" s="269" t="s">
        <v>499</v>
      </c>
      <c r="E53" s="269"/>
      <c r="F53" s="380">
        <f>'Base Costs'!AX87</f>
        <v>836.34</v>
      </c>
      <c r="G53" s="378">
        <f t="shared" si="4"/>
        <v>0</v>
      </c>
      <c r="H53" s="381">
        <v>0.37</v>
      </c>
      <c r="I53" s="378">
        <f t="shared" si="5"/>
        <v>0</v>
      </c>
      <c r="J53" s="378">
        <f>I53*VLOOKUP($B$10,'Base Costs'!$A$32:$B$37,2,FALSE)</f>
        <v>0</v>
      </c>
      <c r="K53" s="379">
        <f t="shared" si="6"/>
        <v>0</v>
      </c>
      <c r="L53" s="469"/>
      <c r="O53" s="164"/>
      <c r="P53" s="164"/>
    </row>
    <row r="54" spans="1:16" ht="15.75" customHeight="1" x14ac:dyDescent="0.2">
      <c r="A54" s="299">
        <v>266</v>
      </c>
      <c r="B54" s="269" t="s">
        <v>478</v>
      </c>
      <c r="C54" s="314"/>
      <c r="D54" s="269" t="s">
        <v>500</v>
      </c>
      <c r="E54" s="269"/>
      <c r="F54" s="380">
        <f>'Base Costs'!AX88</f>
        <v>146.30120000000002</v>
      </c>
      <c r="G54" s="378">
        <f t="shared" si="4"/>
        <v>0</v>
      </c>
      <c r="H54" s="381">
        <v>0.37</v>
      </c>
      <c r="I54" s="378">
        <f t="shared" si="5"/>
        <v>0</v>
      </c>
      <c r="J54" s="378">
        <f>I54*VLOOKUP($B$10,'Base Costs'!$A$32:$B$37,2,FALSE)</f>
        <v>0</v>
      </c>
      <c r="K54" s="379">
        <f t="shared" si="6"/>
        <v>0</v>
      </c>
      <c r="L54" s="469"/>
      <c r="O54" s="164"/>
      <c r="P54" s="164"/>
    </row>
    <row r="55" spans="1:16" ht="15.75" customHeight="1" x14ac:dyDescent="0.2">
      <c r="B55" s="190"/>
      <c r="C55" s="186"/>
      <c r="D55" s="190" t="s">
        <v>442</v>
      </c>
      <c r="E55" s="190"/>
      <c r="F55" s="190"/>
      <c r="G55" s="296"/>
      <c r="H55" s="297"/>
      <c r="I55" s="296"/>
      <c r="J55" s="296"/>
      <c r="K55" s="183"/>
      <c r="L55" s="469"/>
      <c r="O55" s="164"/>
      <c r="P55" s="164"/>
    </row>
    <row r="56" spans="1:16" ht="15.75" customHeight="1" x14ac:dyDescent="0.2">
      <c r="B56" s="24" t="s">
        <v>58</v>
      </c>
      <c r="C56" s="192"/>
      <c r="D56" s="193" t="s">
        <v>442</v>
      </c>
      <c r="E56" s="193"/>
      <c r="F56" s="193"/>
      <c r="G56" s="61">
        <f>SUBTOTAL(9,G57:G68)</f>
        <v>0</v>
      </c>
      <c r="H56" s="39" t="str">
        <f>IF(G56=0,"-",K56/I56)</f>
        <v>-</v>
      </c>
      <c r="I56" s="61">
        <f t="shared" ref="I56:K56" si="7">SUBTOTAL(9,I57:I68)</f>
        <v>0</v>
      </c>
      <c r="J56" s="465">
        <f t="shared" si="7"/>
        <v>0</v>
      </c>
      <c r="K56" s="61">
        <f t="shared" si="7"/>
        <v>0</v>
      </c>
      <c r="L56" s="469"/>
      <c r="O56" s="164"/>
      <c r="P56" s="164"/>
    </row>
    <row r="57" spans="1:16" ht="15.75" customHeight="1" x14ac:dyDescent="0.2">
      <c r="A57" s="299">
        <v>269</v>
      </c>
      <c r="B57" s="269" t="s">
        <v>21</v>
      </c>
      <c r="C57" s="314"/>
      <c r="D57" s="269" t="s">
        <v>501</v>
      </c>
      <c r="E57" s="269"/>
      <c r="F57" s="380">
        <f>'Base Costs'!AX90</f>
        <v>422.53720000000004</v>
      </c>
      <c r="G57" s="378">
        <f>C57*F57</f>
        <v>0</v>
      </c>
      <c r="H57" s="381">
        <v>0.37</v>
      </c>
      <c r="I57" s="378">
        <f t="shared" ref="I57:I68" si="8">G57/(1-H57)*(1+$C$10)</f>
        <v>0</v>
      </c>
      <c r="J57" s="378">
        <f>I57*VLOOKUP($B$10,'Base Costs'!$A$32:$B$37,2,FALSE)</f>
        <v>0</v>
      </c>
      <c r="K57" s="379">
        <f t="shared" ref="K57:K68" si="9">I57-G57</f>
        <v>0</v>
      </c>
      <c r="L57" s="469"/>
      <c r="O57" s="164"/>
      <c r="P57" s="164"/>
    </row>
    <row r="58" spans="1:16" ht="15.75" customHeight="1" x14ac:dyDescent="0.2">
      <c r="A58" s="299">
        <v>269</v>
      </c>
      <c r="B58" s="269" t="s">
        <v>21</v>
      </c>
      <c r="C58" s="314"/>
      <c r="D58" s="269" t="s">
        <v>502</v>
      </c>
      <c r="E58" s="269"/>
      <c r="F58" s="380">
        <f>'Base Costs'!AX91</f>
        <v>355.43920000000003</v>
      </c>
      <c r="G58" s="378">
        <f t="shared" ref="G58:G68" si="10">C58*F58</f>
        <v>0</v>
      </c>
      <c r="H58" s="381">
        <v>0.37</v>
      </c>
      <c r="I58" s="378">
        <f t="shared" si="8"/>
        <v>0</v>
      </c>
      <c r="J58" s="378">
        <f>I58*VLOOKUP($B$10,'Base Costs'!$A$32:$B$37,2,FALSE)</f>
        <v>0</v>
      </c>
      <c r="K58" s="379">
        <f t="shared" si="9"/>
        <v>0</v>
      </c>
      <c r="L58" s="469"/>
      <c r="O58" s="164"/>
      <c r="P58" s="164"/>
    </row>
    <row r="59" spans="1:16" ht="15.75" customHeight="1" x14ac:dyDescent="0.2">
      <c r="A59" s="299">
        <v>269</v>
      </c>
      <c r="B59" s="269" t="s">
        <v>21</v>
      </c>
      <c r="C59" s="314"/>
      <c r="D59" s="269" t="s">
        <v>503</v>
      </c>
      <c r="E59" s="269"/>
      <c r="F59" s="380">
        <f>'Base Costs'!AX92</f>
        <v>344.43639999999999</v>
      </c>
      <c r="G59" s="378">
        <f t="shared" si="10"/>
        <v>0</v>
      </c>
      <c r="H59" s="381">
        <v>0.37</v>
      </c>
      <c r="I59" s="378">
        <f t="shared" si="8"/>
        <v>0</v>
      </c>
      <c r="J59" s="378">
        <f>I59*VLOOKUP($B$10,'Base Costs'!$A$32:$B$37,2,FALSE)</f>
        <v>0</v>
      </c>
      <c r="K59" s="379">
        <f t="shared" si="9"/>
        <v>0</v>
      </c>
      <c r="L59" s="469"/>
      <c r="O59" s="164"/>
      <c r="P59" s="164"/>
    </row>
    <row r="60" spans="1:16" ht="15.75" customHeight="1" x14ac:dyDescent="0.2">
      <c r="A60" s="299">
        <v>269</v>
      </c>
      <c r="B60" s="269" t="s">
        <v>21</v>
      </c>
      <c r="C60" s="314"/>
      <c r="D60" s="269" t="s">
        <v>504</v>
      </c>
      <c r="E60" s="269"/>
      <c r="F60" s="380">
        <f>'Base Costs'!AX93</f>
        <v>301.8562</v>
      </c>
      <c r="G60" s="378">
        <f t="shared" si="10"/>
        <v>0</v>
      </c>
      <c r="H60" s="381">
        <v>0.37</v>
      </c>
      <c r="I60" s="378">
        <f t="shared" si="8"/>
        <v>0</v>
      </c>
      <c r="J60" s="378">
        <f>I60*VLOOKUP($B$10,'Base Costs'!$A$32:$B$37,2,FALSE)</f>
        <v>0</v>
      </c>
      <c r="K60" s="379">
        <f t="shared" si="9"/>
        <v>0</v>
      </c>
      <c r="L60" s="469"/>
      <c r="O60" s="164"/>
      <c r="P60" s="164"/>
    </row>
    <row r="61" spans="1:16" ht="15.75" customHeight="1" x14ac:dyDescent="0.2">
      <c r="A61" s="299">
        <v>269</v>
      </c>
      <c r="B61" s="269" t="s">
        <v>20</v>
      </c>
      <c r="C61" s="314"/>
      <c r="D61" s="269" t="s">
        <v>505</v>
      </c>
      <c r="E61" s="269"/>
      <c r="F61" s="380">
        <f>'Base Costs'!AX94</f>
        <v>70.3416</v>
      </c>
      <c r="G61" s="378">
        <f t="shared" si="10"/>
        <v>0</v>
      </c>
      <c r="H61" s="381">
        <v>0.37</v>
      </c>
      <c r="I61" s="378">
        <f t="shared" si="8"/>
        <v>0</v>
      </c>
      <c r="J61" s="378">
        <f>I61*VLOOKUP($B$10,'Base Costs'!$A$32:$B$37,2,FALSE)</f>
        <v>0</v>
      </c>
      <c r="K61" s="379">
        <f t="shared" si="9"/>
        <v>0</v>
      </c>
      <c r="L61" s="469"/>
      <c r="O61" s="164"/>
      <c r="P61" s="164"/>
    </row>
    <row r="62" spans="1:16" ht="15.75" customHeight="1" x14ac:dyDescent="0.2">
      <c r="A62" s="299">
        <v>269</v>
      </c>
      <c r="B62" s="269" t="s">
        <v>20</v>
      </c>
      <c r="C62" s="314"/>
      <c r="D62" s="269" t="s">
        <v>506</v>
      </c>
      <c r="E62" s="269"/>
      <c r="F62" s="380">
        <f>'Base Costs'!AX95</f>
        <v>76.436599999999999</v>
      </c>
      <c r="G62" s="378">
        <f t="shared" si="10"/>
        <v>0</v>
      </c>
      <c r="H62" s="381">
        <v>0.37</v>
      </c>
      <c r="I62" s="378">
        <f t="shared" si="8"/>
        <v>0</v>
      </c>
      <c r="J62" s="378">
        <f>I62*VLOOKUP($B$10,'Base Costs'!$A$32:$B$37,2,FALSE)</f>
        <v>0</v>
      </c>
      <c r="K62" s="379">
        <f t="shared" si="9"/>
        <v>0</v>
      </c>
      <c r="L62" s="469"/>
      <c r="O62" s="164"/>
      <c r="P62" s="164"/>
    </row>
    <row r="63" spans="1:16" ht="15.75" customHeight="1" x14ac:dyDescent="0.2">
      <c r="A63" s="299">
        <v>269</v>
      </c>
      <c r="B63" s="269" t="s">
        <v>20</v>
      </c>
      <c r="C63" s="314"/>
      <c r="D63" s="269" t="s">
        <v>507</v>
      </c>
      <c r="E63" s="269"/>
      <c r="F63" s="380">
        <f>'Base Costs'!AX96</f>
        <v>72.525200000000012</v>
      </c>
      <c r="G63" s="378">
        <f t="shared" si="10"/>
        <v>0</v>
      </c>
      <c r="H63" s="381">
        <v>0.37</v>
      </c>
      <c r="I63" s="378">
        <f t="shared" si="8"/>
        <v>0</v>
      </c>
      <c r="J63" s="378">
        <f>I63*VLOOKUP($B$10,'Base Costs'!$A$32:$B$37,2,FALSE)</f>
        <v>0</v>
      </c>
      <c r="K63" s="379">
        <f t="shared" si="9"/>
        <v>0</v>
      </c>
      <c r="L63" s="469"/>
      <c r="O63" s="164"/>
      <c r="P63" s="164"/>
    </row>
    <row r="64" spans="1:16" ht="15.75" customHeight="1" x14ac:dyDescent="0.2">
      <c r="A64" s="299">
        <v>269</v>
      </c>
      <c r="B64" s="269" t="s">
        <v>20</v>
      </c>
      <c r="C64" s="314"/>
      <c r="D64" s="269" t="s">
        <v>508</v>
      </c>
      <c r="E64" s="269"/>
      <c r="F64" s="380">
        <f>'Base Costs'!AX97</f>
        <v>109.74180000000001</v>
      </c>
      <c r="G64" s="378">
        <f t="shared" si="10"/>
        <v>0</v>
      </c>
      <c r="H64" s="381">
        <v>0.37</v>
      </c>
      <c r="I64" s="378">
        <f t="shared" si="8"/>
        <v>0</v>
      </c>
      <c r="J64" s="378">
        <f>I64*VLOOKUP($B$10,'Base Costs'!$A$32:$B$37,2,FALSE)</f>
        <v>0</v>
      </c>
      <c r="K64" s="379">
        <f t="shared" si="9"/>
        <v>0</v>
      </c>
      <c r="L64" s="469"/>
      <c r="O64" s="164"/>
      <c r="P64" s="164"/>
    </row>
    <row r="65" spans="1:16" ht="15.75" customHeight="1" x14ac:dyDescent="0.2">
      <c r="A65" s="299">
        <v>269</v>
      </c>
      <c r="B65" s="269" t="s">
        <v>59</v>
      </c>
      <c r="C65" s="314"/>
      <c r="D65" s="269" t="s">
        <v>507</v>
      </c>
      <c r="E65" s="269"/>
      <c r="F65" s="380">
        <f>'Base Costs'!AX98</f>
        <v>80.263199999999998</v>
      </c>
      <c r="G65" s="378">
        <f t="shared" si="10"/>
        <v>0</v>
      </c>
      <c r="H65" s="381">
        <v>0.37</v>
      </c>
      <c r="I65" s="378">
        <f t="shared" si="8"/>
        <v>0</v>
      </c>
      <c r="J65" s="378">
        <f>I65*VLOOKUP($B$10,'Base Costs'!$A$32:$B$37,2,FALSE)</f>
        <v>0</v>
      </c>
      <c r="K65" s="379">
        <f t="shared" si="9"/>
        <v>0</v>
      </c>
      <c r="L65" s="469"/>
      <c r="O65" s="164"/>
      <c r="P65" s="164"/>
    </row>
    <row r="66" spans="1:16" ht="15.75" customHeight="1" x14ac:dyDescent="0.2">
      <c r="A66" s="299">
        <v>269</v>
      </c>
      <c r="B66" s="269" t="s">
        <v>59</v>
      </c>
      <c r="C66" s="314"/>
      <c r="D66" s="269" t="s">
        <v>508</v>
      </c>
      <c r="E66" s="269"/>
      <c r="F66" s="380">
        <f>'Base Costs'!AX99</f>
        <v>105.88340000000001</v>
      </c>
      <c r="G66" s="378">
        <f t="shared" si="10"/>
        <v>0</v>
      </c>
      <c r="H66" s="381">
        <v>0.37</v>
      </c>
      <c r="I66" s="378">
        <f t="shared" si="8"/>
        <v>0</v>
      </c>
      <c r="J66" s="378">
        <f>I66*VLOOKUP($B$10,'Base Costs'!$A$32:$B$37,2,FALSE)</f>
        <v>0</v>
      </c>
      <c r="K66" s="379">
        <f t="shared" si="9"/>
        <v>0</v>
      </c>
      <c r="L66" s="469"/>
      <c r="O66" s="164"/>
      <c r="P66" s="164"/>
    </row>
    <row r="67" spans="1:16" ht="15.75" customHeight="1" x14ac:dyDescent="0.2">
      <c r="A67" s="299">
        <v>269</v>
      </c>
      <c r="B67" s="269" t="s">
        <v>70</v>
      </c>
      <c r="C67" s="314"/>
      <c r="D67" s="269" t="s">
        <v>509</v>
      </c>
      <c r="E67" s="269"/>
      <c r="F67" s="380">
        <f>'Base Costs'!AX100</f>
        <v>137.5668</v>
      </c>
      <c r="G67" s="378">
        <f t="shared" si="10"/>
        <v>0</v>
      </c>
      <c r="H67" s="381">
        <v>0.37</v>
      </c>
      <c r="I67" s="378">
        <f t="shared" si="8"/>
        <v>0</v>
      </c>
      <c r="J67" s="378">
        <f>I67*VLOOKUP($B$10,'Base Costs'!$A$32:$B$37,2,FALSE)</f>
        <v>0</v>
      </c>
      <c r="K67" s="379">
        <f t="shared" si="9"/>
        <v>0</v>
      </c>
      <c r="L67" s="469"/>
      <c r="O67" s="164"/>
      <c r="P67" s="164"/>
    </row>
    <row r="68" spans="1:16" ht="15.75" customHeight="1" x14ac:dyDescent="0.2">
      <c r="A68" s="299">
        <v>269</v>
      </c>
      <c r="B68" s="269" t="s">
        <v>59</v>
      </c>
      <c r="C68" s="314"/>
      <c r="D68" s="269" t="s">
        <v>510</v>
      </c>
      <c r="E68" s="269"/>
      <c r="F68" s="380">
        <f>'Base Costs'!AX101</f>
        <v>157.2192</v>
      </c>
      <c r="G68" s="378">
        <f t="shared" si="10"/>
        <v>0</v>
      </c>
      <c r="H68" s="381">
        <v>0.37</v>
      </c>
      <c r="I68" s="378">
        <f t="shared" si="8"/>
        <v>0</v>
      </c>
      <c r="J68" s="378">
        <f>I68*VLOOKUP($B$10,'Base Costs'!$A$32:$B$37,2,FALSE)</f>
        <v>0</v>
      </c>
      <c r="K68" s="379">
        <f t="shared" si="9"/>
        <v>0</v>
      </c>
      <c r="L68" s="469"/>
      <c r="O68" s="164"/>
      <c r="P68" s="164"/>
    </row>
    <row r="69" spans="1:16" ht="15.75" customHeight="1" x14ac:dyDescent="0.2">
      <c r="C69" s="159"/>
      <c r="D69" s="165" t="s">
        <v>442</v>
      </c>
      <c r="F69" s="183"/>
      <c r="G69" s="183"/>
      <c r="H69" s="174"/>
      <c r="I69" s="183"/>
      <c r="J69" s="183"/>
      <c r="K69" s="183"/>
      <c r="O69" s="164"/>
      <c r="P69" s="164"/>
    </row>
    <row r="70" spans="1:16" ht="15.75" customHeight="1" x14ac:dyDescent="0.2">
      <c r="B70" s="24" t="s">
        <v>60</v>
      </c>
      <c r="C70" s="192"/>
      <c r="D70" s="194" t="s">
        <v>442</v>
      </c>
      <c r="E70" s="193"/>
      <c r="F70" s="298"/>
      <c r="G70" s="61">
        <f>SUBTOTAL(9,G71:G79)</f>
        <v>0</v>
      </c>
      <c r="H70" s="39" t="str">
        <f>IF(G70=0,"-",K70/I70)</f>
        <v>-</v>
      </c>
      <c r="I70" s="61">
        <f>SUBTOTAL(9,I71:I79)</f>
        <v>0</v>
      </c>
      <c r="J70" s="465">
        <f>SUBTOTAL(9,J71:J79)</f>
        <v>0</v>
      </c>
      <c r="K70" s="61">
        <f>SUBTOTAL(9,K71:K79)</f>
        <v>0</v>
      </c>
      <c r="L70" s="469"/>
      <c r="O70" s="164"/>
      <c r="P70" s="164"/>
    </row>
    <row r="71" spans="1:16" ht="15.75" customHeight="1" x14ac:dyDescent="0.2">
      <c r="A71" s="299">
        <v>269</v>
      </c>
      <c r="B71" s="269" t="s">
        <v>19</v>
      </c>
      <c r="C71" s="314"/>
      <c r="D71" s="269" t="s">
        <v>511</v>
      </c>
      <c r="E71" s="269"/>
      <c r="F71" s="380">
        <f>'Base Costs'!AX103</f>
        <v>307.01839999999999</v>
      </c>
      <c r="G71" s="378">
        <f t="shared" ref="G71:G79" si="11">C71*F71</f>
        <v>0</v>
      </c>
      <c r="H71" s="381">
        <v>0.37</v>
      </c>
      <c r="I71" s="378">
        <f t="shared" ref="I71:I79" si="12">G71/(1-H71)*(1+$C$10)</f>
        <v>0</v>
      </c>
      <c r="J71" s="378">
        <f>I71*VLOOKUP($B$10,'Base Costs'!$A$32:$B$37,2,FALSE)</f>
        <v>0</v>
      </c>
      <c r="K71" s="379">
        <f t="shared" ref="K71:K79" si="13">I71-G71</f>
        <v>0</v>
      </c>
      <c r="L71" s="469"/>
      <c r="O71" s="164"/>
      <c r="P71" s="164"/>
    </row>
    <row r="72" spans="1:16" ht="15.75" customHeight="1" x14ac:dyDescent="0.2">
      <c r="A72" s="299">
        <v>269</v>
      </c>
      <c r="B72" s="269" t="s">
        <v>19</v>
      </c>
      <c r="C72" s="314"/>
      <c r="D72" s="269" t="s">
        <v>512</v>
      </c>
      <c r="E72" s="269"/>
      <c r="F72" s="380">
        <f>'Base Costs'!AX104</f>
        <v>264.07780000000002</v>
      </c>
      <c r="G72" s="378">
        <f t="shared" si="11"/>
        <v>0</v>
      </c>
      <c r="H72" s="381">
        <v>0.37</v>
      </c>
      <c r="I72" s="378">
        <f t="shared" si="12"/>
        <v>0</v>
      </c>
      <c r="J72" s="378">
        <f>I72*VLOOKUP($B$10,'Base Costs'!$A$32:$B$37,2,FALSE)</f>
        <v>0</v>
      </c>
      <c r="K72" s="379">
        <f t="shared" si="13"/>
        <v>0</v>
      </c>
      <c r="L72" s="469"/>
      <c r="O72" s="164"/>
      <c r="P72" s="164"/>
    </row>
    <row r="73" spans="1:16" ht="15.75" customHeight="1" x14ac:dyDescent="0.2">
      <c r="A73" s="299">
        <v>269</v>
      </c>
      <c r="B73" s="269" t="s">
        <v>19</v>
      </c>
      <c r="C73" s="314"/>
      <c r="D73" s="269" t="s">
        <v>513</v>
      </c>
      <c r="E73" s="269"/>
      <c r="F73" s="380">
        <f>'Base Costs'!AX105</f>
        <v>147.50960000000001</v>
      </c>
      <c r="G73" s="378">
        <f t="shared" si="11"/>
        <v>0</v>
      </c>
      <c r="H73" s="381">
        <v>0.37</v>
      </c>
      <c r="I73" s="378">
        <f t="shared" si="12"/>
        <v>0</v>
      </c>
      <c r="J73" s="378">
        <f>I73*VLOOKUP($B$10,'Base Costs'!$A$32:$B$37,2,FALSE)</f>
        <v>0</v>
      </c>
      <c r="K73" s="379">
        <f t="shared" si="13"/>
        <v>0</v>
      </c>
      <c r="L73" s="469"/>
      <c r="O73" s="164"/>
      <c r="P73" s="164"/>
    </row>
    <row r="74" spans="1:16" ht="15.75" customHeight="1" x14ac:dyDescent="0.2">
      <c r="A74" s="299">
        <v>269</v>
      </c>
      <c r="B74" s="269" t="s">
        <v>18</v>
      </c>
      <c r="C74" s="314"/>
      <c r="D74" s="269" t="s">
        <v>514</v>
      </c>
      <c r="E74" s="269"/>
      <c r="F74" s="380">
        <f>'Base Costs'!AX106</f>
        <v>327.39160000000004</v>
      </c>
      <c r="G74" s="378">
        <f t="shared" si="11"/>
        <v>0</v>
      </c>
      <c r="H74" s="381">
        <v>0.37</v>
      </c>
      <c r="I74" s="378">
        <f t="shared" si="12"/>
        <v>0</v>
      </c>
      <c r="J74" s="378">
        <f>I74*VLOOKUP($B$10,'Base Costs'!$A$32:$B$37,2,FALSE)</f>
        <v>0</v>
      </c>
      <c r="K74" s="379">
        <f t="shared" si="13"/>
        <v>0</v>
      </c>
      <c r="L74" s="469"/>
      <c r="O74" s="164"/>
      <c r="P74" s="164"/>
    </row>
    <row r="75" spans="1:16" ht="15.75" customHeight="1" x14ac:dyDescent="0.2">
      <c r="A75" s="299">
        <v>269</v>
      </c>
      <c r="B75" s="269" t="s">
        <v>17</v>
      </c>
      <c r="C75" s="314"/>
      <c r="D75" s="269" t="s">
        <v>515</v>
      </c>
      <c r="E75" s="269"/>
      <c r="F75" s="380">
        <f>'Base Costs'!AX107</f>
        <v>77.42240000000001</v>
      </c>
      <c r="G75" s="378">
        <f t="shared" si="11"/>
        <v>0</v>
      </c>
      <c r="H75" s="381">
        <v>0.37</v>
      </c>
      <c r="I75" s="378">
        <f t="shared" si="12"/>
        <v>0</v>
      </c>
      <c r="J75" s="378">
        <f>I75*VLOOKUP($B$10,'Base Costs'!$A$32:$B$37,2,FALSE)</f>
        <v>0</v>
      </c>
      <c r="K75" s="379">
        <f t="shared" si="13"/>
        <v>0</v>
      </c>
      <c r="L75" s="469"/>
      <c r="O75" s="164"/>
      <c r="P75" s="164"/>
    </row>
    <row r="76" spans="1:16" ht="15.75" customHeight="1" x14ac:dyDescent="0.2">
      <c r="A76" s="299">
        <v>269</v>
      </c>
      <c r="B76" s="269" t="s">
        <v>17</v>
      </c>
      <c r="C76" s="314"/>
      <c r="D76" s="269" t="s">
        <v>516</v>
      </c>
      <c r="E76" s="269"/>
      <c r="F76" s="380">
        <f>'Base Costs'!AX108</f>
        <v>80.984000000000009</v>
      </c>
      <c r="G76" s="378">
        <f t="shared" si="11"/>
        <v>0</v>
      </c>
      <c r="H76" s="381">
        <v>0.37</v>
      </c>
      <c r="I76" s="378">
        <f t="shared" si="12"/>
        <v>0</v>
      </c>
      <c r="J76" s="378">
        <f>I76*VLOOKUP($B$10,'Base Costs'!$A$32:$B$37,2,FALSE)</f>
        <v>0</v>
      </c>
      <c r="K76" s="379">
        <f t="shared" si="13"/>
        <v>0</v>
      </c>
      <c r="L76" s="469"/>
      <c r="O76" s="164"/>
      <c r="P76" s="164"/>
    </row>
    <row r="77" spans="1:16" ht="15.75" customHeight="1" x14ac:dyDescent="0.2">
      <c r="A77" s="299">
        <v>269</v>
      </c>
      <c r="B77" s="269" t="s">
        <v>17</v>
      </c>
      <c r="C77" s="314"/>
      <c r="D77" s="269" t="s">
        <v>517</v>
      </c>
      <c r="E77" s="269"/>
      <c r="F77" s="380">
        <f>'Base Costs'!AX109</f>
        <v>93.650999999999996</v>
      </c>
      <c r="G77" s="378">
        <f t="shared" si="11"/>
        <v>0</v>
      </c>
      <c r="H77" s="381">
        <v>0.37</v>
      </c>
      <c r="I77" s="378">
        <f t="shared" si="12"/>
        <v>0</v>
      </c>
      <c r="J77" s="378">
        <f>I77*VLOOKUP($B$10,'Base Costs'!$A$32:$B$37,2,FALSE)</f>
        <v>0</v>
      </c>
      <c r="K77" s="379">
        <f t="shared" si="13"/>
        <v>0</v>
      </c>
      <c r="L77" s="469"/>
      <c r="O77" s="164"/>
      <c r="P77" s="164"/>
    </row>
    <row r="78" spans="1:16" ht="15.75" customHeight="1" x14ac:dyDescent="0.2">
      <c r="A78" s="299">
        <v>269</v>
      </c>
      <c r="B78" s="269" t="s">
        <v>15</v>
      </c>
      <c r="C78" s="314"/>
      <c r="D78" s="269" t="s">
        <v>518</v>
      </c>
      <c r="E78" s="269"/>
      <c r="F78" s="380">
        <f>'Base Costs'!AX110</f>
        <v>16.376999999999999</v>
      </c>
      <c r="G78" s="378">
        <f t="shared" si="11"/>
        <v>0</v>
      </c>
      <c r="H78" s="381">
        <v>0.37</v>
      </c>
      <c r="I78" s="378">
        <f t="shared" si="12"/>
        <v>0</v>
      </c>
      <c r="J78" s="378">
        <f>I78*VLOOKUP($B$10,'Base Costs'!$A$32:$B$37,2,FALSE)</f>
        <v>0</v>
      </c>
      <c r="K78" s="379">
        <f t="shared" si="13"/>
        <v>0</v>
      </c>
      <c r="L78" s="469"/>
      <c r="O78" s="164"/>
      <c r="P78" s="164"/>
    </row>
    <row r="79" spans="1:16" ht="15.75" customHeight="1" x14ac:dyDescent="0.2">
      <c r="A79" s="299">
        <v>269</v>
      </c>
      <c r="B79" s="269" t="s">
        <v>61</v>
      </c>
      <c r="C79" s="314"/>
      <c r="D79" s="269" t="s">
        <v>519</v>
      </c>
      <c r="E79" s="269"/>
      <c r="F79" s="380">
        <f>'Base Costs'!AX111</f>
        <v>93.28</v>
      </c>
      <c r="G79" s="378">
        <f t="shared" si="11"/>
        <v>0</v>
      </c>
      <c r="H79" s="381">
        <v>0.37</v>
      </c>
      <c r="I79" s="378">
        <f t="shared" si="12"/>
        <v>0</v>
      </c>
      <c r="J79" s="378">
        <f>I79*VLOOKUP($B$10,'Base Costs'!$A$32:$B$37,2,FALSE)</f>
        <v>0</v>
      </c>
      <c r="K79" s="379">
        <f t="shared" si="13"/>
        <v>0</v>
      </c>
      <c r="L79" s="469"/>
      <c r="O79" s="164"/>
      <c r="P79" s="164"/>
    </row>
    <row r="80" spans="1:16" ht="15.75" customHeight="1" x14ac:dyDescent="0.2">
      <c r="B80" s="190"/>
      <c r="C80" s="186"/>
      <c r="D80" s="190"/>
      <c r="E80" s="190"/>
      <c r="F80" s="195"/>
      <c r="G80" s="169"/>
      <c r="H80" s="196"/>
      <c r="I80" s="169"/>
      <c r="J80" s="169"/>
      <c r="L80" s="469"/>
      <c r="O80" s="164"/>
      <c r="P80" s="164"/>
    </row>
    <row r="81" spans="1:16" ht="15.75" customHeight="1" x14ac:dyDescent="0.2">
      <c r="B81" s="24" t="s">
        <v>51</v>
      </c>
      <c r="C81" s="24"/>
      <c r="D81" s="24"/>
      <c r="E81" s="24"/>
      <c r="F81" s="24"/>
      <c r="G81" s="61" t="e">
        <f>SUBTOTAL(9,G82:G88)</f>
        <v>#N/A</v>
      </c>
      <c r="H81" s="39" t="e">
        <f>IF(G81=0,"-",K81/I81)</f>
        <v>#N/A</v>
      </c>
      <c r="I81" s="61" t="e">
        <f>SUBTOTAL(9,I82:I88)</f>
        <v>#N/A</v>
      </c>
      <c r="J81" s="465" t="e">
        <f>SUBTOTAL(9,J82:J88)</f>
        <v>#N/A</v>
      </c>
      <c r="K81" s="61" t="e">
        <f>SUBTOTAL(9,K82:K88)</f>
        <v>#N/A</v>
      </c>
      <c r="L81" s="469"/>
      <c r="O81" s="164"/>
      <c r="P81" s="164"/>
    </row>
    <row r="82" spans="1:16" ht="15.75" customHeight="1" x14ac:dyDescent="0.2">
      <c r="A82" s="299">
        <v>220</v>
      </c>
      <c r="B82" s="589" t="s">
        <v>731</v>
      </c>
      <c r="C82" s="314"/>
      <c r="D82" s="269"/>
      <c r="E82" s="269"/>
      <c r="F82" s="380">
        <f>'Base Costs'!AX113</f>
        <v>116.60000000000001</v>
      </c>
      <c r="G82" s="378">
        <f t="shared" ref="G82:G88" si="14">C82*F82</f>
        <v>0</v>
      </c>
      <c r="H82" s="381">
        <v>0.37</v>
      </c>
      <c r="I82" s="378">
        <f t="shared" ref="I82:I88" si="15">G82/(1-H82)*(1+$C$10)</f>
        <v>0</v>
      </c>
      <c r="J82" s="378">
        <f>I82*VLOOKUP($B$10,'Base Costs'!$A$32:$B$37,2,FALSE)</f>
        <v>0</v>
      </c>
      <c r="K82" s="379">
        <f t="shared" ref="K82:K88" si="16">I82-G82</f>
        <v>0</v>
      </c>
      <c r="L82" s="469"/>
      <c r="O82" s="164"/>
      <c r="P82" s="164"/>
    </row>
    <row r="83" spans="1:16" ht="15.75" customHeight="1" x14ac:dyDescent="0.2">
      <c r="A83" s="299">
        <v>222</v>
      </c>
      <c r="B83" s="269" t="s">
        <v>248</v>
      </c>
      <c r="C83" s="314"/>
      <c r="D83" s="316" t="s">
        <v>367</v>
      </c>
      <c r="E83" s="270"/>
      <c r="F83" s="380" t="e">
        <f>VLOOKUP(D83,'Base Costs'!E4:G213,2,FALSE)</f>
        <v>#N/A</v>
      </c>
      <c r="G83" s="378" t="e">
        <f t="shared" si="14"/>
        <v>#N/A</v>
      </c>
      <c r="H83" s="381">
        <v>0.1</v>
      </c>
      <c r="I83" s="378" t="e">
        <f t="shared" si="15"/>
        <v>#N/A</v>
      </c>
      <c r="J83" s="378" t="e">
        <f>I83*VLOOKUP($B$10,'Base Costs'!$A$32:$B$37,2,FALSE)</f>
        <v>#N/A</v>
      </c>
      <c r="K83" s="379" t="e">
        <f t="shared" si="16"/>
        <v>#N/A</v>
      </c>
      <c r="L83" s="469"/>
      <c r="O83" s="164"/>
      <c r="P83" s="164"/>
    </row>
    <row r="84" spans="1:16" ht="15.75" customHeight="1" x14ac:dyDescent="0.2">
      <c r="A84" s="299">
        <v>265</v>
      </c>
      <c r="B84" s="269" t="s">
        <v>11</v>
      </c>
      <c r="C84" s="314"/>
      <c r="D84" s="269" t="s">
        <v>53</v>
      </c>
      <c r="E84" s="269"/>
      <c r="F84" s="380">
        <f>'Base Costs'!AX115</f>
        <v>583</v>
      </c>
      <c r="G84" s="378">
        <f t="shared" si="14"/>
        <v>0</v>
      </c>
      <c r="H84" s="381">
        <v>0.25</v>
      </c>
      <c r="I84" s="378">
        <f t="shared" si="15"/>
        <v>0</v>
      </c>
      <c r="J84" s="378">
        <f>I84*VLOOKUP($B$10,'Base Costs'!$A$32:$B$37,2,FALSE)</f>
        <v>0</v>
      </c>
      <c r="K84" s="379">
        <f t="shared" si="16"/>
        <v>0</v>
      </c>
      <c r="L84" s="469"/>
      <c r="O84" s="164"/>
      <c r="P84" s="164"/>
    </row>
    <row r="85" spans="1:16" ht="15.75" customHeight="1" x14ac:dyDescent="0.2">
      <c r="A85" s="299">
        <v>267</v>
      </c>
      <c r="B85" s="269" t="s">
        <v>11</v>
      </c>
      <c r="C85" s="314"/>
      <c r="D85" s="269" t="s">
        <v>62</v>
      </c>
      <c r="E85" s="315"/>
      <c r="F85" s="380">
        <f>'Base Costs'!AX116</f>
        <v>583</v>
      </c>
      <c r="G85" s="378">
        <f t="shared" si="14"/>
        <v>0</v>
      </c>
      <c r="H85" s="381">
        <v>0.25</v>
      </c>
      <c r="I85" s="378">
        <f t="shared" si="15"/>
        <v>0</v>
      </c>
      <c r="J85" s="378">
        <f>I85*VLOOKUP($B$10,'Base Costs'!$A$32:$B$37,2,FALSE)</f>
        <v>0</v>
      </c>
      <c r="K85" s="379">
        <f t="shared" si="16"/>
        <v>0</v>
      </c>
      <c r="L85" s="469"/>
      <c r="O85" s="164"/>
      <c r="P85" s="164"/>
    </row>
    <row r="86" spans="1:16" ht="15.75" customHeight="1" x14ac:dyDescent="0.2">
      <c r="A86" s="299">
        <v>253</v>
      </c>
      <c r="B86" s="269" t="s">
        <v>12</v>
      </c>
      <c r="C86" s="314"/>
      <c r="D86" s="269"/>
      <c r="E86" s="269"/>
      <c r="F86" s="380">
        <f>'Base Costs'!AX117</f>
        <v>0</v>
      </c>
      <c r="G86" s="378">
        <f t="shared" si="14"/>
        <v>0</v>
      </c>
      <c r="H86" s="381">
        <v>0.37</v>
      </c>
      <c r="I86" s="378">
        <f t="shared" si="15"/>
        <v>0</v>
      </c>
      <c r="J86" s="378">
        <f>I86*VLOOKUP($B$10,'Base Costs'!$A$32:$B$37,2,FALSE)</f>
        <v>0</v>
      </c>
      <c r="K86" s="379">
        <f t="shared" si="16"/>
        <v>0</v>
      </c>
      <c r="L86" s="469"/>
      <c r="O86" s="164"/>
      <c r="P86" s="164"/>
    </row>
    <row r="87" spans="1:16" ht="15.75" customHeight="1" x14ac:dyDescent="0.2">
      <c r="A87" s="299">
        <v>102</v>
      </c>
      <c r="B87" s="269" t="s">
        <v>13</v>
      </c>
      <c r="C87" s="314"/>
      <c r="D87" s="269"/>
      <c r="E87" s="269"/>
      <c r="F87" s="380">
        <f>'Base Costs'!AX118</f>
        <v>0</v>
      </c>
      <c r="G87" s="378">
        <f t="shared" si="14"/>
        <v>0</v>
      </c>
      <c r="H87" s="381">
        <v>0.37</v>
      </c>
      <c r="I87" s="378">
        <f t="shared" si="15"/>
        <v>0</v>
      </c>
      <c r="J87" s="378">
        <f>I87*VLOOKUP($B$10,'Base Costs'!$A$32:$B$37,2,FALSE)</f>
        <v>0</v>
      </c>
      <c r="K87" s="379">
        <f t="shared" si="16"/>
        <v>0</v>
      </c>
      <c r="L87" s="469"/>
      <c r="O87" s="164"/>
      <c r="P87" s="164"/>
    </row>
    <row r="88" spans="1:16" ht="15.75" customHeight="1" x14ac:dyDescent="0.2">
      <c r="A88" s="299">
        <v>280</v>
      </c>
      <c r="B88" s="269" t="s">
        <v>249</v>
      </c>
      <c r="C88" s="314"/>
      <c r="D88" s="269" t="s">
        <v>118</v>
      </c>
      <c r="E88" s="315"/>
      <c r="F88" s="380">
        <f>400*1.03</f>
        <v>412</v>
      </c>
      <c r="G88" s="378">
        <f t="shared" si="14"/>
        <v>0</v>
      </c>
      <c r="H88" s="381">
        <v>0.32885999999999999</v>
      </c>
      <c r="I88" s="378">
        <f t="shared" si="15"/>
        <v>0</v>
      </c>
      <c r="J88" s="378">
        <f>I88*VLOOKUP($B$10,'Base Costs'!$A$32:$B$37,2,FALSE)</f>
        <v>0</v>
      </c>
      <c r="K88" s="379">
        <f t="shared" si="16"/>
        <v>0</v>
      </c>
      <c r="L88" s="469"/>
      <c r="O88" s="164"/>
      <c r="P88" s="164"/>
    </row>
    <row r="89" spans="1:16" ht="15.75" customHeight="1" x14ac:dyDescent="0.2">
      <c r="B89" s="190"/>
      <c r="C89" s="186"/>
      <c r="D89" s="190"/>
      <c r="E89" s="190"/>
      <c r="F89" s="169"/>
      <c r="G89" s="169"/>
      <c r="H89" s="191"/>
      <c r="I89" s="169"/>
      <c r="J89" s="169"/>
      <c r="K89" s="183"/>
      <c r="L89" s="469"/>
      <c r="M89" s="184"/>
      <c r="N89" s="184"/>
    </row>
    <row r="90" spans="1:16" ht="15.75" customHeight="1" x14ac:dyDescent="0.2">
      <c r="B90" s="197" t="s">
        <v>126</v>
      </c>
      <c r="C90" s="198"/>
      <c r="D90" s="199"/>
      <c r="E90" s="199"/>
      <c r="F90" s="198"/>
      <c r="G90" s="200"/>
      <c r="H90" s="198"/>
      <c r="I90" s="198"/>
      <c r="J90" s="198"/>
      <c r="K90" s="198"/>
      <c r="L90" s="469"/>
      <c r="M90" s="165"/>
    </row>
    <row r="91" spans="1:16" ht="15.75" customHeight="1" x14ac:dyDescent="0.2">
      <c r="A91" s="299">
        <v>268</v>
      </c>
      <c r="B91" s="577" t="s">
        <v>610</v>
      </c>
      <c r="C91" s="578">
        <f>$J$13+$J$84+$J$87</f>
        <v>0</v>
      </c>
      <c r="D91" s="202"/>
      <c r="E91" s="204"/>
      <c r="F91" s="202"/>
      <c r="G91" s="209"/>
      <c r="H91" s="203"/>
      <c r="I91" s="203"/>
      <c r="J91" s="203"/>
      <c r="K91" s="205"/>
    </row>
    <row r="92" spans="1:16" ht="15.75" customHeight="1" x14ac:dyDescent="0.2">
      <c r="A92" s="299">
        <v>270</v>
      </c>
      <c r="B92" s="577" t="s">
        <v>611</v>
      </c>
      <c r="C92" s="578">
        <f>$J$33+$J$56+$J$70+$J$85</f>
        <v>0</v>
      </c>
      <c r="D92" s="202"/>
      <c r="E92" s="204"/>
      <c r="F92" s="202"/>
      <c r="G92" s="209"/>
      <c r="H92" s="203"/>
      <c r="I92" s="203"/>
      <c r="J92" s="203"/>
      <c r="K92" s="205"/>
    </row>
    <row r="93" spans="1:16" ht="15.75" customHeight="1" x14ac:dyDescent="0.2">
      <c r="A93" s="299">
        <v>266</v>
      </c>
      <c r="B93" s="577" t="s">
        <v>708</v>
      </c>
      <c r="C93" s="577" t="e">
        <f>J82+J83+J86</f>
        <v>#N/A</v>
      </c>
      <c r="D93" s="202"/>
      <c r="E93" s="204"/>
      <c r="F93" s="202"/>
      <c r="G93" s="209"/>
      <c r="H93" s="203"/>
      <c r="I93" s="203"/>
      <c r="J93" s="203"/>
      <c r="K93" s="209"/>
    </row>
    <row r="94" spans="1:16" ht="15.75" customHeight="1" thickBot="1" x14ac:dyDescent="0.25">
      <c r="A94" s="299">
        <v>269</v>
      </c>
      <c r="B94" s="579" t="s">
        <v>612</v>
      </c>
      <c r="C94" s="578" t="e">
        <f>C91+C92+C93</f>
        <v>#N/A</v>
      </c>
      <c r="D94" s="202"/>
      <c r="E94" s="204"/>
      <c r="F94" s="202"/>
      <c r="G94" s="209"/>
      <c r="H94" s="206"/>
      <c r="I94" s="203"/>
      <c r="J94" s="203"/>
      <c r="K94" s="209"/>
    </row>
    <row r="95" spans="1:16" ht="15.75" customHeight="1" thickBot="1" x14ac:dyDescent="0.25">
      <c r="A95" s="299">
        <v>280</v>
      </c>
      <c r="B95" s="580" t="s">
        <v>666</v>
      </c>
      <c r="C95" s="581" t="e">
        <f>C94+J88</f>
        <v>#N/A</v>
      </c>
      <c r="D95" s="202"/>
      <c r="E95" s="202"/>
      <c r="F95" s="202"/>
      <c r="G95" s="207"/>
      <c r="H95" s="209"/>
      <c r="I95" s="203"/>
      <c r="J95" s="203"/>
      <c r="K95" s="205"/>
    </row>
    <row r="96" spans="1:16" ht="15.75" customHeight="1" x14ac:dyDescent="0.2">
      <c r="B96" s="202"/>
      <c r="C96" s="202"/>
      <c r="D96" s="202"/>
      <c r="E96" s="202"/>
      <c r="F96" s="202"/>
      <c r="G96" s="207"/>
      <c r="H96" s="209"/>
      <c r="I96" s="203"/>
      <c r="J96" s="203"/>
      <c r="K96" s="205"/>
    </row>
    <row r="97" spans="2:4" ht="15.75" customHeight="1" x14ac:dyDescent="0.2">
      <c r="D97" s="208"/>
    </row>
    <row r="98" spans="2:4" ht="15.75" customHeight="1" x14ac:dyDescent="0.2">
      <c r="D98" s="201"/>
    </row>
    <row r="99" spans="2:4" ht="15.75" customHeight="1" x14ac:dyDescent="0.2">
      <c r="D99" s="208"/>
    </row>
    <row r="100" spans="2:4" ht="15.75" customHeight="1" x14ac:dyDescent="0.2">
      <c r="D100" s="208"/>
    </row>
    <row r="101" spans="2:4" ht="15.75" customHeight="1" x14ac:dyDescent="0.2">
      <c r="D101" s="201"/>
    </row>
    <row r="102" spans="2:4" ht="15.75" customHeight="1" x14ac:dyDescent="0.2">
      <c r="B102" s="172"/>
      <c r="C102" s="172"/>
      <c r="D102" s="172"/>
    </row>
    <row r="103" spans="2:4" ht="15.75" customHeight="1" x14ac:dyDescent="0.2">
      <c r="B103" s="172"/>
      <c r="C103" s="172"/>
      <c r="D103" s="172"/>
    </row>
  </sheetData>
  <protectedRanges>
    <protectedRange sqref="F14:F31 E70:F89 E32:F68" name="Pricing" securityDescriptor="O:WDG:WDD:(A;;CC;;;S-1-5-21-1993962763-879983540-839522115-1221)"/>
    <protectedRange sqref="HO1:IV2 B104:D65529 B1:J2 K2:K3 O90:IV65529 E97:K65529 B32:K32 K69 B80:K80 B89:K89 K96 N90:N96 F91:F96 B81:F81 K9 G55:K55 M38:IV89 M97:N65529 O3:IV37 M1:N17 B83:B88 B14:F31 B33:F68 B70:F79 C82:F8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96:C103 D97:D103" name="Full_2" securityDescriptor="O:WDG:WDD:(A;;CC;;;S-1-5-21-1993962763-879983540-839522115-1156)"/>
    <protectedRange sqref="C3:D3 C7:C8 F3:J3 B3:B7 B11:J12 J8:K8 D10 B9:J9" name="Estimating_1" securityDescriptor="O:WDG:WDD:(A;;CC;;;S-1-5-21-1993962763-879983540-839522115-1221)"/>
    <protectedRange sqref="K5:K7" name="Estimating_2" securityDescriptor="O:WDG:WDD:(A;;CC;;;S-1-5-21-1993962763-879983540-839522115-1221)"/>
    <protectedRange sqref="F4 D7:E8 F6 F8 I4:J7 E5:E6" name="Estimating_1_1" securityDescriptor="O:WDG:WDD:(A;;CC;;;S-1-5-21-1993962763-879983540-839522115-1221)"/>
    <protectedRange sqref="K14:K31 K34:K54 K57:K68 K71:K79 K82:K88" name="Estimating_5" securityDescriptor="O:WDG:WDD:(A;;CC;;;S-1-5-21-1993962763-879983540-839522115-1221)"/>
    <protectedRange sqref="L7" name="Estimating_3" securityDescriptor="O:WDG:WDD:(A;;CC;;;S-1-5-21-1993962763-879983540-839522115-1221)"/>
    <protectedRange sqref="C4:D6" name="Estimating_1_3_2" securityDescriptor="O:WDG:WDD:(A;;CC;;;S-1-5-21-1993962763-879983540-839522115-1221)"/>
    <protectedRange sqref="G5:H8" name="Estimating_4_3" securityDescriptor="O:WDG:WDD:(A;;CC;;;S-1-5-21-1993962763-879983540-839522115-1221)"/>
    <protectedRange sqref="M18:N33" name="Full_3" securityDescriptor="O:WDG:WDD:(A;;CC;;;S-1-5-21-1993962763-879983540-839522115-1156)"/>
    <protectedRange sqref="N37 N34:N35 M34" name="Full_3_1" securityDescriptor="O:WDG:WDD:(A;;CC;;;S-1-5-21-1993962763-879983540-839522115-1156)"/>
    <protectedRange sqref="B94:C94" name="Full_4" securityDescriptor="O:WDG:WDD:(A;;CC;;;S-1-5-21-1993962763-879983540-839522115-1156)"/>
    <protectedRange sqref="B91:C92" name="Full_4_1" securityDescriptor="O:WDG:WDD:(A;;CC;;;S-1-5-21-1993962763-879983540-839522115-1156)"/>
    <protectedRange sqref="B95:C95" name="Full_5" securityDescriptor="O:WDG:WDD:(A;;CC;;;S-1-5-21-1993962763-879983540-839522115-1156)"/>
  </protectedRanges>
  <mergeCells count="10">
    <mergeCell ref="C8:D8"/>
    <mergeCell ref="G8:H8"/>
    <mergeCell ref="M34:N34"/>
    <mergeCell ref="B1:D1"/>
    <mergeCell ref="C4:D4"/>
    <mergeCell ref="G4:H4"/>
    <mergeCell ref="I4:K4"/>
    <mergeCell ref="C6:D6"/>
    <mergeCell ref="G6:H6"/>
    <mergeCell ref="I6:K6"/>
  </mergeCells>
  <conditionalFormatting sqref="B10">
    <cfRule type="containsText" dxfId="11416" priority="31" operator="containsText" text="SELECT">
      <formula>NOT(ISERROR(SEARCH("SELECT",B10)))</formula>
    </cfRule>
    <cfRule type="expression" dxfId="11415" priority="32">
      <formula>B10="CURRENCY"</formula>
    </cfRule>
  </conditionalFormatting>
  <conditionalFormatting sqref="B14:B31">
    <cfRule type="expression" dxfId="11414" priority="7">
      <formula>$C14&gt;0</formula>
    </cfRule>
  </conditionalFormatting>
  <conditionalFormatting sqref="B34:B54">
    <cfRule type="expression" dxfId="11413" priority="6">
      <formula>$C34&gt;0</formula>
    </cfRule>
  </conditionalFormatting>
  <conditionalFormatting sqref="B57:B68">
    <cfRule type="expression" dxfId="11412" priority="5">
      <formula>$C57&gt;0</formula>
    </cfRule>
  </conditionalFormatting>
  <conditionalFormatting sqref="B71:B79">
    <cfRule type="expression" dxfId="11411" priority="4">
      <formula>$C71&gt;0</formula>
    </cfRule>
  </conditionalFormatting>
  <conditionalFormatting sqref="B82:B88">
    <cfRule type="expression" dxfId="11410" priority="2">
      <formula>$C82&gt;0</formula>
    </cfRule>
  </conditionalFormatting>
  <conditionalFormatting sqref="C14:C31 C34:C54 C57:C68 C71:C79">
    <cfRule type="cellIs" dxfId="11409" priority="36" operator="equal">
      <formula>0</formula>
    </cfRule>
  </conditionalFormatting>
  <conditionalFormatting sqref="C82:C88">
    <cfRule type="cellIs" dxfId="11408" priority="1" operator="equal">
      <formula>0</formula>
    </cfRule>
  </conditionalFormatting>
  <conditionalFormatting sqref="C10:D10">
    <cfRule type="cellIs" dxfId="11407" priority="29" operator="lessThan">
      <formula>0</formula>
    </cfRule>
    <cfRule type="cellIs" dxfId="11406" priority="30" operator="greaterThan">
      <formula>0</formula>
    </cfRule>
  </conditionalFormatting>
  <conditionalFormatting sqref="F14:F31">
    <cfRule type="expression" dxfId="11405" priority="28">
      <formula>C14&gt;0</formula>
    </cfRule>
  </conditionalFormatting>
  <conditionalFormatting sqref="F34:F54">
    <cfRule type="expression" dxfId="11404" priority="27">
      <formula>C34&gt;0</formula>
    </cfRule>
  </conditionalFormatting>
  <conditionalFormatting sqref="F57:F68">
    <cfRule type="expression" dxfId="11403" priority="26">
      <formula>C57&gt;0</formula>
    </cfRule>
  </conditionalFormatting>
  <conditionalFormatting sqref="F71:F79">
    <cfRule type="expression" dxfId="11402" priority="24">
      <formula>C71&gt;0</formula>
    </cfRule>
  </conditionalFormatting>
  <conditionalFormatting sqref="F82:F88">
    <cfRule type="expression" dxfId="11401" priority="25">
      <formula>C82&gt;0</formula>
    </cfRule>
  </conditionalFormatting>
  <conditionalFormatting sqref="G14:G31 J14:K31">
    <cfRule type="cellIs" dxfId="11400" priority="23" operator="greaterThan">
      <formula>0</formula>
    </cfRule>
  </conditionalFormatting>
  <conditionalFormatting sqref="G34:G54 G57:G68 G71:G79 G82:G88">
    <cfRule type="cellIs" dxfId="11399" priority="22" operator="greaterThan">
      <formula>0</formula>
    </cfRule>
  </conditionalFormatting>
  <conditionalFormatting sqref="H14:H31">
    <cfRule type="expression" dxfId="11398" priority="41">
      <formula>$C$10&gt;0</formula>
    </cfRule>
    <cfRule type="expression" dxfId="11397" priority="42">
      <formula>$C$10&lt;0</formula>
    </cfRule>
  </conditionalFormatting>
  <conditionalFormatting sqref="H34:H54">
    <cfRule type="expression" dxfId="11396" priority="15">
      <formula>$C$10&gt;0</formula>
    </cfRule>
    <cfRule type="expression" dxfId="11395" priority="16">
      <formula>$C$10&lt;0</formula>
    </cfRule>
  </conditionalFormatting>
  <conditionalFormatting sqref="H57:H68">
    <cfRule type="expression" dxfId="11394" priority="13">
      <formula>$C$10&gt;0</formula>
    </cfRule>
    <cfRule type="expression" dxfId="11393" priority="14">
      <formula>$C$10&lt;0</formula>
    </cfRule>
  </conditionalFormatting>
  <conditionalFormatting sqref="H71:H79">
    <cfRule type="expression" dxfId="11392" priority="11">
      <formula>$C$10&gt;0</formula>
    </cfRule>
    <cfRule type="expression" dxfId="11391" priority="12">
      <formula>$C$10&lt;0</formula>
    </cfRule>
  </conditionalFormatting>
  <conditionalFormatting sqref="H82:H88">
    <cfRule type="expression" dxfId="11390" priority="9">
      <formula>$C$10&gt;0</formula>
    </cfRule>
    <cfRule type="expression" dxfId="11389" priority="10">
      <formula>$C$10&lt;0</formula>
    </cfRule>
  </conditionalFormatting>
  <conditionalFormatting sqref="J1:J7 J9:J32">
    <cfRule type="expression" dxfId="11388" priority="37">
      <formula>$B$10="EURO"</formula>
    </cfRule>
    <cfRule type="expression" dxfId="11387" priority="38">
      <formula>$B$10="USD"</formula>
    </cfRule>
    <cfRule type="expression" dxfId="11386" priority="39">
      <formula>$B$10="PLN"</formula>
    </cfRule>
    <cfRule type="expression" dxfId="11385" priority="40">
      <formula>$B$10="CZK"</formula>
    </cfRule>
  </conditionalFormatting>
  <conditionalFormatting sqref="J34:J55 J57:J69 J71:J80 J82:J1048576">
    <cfRule type="expression" dxfId="11384" priority="18">
      <formula>$B$10="EURO"</formula>
    </cfRule>
  </conditionalFormatting>
  <conditionalFormatting sqref="J34:J1048576">
    <cfRule type="expression" dxfId="11383" priority="19">
      <formula>$B$10="USD"</formula>
    </cfRule>
    <cfRule type="expression" dxfId="11382" priority="20">
      <formula>$B$10="PLN"</formula>
    </cfRule>
    <cfRule type="expression" dxfId="11381" priority="21">
      <formula>$B$10="CZK"</formula>
    </cfRule>
  </conditionalFormatting>
  <conditionalFormatting sqref="J34:K54 J57:K68 J71:K79 J82:K88">
    <cfRule type="cellIs" dxfId="11380" priority="17" operator="greaterThan">
      <formula>0</formula>
    </cfRule>
  </conditionalFormatting>
  <printOptions horizontalCentered="1"/>
  <pageMargins left="0.51181102362204722" right="0.35433070866141736" top="0.27559055118110237" bottom="0.15748031496062992" header="0.31496062992125984" footer="0.11811023622047245"/>
  <pageSetup paperSize="9" scale="57"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'Base Costs'!$A$32:$A$37</xm:f>
          </x14:formula1>
          <xm:sqref>B10</xm:sqref>
        </x14:dataValidation>
        <x14:dataValidation type="list" allowBlank="1" showInputMessage="1" showErrorMessage="1" xr:uid="{00000000-0002-0000-0900-000001000000}">
          <x14:formula1>
            <xm:f>'Base Costs'!$E$4:$E$213</xm:f>
          </x14:formula1>
          <xm:sqref>D83</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8" tint="0.79998168889431442"/>
    <pageSetUpPr fitToPage="1"/>
  </sheetPr>
  <dimension ref="B1:AA86"/>
  <sheetViews>
    <sheetView zoomScale="80" zoomScaleNormal="80" workbookViewId="0">
      <selection activeCell="C3" sqref="C3:D3"/>
    </sheetView>
  </sheetViews>
  <sheetFormatPr baseColWidth="10" defaultColWidth="9.1640625" defaultRowHeight="15" x14ac:dyDescent="0.2"/>
  <cols>
    <col min="1" max="1" width="2.1640625" style="18" customWidth="1"/>
    <col min="2" max="2" width="28.83203125" style="18" customWidth="1"/>
    <col min="3" max="3" width="10.1640625" style="285" customWidth="1"/>
    <col min="4" max="4" width="82.33203125" style="18" customWidth="1"/>
    <col min="5" max="5" width="12.6640625" style="18" customWidth="1"/>
    <col min="6" max="6" width="13.1640625" style="278" customWidth="1"/>
    <col min="7" max="7" width="13.33203125" style="275" customWidth="1"/>
    <col min="8" max="8" width="8.5" style="21" customWidth="1"/>
    <col min="9" max="9" width="11.5" style="275" hidden="1" customWidth="1"/>
    <col min="10" max="10" width="14.1640625" style="275" customWidth="1"/>
    <col min="11" max="11" width="14.5" style="275" customWidth="1"/>
    <col min="12" max="12" width="16.33203125" style="18" customWidth="1"/>
    <col min="13" max="16384" width="9.1640625" style="18"/>
  </cols>
  <sheetData>
    <row r="1" spans="2:27" s="97" customFormat="1" ht="19" x14ac:dyDescent="0.15">
      <c r="B1" s="1168" t="s">
        <v>1503</v>
      </c>
      <c r="C1" s="1168"/>
      <c r="D1" s="1168"/>
      <c r="E1" s="156"/>
      <c r="F1" s="156"/>
      <c r="G1" s="356"/>
      <c r="H1" s="256"/>
      <c r="I1" s="356"/>
      <c r="J1" s="356"/>
      <c r="K1" s="989" t="s">
        <v>1501</v>
      </c>
      <c r="P1" s="98"/>
      <c r="Q1" s="99"/>
      <c r="X1" s="100"/>
      <c r="AA1" s="101"/>
    </row>
    <row r="2" spans="2:27" s="97" customFormat="1" x14ac:dyDescent="0.15">
      <c r="C2" s="283"/>
      <c r="D2" s="257"/>
      <c r="E2" s="257"/>
      <c r="F2" s="258"/>
      <c r="G2" s="368"/>
      <c r="H2" s="148"/>
      <c r="I2" s="258"/>
      <c r="J2" s="258"/>
      <c r="K2" s="148"/>
      <c r="P2" s="105"/>
      <c r="U2" s="106"/>
      <c r="W2" s="100"/>
      <c r="Z2" s="101"/>
    </row>
    <row r="3" spans="2:27" s="97" customFormat="1" ht="16" x14ac:dyDescent="0.15">
      <c r="B3" s="259" t="s">
        <v>733</v>
      </c>
      <c r="C3" s="1169" t="e">
        <f>IF(#REF!="","",#REF!)</f>
        <v>#REF!</v>
      </c>
      <c r="D3" s="1169"/>
      <c r="E3" s="148" t="s">
        <v>78</v>
      </c>
      <c r="F3" s="1159" t="e">
        <f>IF(#REF!="","",#REF!)</f>
        <v>#REF!</v>
      </c>
      <c r="G3" s="1159"/>
      <c r="H3" s="1159"/>
      <c r="I3" s="258"/>
      <c r="J3" s="258"/>
      <c r="K3" s="148"/>
      <c r="P3" s="105"/>
      <c r="W3" s="100"/>
      <c r="Z3" s="101"/>
    </row>
    <row r="4" spans="2:27" s="97" customFormat="1" x14ac:dyDescent="0.15">
      <c r="C4" s="284"/>
      <c r="D4" s="260"/>
      <c r="E4" s="260"/>
      <c r="F4" s="258"/>
      <c r="G4" s="359"/>
      <c r="H4" s="359"/>
      <c r="I4" s="258"/>
      <c r="J4" s="258"/>
      <c r="K4" s="148"/>
      <c r="P4" s="105"/>
      <c r="W4" s="100"/>
      <c r="Z4" s="101"/>
    </row>
    <row r="5" spans="2:27" s="97" customFormat="1" ht="16" x14ac:dyDescent="0.15">
      <c r="B5" s="259" t="s">
        <v>75</v>
      </c>
      <c r="C5" s="1169" t="e">
        <f>IF(#REF!="","",#REF!)</f>
        <v>#REF!</v>
      </c>
      <c r="D5" s="1169"/>
      <c r="E5" s="148" t="s">
        <v>77</v>
      </c>
      <c r="F5" s="1159" t="e">
        <f>IF(#REF!="","",#REF!)</f>
        <v>#REF!</v>
      </c>
      <c r="G5" s="1159"/>
      <c r="H5" s="1159"/>
      <c r="I5" s="258"/>
      <c r="J5" s="258"/>
      <c r="K5" s="148"/>
      <c r="M5" s="110"/>
      <c r="N5" s="110"/>
      <c r="P5" s="105"/>
      <c r="Q5" s="106"/>
      <c r="W5" s="100"/>
      <c r="Z5" s="101"/>
    </row>
    <row r="6" spans="2:27" s="97" customFormat="1" x14ac:dyDescent="0.15">
      <c r="B6" s="259"/>
      <c r="C6" s="261"/>
      <c r="D6" s="260"/>
      <c r="E6" s="260"/>
      <c r="F6" s="148"/>
      <c r="G6" s="359"/>
      <c r="H6" s="470"/>
      <c r="I6" s="258"/>
      <c r="J6" s="258"/>
      <c r="K6" s="148"/>
      <c r="M6" s="110"/>
      <c r="N6" s="110"/>
      <c r="P6" s="105"/>
      <c r="Q6" s="106"/>
      <c r="W6" s="111"/>
      <c r="Z6" s="101"/>
    </row>
    <row r="7" spans="2:27" s="97" customFormat="1" ht="15" customHeight="1" x14ac:dyDescent="0.15">
      <c r="B7" s="80" t="s">
        <v>734</v>
      </c>
      <c r="C7" s="1169" t="e">
        <f>IF(#REF!="","",#REF!)</f>
        <v>#REF!</v>
      </c>
      <c r="D7" s="1169"/>
      <c r="E7" s="148" t="s">
        <v>76</v>
      </c>
      <c r="F7" s="1170" t="e">
        <f>IF(#REF!="","",#REF!)</f>
        <v>#REF!</v>
      </c>
      <c r="G7" s="1170"/>
      <c r="H7" s="1170"/>
      <c r="J7" s="262" t="s">
        <v>79</v>
      </c>
      <c r="K7" s="576" t="e">
        <f>IF(#REF!="","",#REF!)</f>
        <v>#REF!</v>
      </c>
      <c r="L7" s="1094" t="s">
        <v>1408</v>
      </c>
      <c r="M7" s="1094"/>
      <c r="N7" s="1094"/>
      <c r="P7" s="105"/>
      <c r="Q7" s="106"/>
      <c r="W7" s="111"/>
      <c r="Z7" s="101"/>
    </row>
    <row r="8" spans="2:27" s="97" customFormat="1" ht="15" customHeight="1" x14ac:dyDescent="0.15">
      <c r="B8" s="98"/>
      <c r="C8" s="284"/>
      <c r="D8" s="284"/>
      <c r="E8" s="284"/>
      <c r="F8" s="148"/>
      <c r="G8" s="303"/>
      <c r="H8" s="303"/>
      <c r="I8" s="262"/>
      <c r="J8" s="262"/>
      <c r="K8" s="262"/>
      <c r="L8" s="112"/>
      <c r="N8" s="104"/>
      <c r="P8" s="105"/>
      <c r="Q8" s="106"/>
      <c r="W8" s="111"/>
      <c r="Z8" s="101"/>
    </row>
    <row r="9" spans="2:27" s="97" customFormat="1" x14ac:dyDescent="0.15">
      <c r="C9" s="284"/>
      <c r="D9" s="260"/>
      <c r="E9" s="260"/>
      <c r="F9" s="263"/>
      <c r="G9" s="258"/>
      <c r="H9" s="148"/>
      <c r="I9" s="258"/>
      <c r="J9" s="258"/>
      <c r="K9" s="148"/>
      <c r="P9" s="105"/>
      <c r="W9" s="111"/>
      <c r="Z9" s="101"/>
    </row>
    <row r="10" spans="2:27" x14ac:dyDescent="0.2">
      <c r="B10" s="38" t="s">
        <v>353</v>
      </c>
      <c r="C10" s="962"/>
      <c r="D10" s="377">
        <f>IF(C10=0,0,(SUBTOTAL(9,I13:I155)/(1-C10))-I10)</f>
        <v>0</v>
      </c>
      <c r="G10" s="25">
        <f>SUBTOTAL(9,G14:G55)</f>
        <v>615</v>
      </c>
      <c r="H10" s="981">
        <f>IF(K10=0,"-",K10/I10)</f>
        <v>0.400348229831689</v>
      </c>
      <c r="I10" s="25">
        <f>SUBTOTAL(9,I14:I55)</f>
        <v>1025.5952380952381</v>
      </c>
      <c r="J10" s="465">
        <f>SUBTOTAL(9,J14:J55)</f>
        <v>1025.5952380952381</v>
      </c>
      <c r="K10" s="25">
        <f>SUBTOTAL(9,K14:K55)</f>
        <v>410.59523809523819</v>
      </c>
    </row>
    <row r="11" spans="2:27" ht="16" x14ac:dyDescent="0.2">
      <c r="B11" s="2" t="s">
        <v>353</v>
      </c>
      <c r="C11" s="2" t="s">
        <v>542</v>
      </c>
      <c r="D11" s="2" t="s">
        <v>541</v>
      </c>
      <c r="E11" s="2" t="s">
        <v>361</v>
      </c>
      <c r="F11" s="1" t="s">
        <v>209</v>
      </c>
      <c r="G11" s="1" t="s">
        <v>34</v>
      </c>
      <c r="H11" s="3" t="s">
        <v>146</v>
      </c>
      <c r="I11" s="4" t="s">
        <v>210</v>
      </c>
      <c r="J11" s="4" t="s">
        <v>210</v>
      </c>
      <c r="K11" s="4" t="s">
        <v>211</v>
      </c>
    </row>
    <row r="12" spans="2:27" x14ac:dyDescent="0.2">
      <c r="B12" s="261"/>
      <c r="C12" s="261"/>
      <c r="E12" s="36"/>
      <c r="F12" s="302"/>
      <c r="G12" s="94"/>
      <c r="H12" s="304"/>
      <c r="I12" s="94"/>
      <c r="J12" s="94"/>
      <c r="K12" s="94"/>
    </row>
    <row r="13" spans="2:27" ht="16" x14ac:dyDescent="0.2">
      <c r="B13" s="306" t="s">
        <v>364</v>
      </c>
      <c r="C13" s="237" t="s">
        <v>2</v>
      </c>
      <c r="D13" s="374" t="s">
        <v>219</v>
      </c>
      <c r="E13" s="305"/>
      <c r="F13" s="38"/>
      <c r="G13" s="61">
        <f>SUBTOTAL(9,G14:G41)</f>
        <v>615</v>
      </c>
      <c r="H13" s="145">
        <f>IF(G13=0,"-",K13/I13)</f>
        <v>0.400348229831689</v>
      </c>
      <c r="I13" s="61">
        <f>SUBTOTAL(9,I14:I41)</f>
        <v>1025.5952380952381</v>
      </c>
      <c r="J13" s="465">
        <f>SUBTOTAL(9,J14:J41)</f>
        <v>1025.5952380952381</v>
      </c>
      <c r="K13" s="61">
        <f>SUBTOTAL(9,K14:K41)</f>
        <v>410.59523809523819</v>
      </c>
      <c r="N13" s="319"/>
    </row>
    <row r="14" spans="2:27" ht="16" x14ac:dyDescent="0.2">
      <c r="B14" s="269" t="s">
        <v>63</v>
      </c>
      <c r="C14" s="251"/>
      <c r="D14" s="269" t="s">
        <v>1335</v>
      </c>
      <c r="E14" s="269"/>
      <c r="F14" s="380">
        <f>'Base Costs'!AM5</f>
        <v>19.027000000000001</v>
      </c>
      <c r="G14" s="378">
        <f t="shared" ref="G14:G25" si="0">C14*F14</f>
        <v>0</v>
      </c>
      <c r="H14" s="382">
        <v>0.44</v>
      </c>
      <c r="I14" s="307">
        <f>G14/(1-H14)*(1+$C$10)</f>
        <v>0</v>
      </c>
      <c r="J14" s="383">
        <f>I14*VLOOKUP($B$10,'Base Costs'!$A$32:$B$37,2,FALSE)</f>
        <v>0</v>
      </c>
      <c r="K14" s="384">
        <f>I14-G14</f>
        <v>0</v>
      </c>
    </row>
    <row r="15" spans="2:27" ht="16" x14ac:dyDescent="0.2">
      <c r="B15" s="269" t="s">
        <v>64</v>
      </c>
      <c r="C15" s="251"/>
      <c r="D15" s="269" t="s">
        <v>1332</v>
      </c>
      <c r="E15" s="269"/>
      <c r="F15" s="380">
        <f>'Base Costs'!AM6</f>
        <v>33.994199999999999</v>
      </c>
      <c r="G15" s="378">
        <f t="shared" si="0"/>
        <v>0</v>
      </c>
      <c r="H15" s="382">
        <v>0.44</v>
      </c>
      <c r="I15" s="307">
        <f t="shared" ref="I15:I41" si="1">G15/(1-H15)*(1+$C$10)</f>
        <v>0</v>
      </c>
      <c r="J15" s="383">
        <f>I15*VLOOKUP($B$10,'Base Costs'!$A$32:$B$37,2,FALSE)</f>
        <v>0</v>
      </c>
      <c r="K15" s="384">
        <f t="shared" ref="K15:K55" si="2">I15-G15</f>
        <v>0</v>
      </c>
    </row>
    <row r="16" spans="2:27" ht="16" x14ac:dyDescent="0.2">
      <c r="B16" s="269" t="s">
        <v>25</v>
      </c>
      <c r="C16" s="251"/>
      <c r="D16" s="269" t="s">
        <v>441</v>
      </c>
      <c r="E16" s="269"/>
      <c r="F16" s="380">
        <f>'Base Costs'!AM7</f>
        <v>8.9782000000000011</v>
      </c>
      <c r="G16" s="378">
        <f t="shared" si="0"/>
        <v>0</v>
      </c>
      <c r="H16" s="382">
        <v>0.44</v>
      </c>
      <c r="I16" s="307">
        <f t="shared" si="1"/>
        <v>0</v>
      </c>
      <c r="J16" s="383">
        <f>I16*VLOOKUP($B$10,'Base Costs'!$A$32:$B$37,2,FALSE)</f>
        <v>0</v>
      </c>
      <c r="K16" s="384">
        <f t="shared" si="2"/>
        <v>0</v>
      </c>
    </row>
    <row r="17" spans="2:11" ht="16" x14ac:dyDescent="0.2">
      <c r="B17" s="269"/>
      <c r="C17" s="251"/>
      <c r="D17" s="269" t="s">
        <v>442</v>
      </c>
      <c r="E17" s="269"/>
      <c r="F17" s="380"/>
      <c r="G17" s="378"/>
      <c r="H17" s="382">
        <v>0.44</v>
      </c>
      <c r="I17" s="307">
        <f t="shared" si="1"/>
        <v>0</v>
      </c>
      <c r="J17" s="383">
        <f>I17*VLOOKUP($B$10,'Base Costs'!$A$32:$B$37,2,FALSE)</f>
        <v>0</v>
      </c>
      <c r="K17" s="384"/>
    </row>
    <row r="18" spans="2:11" ht="18" customHeight="1" x14ac:dyDescent="0.2">
      <c r="B18" s="269" t="s">
        <v>366</v>
      </c>
      <c r="C18" s="251"/>
      <c r="D18" s="270" t="s">
        <v>365</v>
      </c>
      <c r="E18" s="269"/>
      <c r="F18" s="380">
        <v>83.85</v>
      </c>
      <c r="G18" s="378">
        <f t="shared" si="0"/>
        <v>0</v>
      </c>
      <c r="H18" s="382">
        <v>0.44</v>
      </c>
      <c r="I18" s="307">
        <f t="shared" si="1"/>
        <v>0</v>
      </c>
      <c r="J18" s="383">
        <f>I18*VLOOKUP($B$10,'Base Costs'!$A$32:$B$37,2,FALSE)</f>
        <v>0</v>
      </c>
      <c r="K18" s="379">
        <f t="shared" si="2"/>
        <v>0</v>
      </c>
    </row>
    <row r="19" spans="2:11" ht="16" x14ac:dyDescent="0.2">
      <c r="B19" s="269" t="s">
        <v>65</v>
      </c>
      <c r="C19" s="251"/>
      <c r="D19" s="269" t="s">
        <v>1336</v>
      </c>
      <c r="E19" s="269"/>
      <c r="F19" s="380">
        <f>'Base Costs'!AM8</f>
        <v>162.57220000000001</v>
      </c>
      <c r="G19" s="378">
        <f t="shared" si="0"/>
        <v>0</v>
      </c>
      <c r="H19" s="382">
        <v>0.44</v>
      </c>
      <c r="I19" s="307">
        <f t="shared" si="1"/>
        <v>0</v>
      </c>
      <c r="J19" s="383">
        <f>I19*VLOOKUP($B$10,'Base Costs'!$A$32:$B$37,2,FALSE)</f>
        <v>0</v>
      </c>
      <c r="K19" s="384">
        <f t="shared" si="2"/>
        <v>0</v>
      </c>
    </row>
    <row r="20" spans="2:11" ht="16" x14ac:dyDescent="0.2">
      <c r="B20" s="269" t="s">
        <v>66</v>
      </c>
      <c r="C20" s="251"/>
      <c r="D20" s="269" t="s">
        <v>1334</v>
      </c>
      <c r="E20" s="269"/>
      <c r="F20" s="380">
        <f>'Base Costs'!AM9</f>
        <v>0</v>
      </c>
      <c r="G20" s="378">
        <f t="shared" si="0"/>
        <v>0</v>
      </c>
      <c r="H20" s="382">
        <v>0.44</v>
      </c>
      <c r="I20" s="307">
        <f t="shared" si="1"/>
        <v>0</v>
      </c>
      <c r="J20" s="383">
        <f>I20*VLOOKUP($B$10,'Base Costs'!$A$32:$B$37,2,FALSE)</f>
        <v>0</v>
      </c>
      <c r="K20" s="384">
        <f t="shared" si="2"/>
        <v>0</v>
      </c>
    </row>
    <row r="21" spans="2:11" ht="16" x14ac:dyDescent="0.2">
      <c r="B21" s="269" t="s">
        <v>22</v>
      </c>
      <c r="C21" s="251"/>
      <c r="D21" s="269" t="s">
        <v>443</v>
      </c>
      <c r="E21" s="269"/>
      <c r="F21" s="380">
        <f>'Base Costs'!AM10</f>
        <v>45.283200000000001</v>
      </c>
      <c r="G21" s="378">
        <f t="shared" si="0"/>
        <v>0</v>
      </c>
      <c r="H21" s="382">
        <v>0.44</v>
      </c>
      <c r="I21" s="307">
        <f t="shared" si="1"/>
        <v>0</v>
      </c>
      <c r="J21" s="383">
        <f>I21*VLOOKUP($B$10,'Base Costs'!$A$32:$B$37,2,FALSE)</f>
        <v>0</v>
      </c>
      <c r="K21" s="384">
        <f t="shared" si="2"/>
        <v>0</v>
      </c>
    </row>
    <row r="22" spans="2:11" ht="16" x14ac:dyDescent="0.2">
      <c r="B22" s="269" t="s">
        <v>26</v>
      </c>
      <c r="C22" s="251"/>
      <c r="D22" s="269" t="s">
        <v>444</v>
      </c>
      <c r="E22" s="269"/>
      <c r="F22" s="380">
        <f>'Base Costs'!AM11</f>
        <v>44.710799999999999</v>
      </c>
      <c r="G22" s="378">
        <f t="shared" si="0"/>
        <v>0</v>
      </c>
      <c r="H22" s="382">
        <v>0.44</v>
      </c>
      <c r="I22" s="307">
        <f t="shared" si="1"/>
        <v>0</v>
      </c>
      <c r="J22" s="383">
        <f>I22*VLOOKUP($B$10,'Base Costs'!$A$32:$B$37,2,FALSE)</f>
        <v>0</v>
      </c>
      <c r="K22" s="384">
        <f t="shared" si="2"/>
        <v>0</v>
      </c>
    </row>
    <row r="23" spans="2:11" ht="16" x14ac:dyDescent="0.2">
      <c r="B23" s="269" t="s">
        <v>23</v>
      </c>
      <c r="C23" s="251"/>
      <c r="D23" s="269" t="s">
        <v>445</v>
      </c>
      <c r="E23" s="269"/>
      <c r="F23" s="380">
        <f>'Base Costs'!AM12</f>
        <v>17.744399999999999</v>
      </c>
      <c r="G23" s="378">
        <f t="shared" si="0"/>
        <v>0</v>
      </c>
      <c r="H23" s="382">
        <v>0.44</v>
      </c>
      <c r="I23" s="307">
        <f t="shared" si="1"/>
        <v>0</v>
      </c>
      <c r="J23" s="383">
        <f>I23*VLOOKUP($B$10,'Base Costs'!$A$32:$B$37,2,FALSE)</f>
        <v>0</v>
      </c>
      <c r="K23" s="384">
        <f t="shared" si="2"/>
        <v>0</v>
      </c>
    </row>
    <row r="24" spans="2:11" ht="16" x14ac:dyDescent="0.2">
      <c r="B24" s="269" t="s">
        <v>1010</v>
      </c>
      <c r="C24" s="251"/>
      <c r="D24" s="269" t="s">
        <v>1007</v>
      </c>
      <c r="E24" s="269"/>
      <c r="F24" s="380">
        <f>'Base Costs'!AM13</f>
        <v>198.22</v>
      </c>
      <c r="G24" s="378">
        <f t="shared" si="0"/>
        <v>0</v>
      </c>
      <c r="H24" s="382">
        <v>0.44</v>
      </c>
      <c r="I24" s="307">
        <f t="shared" si="1"/>
        <v>0</v>
      </c>
      <c r="J24" s="383">
        <f>I24*VLOOKUP($B$10,'Base Costs'!$A$32:$B$37,2,FALSE)</f>
        <v>0</v>
      </c>
      <c r="K24" s="384">
        <f t="shared" si="2"/>
        <v>0</v>
      </c>
    </row>
    <row r="25" spans="2:11" ht="16" x14ac:dyDescent="0.2">
      <c r="B25" s="269" t="s">
        <v>1011</v>
      </c>
      <c r="C25" s="251"/>
      <c r="D25" s="269" t="s">
        <v>1009</v>
      </c>
      <c r="E25" s="269"/>
      <c r="F25" s="380">
        <f>'Base Costs'!AM14</f>
        <v>267.12</v>
      </c>
      <c r="G25" s="378">
        <f t="shared" si="0"/>
        <v>0</v>
      </c>
      <c r="H25" s="382">
        <v>0.44</v>
      </c>
      <c r="I25" s="307">
        <f t="shared" si="1"/>
        <v>0</v>
      </c>
      <c r="J25" s="383">
        <f>I25*VLOOKUP($B$10,'Base Costs'!$A$32:$B$37,2,FALSE)</f>
        <v>0</v>
      </c>
      <c r="K25" s="384">
        <f t="shared" si="2"/>
        <v>0</v>
      </c>
    </row>
    <row r="26" spans="2:11" ht="16" x14ac:dyDescent="0.2">
      <c r="B26" s="269" t="s">
        <v>722</v>
      </c>
      <c r="C26" s="251"/>
      <c r="D26" s="269" t="s">
        <v>125</v>
      </c>
      <c r="E26" s="269"/>
      <c r="F26" s="380">
        <f>135*1.03</f>
        <v>139.05000000000001</v>
      </c>
      <c r="G26" s="378">
        <f t="shared" ref="G26:G41" si="3">C26*F26</f>
        <v>0</v>
      </c>
      <c r="H26" s="382">
        <v>0.44</v>
      </c>
      <c r="I26" s="307">
        <f t="shared" si="1"/>
        <v>0</v>
      </c>
      <c r="J26" s="383">
        <f>I26*VLOOKUP($B$10,'Base Costs'!$A$32:$B$37,2,FALSE)</f>
        <v>0</v>
      </c>
      <c r="K26" s="384">
        <f t="shared" si="2"/>
        <v>0</v>
      </c>
    </row>
    <row r="27" spans="2:11" ht="16" x14ac:dyDescent="0.2">
      <c r="B27" s="269" t="s">
        <v>67</v>
      </c>
      <c r="C27" s="251"/>
      <c r="D27" s="269" t="s">
        <v>446</v>
      </c>
      <c r="E27" s="269"/>
      <c r="F27" s="380">
        <f>'Base Costs'!AM16</f>
        <v>5.4484000000000004</v>
      </c>
      <c r="G27" s="378">
        <f t="shared" si="3"/>
        <v>0</v>
      </c>
      <c r="H27" s="382">
        <v>0.44</v>
      </c>
      <c r="I27" s="307">
        <f t="shared" si="1"/>
        <v>0</v>
      </c>
      <c r="J27" s="383">
        <f>I27*VLOOKUP($B$10,'Base Costs'!$A$32:$B$37,2,FALSE)</f>
        <v>0</v>
      </c>
      <c r="K27" s="384">
        <f t="shared" si="2"/>
        <v>0</v>
      </c>
    </row>
    <row r="28" spans="2:11" ht="16" x14ac:dyDescent="0.2">
      <c r="B28" s="269" t="s">
        <v>67</v>
      </c>
      <c r="C28" s="251"/>
      <c r="D28" s="269" t="s">
        <v>447</v>
      </c>
      <c r="E28" s="269"/>
      <c r="F28" s="380">
        <f>'Base Costs'!AM18</f>
        <v>27.220800000000001</v>
      </c>
      <c r="G28" s="378">
        <f t="shared" si="3"/>
        <v>0</v>
      </c>
      <c r="H28" s="382">
        <v>0.44</v>
      </c>
      <c r="I28" s="307">
        <f t="shared" si="1"/>
        <v>0</v>
      </c>
      <c r="J28" s="383">
        <f>I28*VLOOKUP($B$10,'Base Costs'!$A$32:$B$37,2,FALSE)</f>
        <v>0</v>
      </c>
      <c r="K28" s="384">
        <f t="shared" si="2"/>
        <v>0</v>
      </c>
    </row>
    <row r="29" spans="2:11" ht="16" x14ac:dyDescent="0.2">
      <c r="B29" s="269"/>
      <c r="C29" s="251"/>
      <c r="D29" s="269" t="s">
        <v>448</v>
      </c>
      <c r="E29" s="269"/>
      <c r="F29" s="380">
        <f>'Base Costs'!AM19</f>
        <v>0</v>
      </c>
      <c r="G29" s="378">
        <f t="shared" si="3"/>
        <v>0</v>
      </c>
      <c r="H29" s="382">
        <v>0.44</v>
      </c>
      <c r="I29" s="307">
        <f t="shared" si="1"/>
        <v>0</v>
      </c>
      <c r="J29" s="383">
        <f>I29*VLOOKUP($B$10,'Base Costs'!$A$32:$B$37,2,FALSE)</f>
        <v>0</v>
      </c>
      <c r="K29" s="384">
        <f t="shared" si="2"/>
        <v>0</v>
      </c>
    </row>
    <row r="30" spans="2:11" ht="16" x14ac:dyDescent="0.2">
      <c r="B30" s="269" t="s">
        <v>669</v>
      </c>
      <c r="C30" s="251"/>
      <c r="D30" s="269" t="s">
        <v>518</v>
      </c>
      <c r="E30" s="269"/>
      <c r="F30" s="380">
        <f>'Base Costs'!AM20</f>
        <v>262.03199999999998</v>
      </c>
      <c r="G30" s="378">
        <f t="shared" si="3"/>
        <v>0</v>
      </c>
      <c r="H30" s="382">
        <v>0.44</v>
      </c>
      <c r="I30" s="307">
        <f t="shared" si="1"/>
        <v>0</v>
      </c>
      <c r="J30" s="383">
        <f>I30*VLOOKUP($B$10,'Base Costs'!$A$32:$B$37,2,FALSE)</f>
        <v>0</v>
      </c>
      <c r="K30" s="384">
        <f t="shared" si="2"/>
        <v>0</v>
      </c>
    </row>
    <row r="31" spans="2:11" ht="16" x14ac:dyDescent="0.2">
      <c r="B31" s="269"/>
      <c r="C31" s="251"/>
      <c r="D31" s="280" t="s">
        <v>449</v>
      </c>
      <c r="E31" s="280"/>
      <c r="F31" s="380">
        <f>'Base Costs'!AM21</f>
        <v>0</v>
      </c>
      <c r="G31" s="378">
        <f t="shared" si="3"/>
        <v>0</v>
      </c>
      <c r="H31" s="382">
        <v>0.44</v>
      </c>
      <c r="I31" s="307">
        <f t="shared" si="1"/>
        <v>0</v>
      </c>
      <c r="J31" s="383">
        <f>I31*VLOOKUP($B$10,'Base Costs'!$A$32:$B$37,2,FALSE)</f>
        <v>0</v>
      </c>
      <c r="K31" s="384">
        <f t="shared" si="2"/>
        <v>0</v>
      </c>
    </row>
    <row r="32" spans="2:11" ht="16" x14ac:dyDescent="0.2">
      <c r="B32" s="269" t="s">
        <v>29</v>
      </c>
      <c r="C32" s="251"/>
      <c r="D32" s="269" t="s">
        <v>442</v>
      </c>
      <c r="E32" s="269"/>
      <c r="F32" s="380">
        <v>0</v>
      </c>
      <c r="G32" s="378">
        <f t="shared" si="3"/>
        <v>0</v>
      </c>
      <c r="H32" s="382">
        <v>0.44</v>
      </c>
      <c r="I32" s="307">
        <f t="shared" si="1"/>
        <v>0</v>
      </c>
      <c r="J32" s="383">
        <f>I32*VLOOKUP($B$10,'Base Costs'!$A$32:$B$37,2,FALSE)</f>
        <v>0</v>
      </c>
      <c r="K32" s="384">
        <f t="shared" si="2"/>
        <v>0</v>
      </c>
    </row>
    <row r="33" spans="2:14" ht="16" x14ac:dyDescent="0.2">
      <c r="B33" s="269" t="s">
        <v>28</v>
      </c>
      <c r="C33" s="251"/>
      <c r="D33" s="269" t="s">
        <v>442</v>
      </c>
      <c r="E33" s="269"/>
      <c r="F33" s="380">
        <v>0</v>
      </c>
      <c r="G33" s="378">
        <f t="shared" si="3"/>
        <v>0</v>
      </c>
      <c r="H33" s="382">
        <v>0.44</v>
      </c>
      <c r="I33" s="307">
        <f t="shared" si="1"/>
        <v>0</v>
      </c>
      <c r="J33" s="383">
        <f>I33*VLOOKUP($B$10,'Base Costs'!$A$32:$B$37,2,FALSE)</f>
        <v>0</v>
      </c>
      <c r="K33" s="384">
        <f t="shared" si="2"/>
        <v>0</v>
      </c>
    </row>
    <row r="34" spans="2:14" ht="16" x14ac:dyDescent="0.2">
      <c r="B34" s="269" t="s">
        <v>15</v>
      </c>
      <c r="C34" s="251"/>
      <c r="D34" s="269" t="s">
        <v>442</v>
      </c>
      <c r="E34" s="269"/>
      <c r="F34" s="380">
        <v>0</v>
      </c>
      <c r="G34" s="378">
        <f t="shared" si="3"/>
        <v>0</v>
      </c>
      <c r="H34" s="382">
        <v>0.44</v>
      </c>
      <c r="I34" s="307">
        <f t="shared" si="1"/>
        <v>0</v>
      </c>
      <c r="J34" s="383">
        <f>I34*VLOOKUP($B$10,'Base Costs'!$A$32:$B$37,2,FALSE)</f>
        <v>0</v>
      </c>
      <c r="K34" s="384">
        <f t="shared" si="2"/>
        <v>0</v>
      </c>
    </row>
    <row r="35" spans="2:14" ht="16" x14ac:dyDescent="0.2">
      <c r="B35" s="269"/>
      <c r="C35" s="251"/>
      <c r="D35" s="282" t="s">
        <v>450</v>
      </c>
      <c r="E35" s="282"/>
      <c r="F35" s="380">
        <f>'Base Costs'!AM22</f>
        <v>0</v>
      </c>
      <c r="G35" s="378">
        <f t="shared" si="3"/>
        <v>0</v>
      </c>
      <c r="H35" s="382">
        <v>0.44</v>
      </c>
      <c r="I35" s="307">
        <f t="shared" si="1"/>
        <v>0</v>
      </c>
      <c r="J35" s="383">
        <f>I35*VLOOKUP($B$10,'Base Costs'!$A$32:$B$37,2,FALSE)</f>
        <v>0</v>
      </c>
      <c r="K35" s="384">
        <f t="shared" si="2"/>
        <v>0</v>
      </c>
    </row>
    <row r="36" spans="2:14" ht="16" x14ac:dyDescent="0.2">
      <c r="B36" s="269" t="s">
        <v>68</v>
      </c>
      <c r="C36" s="251"/>
      <c r="D36" s="269" t="s">
        <v>451</v>
      </c>
      <c r="E36" s="269"/>
      <c r="F36" s="380">
        <f>'Base Costs'!AM23</f>
        <v>0</v>
      </c>
      <c r="G36" s="378">
        <f t="shared" si="3"/>
        <v>0</v>
      </c>
      <c r="H36" s="382">
        <v>0.44</v>
      </c>
      <c r="I36" s="307">
        <f t="shared" si="1"/>
        <v>0</v>
      </c>
      <c r="J36" s="383">
        <f>I36*VLOOKUP($B$10,'Base Costs'!$A$32:$B$37,2,FALSE)</f>
        <v>0</v>
      </c>
      <c r="K36" s="384">
        <f t="shared" si="2"/>
        <v>0</v>
      </c>
    </row>
    <row r="37" spans="2:14" ht="16" x14ac:dyDescent="0.2">
      <c r="B37" s="992" t="s">
        <v>1351</v>
      </c>
      <c r="C37" s="1016">
        <v>1</v>
      </c>
      <c r="D37" s="1017" t="s">
        <v>1350</v>
      </c>
      <c r="E37" s="992"/>
      <c r="F37" s="1009">
        <v>5</v>
      </c>
      <c r="G37" s="1010">
        <f t="shared" si="3"/>
        <v>5</v>
      </c>
      <c r="H37" s="1018">
        <v>0.44</v>
      </c>
      <c r="I37" s="1019">
        <f t="shared" si="1"/>
        <v>8.928571428571427</v>
      </c>
      <c r="J37" s="1020">
        <f>I37*VLOOKUP($B$10,'Base Costs'!$A$32:$B$37,2,FALSE)</f>
        <v>8.928571428571427</v>
      </c>
      <c r="K37" s="1021">
        <f t="shared" si="2"/>
        <v>3.928571428571427</v>
      </c>
      <c r="L37" s="1022" t="s">
        <v>1453</v>
      </c>
      <c r="M37" s="1022"/>
    </row>
    <row r="38" spans="2:14" ht="16" x14ac:dyDescent="0.2">
      <c r="B38" s="269"/>
      <c r="C38" s="251"/>
      <c r="D38" s="269" t="s">
        <v>452</v>
      </c>
      <c r="E38" s="269"/>
      <c r="F38" s="380">
        <f>'Base Costs'!AM25</f>
        <v>0</v>
      </c>
      <c r="G38" s="378">
        <f t="shared" si="3"/>
        <v>0</v>
      </c>
      <c r="H38" s="382">
        <v>0.44</v>
      </c>
      <c r="I38" s="307">
        <f t="shared" si="1"/>
        <v>0</v>
      </c>
      <c r="J38" s="383">
        <f>I38*VLOOKUP($B$10,'Base Costs'!$A$32:$B$37,2,FALSE)</f>
        <v>0</v>
      </c>
      <c r="K38" s="384">
        <f t="shared" si="2"/>
        <v>0</v>
      </c>
    </row>
    <row r="39" spans="2:14" ht="16" x14ac:dyDescent="0.2">
      <c r="B39" s="269" t="s">
        <v>454</v>
      </c>
      <c r="C39" s="251"/>
      <c r="D39" s="269" t="s">
        <v>453</v>
      </c>
      <c r="E39" s="269"/>
      <c r="F39" s="380">
        <f>175*1.03</f>
        <v>180.25</v>
      </c>
      <c r="G39" s="378">
        <f t="shared" si="3"/>
        <v>0</v>
      </c>
      <c r="H39" s="382">
        <v>0.44</v>
      </c>
      <c r="I39" s="307">
        <f t="shared" si="1"/>
        <v>0</v>
      </c>
      <c r="J39" s="383">
        <f>I39*VLOOKUP($B$10,'Base Costs'!$A$32:$B$37,2,FALSE)</f>
        <v>0</v>
      </c>
      <c r="K39" s="384">
        <f t="shared" si="2"/>
        <v>0</v>
      </c>
    </row>
    <row r="40" spans="2:14" ht="16" x14ac:dyDescent="0.2">
      <c r="B40" s="269" t="s">
        <v>455</v>
      </c>
      <c r="C40" s="251"/>
      <c r="D40" s="269" t="s">
        <v>453</v>
      </c>
      <c r="E40" s="269"/>
      <c r="F40" s="380">
        <f>175*1.03</f>
        <v>180.25</v>
      </c>
      <c r="G40" s="378">
        <f t="shared" si="3"/>
        <v>0</v>
      </c>
      <c r="H40" s="382">
        <v>0.44</v>
      </c>
      <c r="I40" s="307">
        <f t="shared" si="1"/>
        <v>0</v>
      </c>
      <c r="J40" s="383">
        <f>I40*VLOOKUP($B$10,'Base Costs'!$A$32:$B$37,2,FALSE)</f>
        <v>0</v>
      </c>
      <c r="K40" s="384">
        <f t="shared" si="2"/>
        <v>0</v>
      </c>
    </row>
    <row r="41" spans="2:14" ht="16" x14ac:dyDescent="0.2">
      <c r="B41" s="934" t="s">
        <v>1448</v>
      </c>
      <c r="C41" s="251">
        <v>1</v>
      </c>
      <c r="D41" s="281" t="s">
        <v>1447</v>
      </c>
      <c r="E41" s="281"/>
      <c r="F41" s="380">
        <v>610</v>
      </c>
      <c r="G41" s="378">
        <f t="shared" si="3"/>
        <v>610</v>
      </c>
      <c r="H41" s="382">
        <v>0.4</v>
      </c>
      <c r="I41" s="307">
        <f t="shared" si="1"/>
        <v>1016.6666666666667</v>
      </c>
      <c r="J41" s="383">
        <f>I41*VLOOKUP($B$10,'Base Costs'!$A$32:$B$37,2,FALSE)</f>
        <v>1016.6666666666667</v>
      </c>
      <c r="K41" s="384">
        <f t="shared" si="2"/>
        <v>406.66666666666674</v>
      </c>
    </row>
    <row r="42" spans="2:14" x14ac:dyDescent="0.2">
      <c r="B42" s="264"/>
      <c r="C42" s="17"/>
      <c r="F42" s="265"/>
      <c r="G42" s="265"/>
      <c r="H42" s="266"/>
      <c r="I42" s="369"/>
      <c r="J42" s="369"/>
      <c r="K42" s="370"/>
    </row>
    <row r="43" spans="2:14" ht="16" x14ac:dyDescent="0.2">
      <c r="B43" s="85" t="s">
        <v>51</v>
      </c>
      <c r="C43" s="85"/>
      <c r="D43" s="86"/>
      <c r="E43" s="86"/>
      <c r="F43" s="86"/>
      <c r="G43" s="154">
        <f>SUBTOTAL(9,G46:G55)</f>
        <v>0</v>
      </c>
      <c r="H43" s="15" t="str">
        <f>IF(G43=0,"-",K43/I43)</f>
        <v>-</v>
      </c>
      <c r="I43" s="154">
        <f>SUBTOTAL(9,I46:I55)</f>
        <v>0</v>
      </c>
      <c r="J43" s="465">
        <f>SUBTOTAL(9,J44:J55)</f>
        <v>0</v>
      </c>
      <c r="K43" s="154">
        <f>SUBTOTAL(9,K46:K55)</f>
        <v>0</v>
      </c>
      <c r="L43" s="267"/>
      <c r="M43" s="268"/>
      <c r="N43" s="268"/>
    </row>
    <row r="44" spans="2:14" ht="16.5" customHeight="1" x14ac:dyDescent="0.2">
      <c r="B44" s="589" t="s">
        <v>731</v>
      </c>
      <c r="C44" s="286"/>
      <c r="D44" s="289" t="s">
        <v>48</v>
      </c>
      <c r="E44" s="271"/>
      <c r="F44" s="380">
        <f>VLOOKUP(D44,'Base Costs'!E4:G213,2,FALSE)</f>
        <v>0</v>
      </c>
      <c r="G44" s="378">
        <f>C44*F44</f>
        <v>0</v>
      </c>
      <c r="H44" s="382">
        <v>0.33</v>
      </c>
      <c r="I44" s="307">
        <f t="shared" ref="I44:I55" si="4">G44/(1-H44)*(1+$C$10)</f>
        <v>0</v>
      </c>
      <c r="J44" s="383">
        <f>I44*VLOOKUP($B$10,'Base Costs'!$A$32:$B$37,2,FALSE)</f>
        <v>0</v>
      </c>
      <c r="K44" s="384">
        <f t="shared" ref="K44" si="5">I44-G44</f>
        <v>0</v>
      </c>
    </row>
    <row r="45" spans="2:14" ht="16" x14ac:dyDescent="0.2">
      <c r="B45" s="269" t="s">
        <v>36</v>
      </c>
      <c r="C45" s="286"/>
      <c r="D45" s="288" t="s">
        <v>189</v>
      </c>
      <c r="E45" s="270"/>
      <c r="F45" s="380">
        <f>VLOOKUP(D45,'Base Costs'!A4:B16,2,FALSE)</f>
        <v>0</v>
      </c>
      <c r="G45" s="378">
        <f>C45*F45</f>
        <v>0</v>
      </c>
      <c r="H45" s="382">
        <v>0.33</v>
      </c>
      <c r="I45" s="307">
        <f t="shared" si="4"/>
        <v>0</v>
      </c>
      <c r="J45" s="383">
        <f>I45*VLOOKUP($B$10,'Base Costs'!$A$32:$B$37,2,FALSE)</f>
        <v>0</v>
      </c>
      <c r="K45" s="384">
        <f>I45-G45</f>
        <v>0</v>
      </c>
    </row>
    <row r="46" spans="2:14" ht="16" x14ac:dyDescent="0.2">
      <c r="B46" s="269" t="s">
        <v>220</v>
      </c>
      <c r="C46" s="286"/>
      <c r="D46" s="269" t="s">
        <v>227</v>
      </c>
      <c r="E46" s="269"/>
      <c r="F46" s="380">
        <f>250*1.03</f>
        <v>257.5</v>
      </c>
      <c r="G46" s="378">
        <f t="shared" ref="G46:G55" si="6">C46*F46</f>
        <v>0</v>
      </c>
      <c r="H46" s="382">
        <v>0.4</v>
      </c>
      <c r="I46" s="307">
        <f t="shared" si="4"/>
        <v>0</v>
      </c>
      <c r="J46" s="383">
        <f>I46*VLOOKUP($B$10,'Base Costs'!$A$32:$B$37,2,FALSE)</f>
        <v>0</v>
      </c>
      <c r="K46" s="384">
        <f t="shared" si="2"/>
        <v>0</v>
      </c>
    </row>
    <row r="47" spans="2:14" ht="16" x14ac:dyDescent="0.2">
      <c r="B47" s="269" t="s">
        <v>221</v>
      </c>
      <c r="C47" s="286"/>
      <c r="D47" s="269" t="s">
        <v>228</v>
      </c>
      <c r="E47" s="269"/>
      <c r="F47" s="380">
        <f>300*1.03</f>
        <v>309</v>
      </c>
      <c r="G47" s="378">
        <f t="shared" si="6"/>
        <v>0</v>
      </c>
      <c r="H47" s="382">
        <v>0.4</v>
      </c>
      <c r="I47" s="307">
        <f t="shared" si="4"/>
        <v>0</v>
      </c>
      <c r="J47" s="383">
        <f>I47*VLOOKUP($B$10,'Base Costs'!$A$32:$B$37,2,FALSE)</f>
        <v>0</v>
      </c>
      <c r="K47" s="384">
        <f t="shared" si="2"/>
        <v>0</v>
      </c>
    </row>
    <row r="48" spans="2:14" ht="16" x14ac:dyDescent="0.2">
      <c r="B48" s="269" t="s">
        <v>222</v>
      </c>
      <c r="C48" s="286"/>
      <c r="D48" s="269" t="s">
        <v>229</v>
      </c>
      <c r="E48" s="269"/>
      <c r="F48" s="380">
        <f>4.5*1.03</f>
        <v>4.6349999999999998</v>
      </c>
      <c r="G48" s="378">
        <f t="shared" si="6"/>
        <v>0</v>
      </c>
      <c r="H48" s="382">
        <v>0.4</v>
      </c>
      <c r="I48" s="307">
        <f t="shared" si="4"/>
        <v>0</v>
      </c>
      <c r="J48" s="383">
        <f>I48*VLOOKUP($B$10,'Base Costs'!$A$32:$B$37,2,FALSE)</f>
        <v>0</v>
      </c>
      <c r="K48" s="384">
        <f t="shared" si="2"/>
        <v>0</v>
      </c>
    </row>
    <row r="49" spans="2:11" ht="16" x14ac:dyDescent="0.2">
      <c r="B49" s="269" t="s">
        <v>223</v>
      </c>
      <c r="C49" s="286"/>
      <c r="D49" s="269" t="s">
        <v>230</v>
      </c>
      <c r="E49" s="269"/>
      <c r="F49" s="380">
        <f>300*1.03</f>
        <v>309</v>
      </c>
      <c r="G49" s="378">
        <f t="shared" si="6"/>
        <v>0</v>
      </c>
      <c r="H49" s="382">
        <v>0.4</v>
      </c>
      <c r="I49" s="307">
        <f t="shared" si="4"/>
        <v>0</v>
      </c>
      <c r="J49" s="383">
        <f>I49*VLOOKUP($B$10,'Base Costs'!$A$32:$B$37,2,FALSE)</f>
        <v>0</v>
      </c>
      <c r="K49" s="384">
        <f t="shared" si="2"/>
        <v>0</v>
      </c>
    </row>
    <row r="50" spans="2:11" ht="16" x14ac:dyDescent="0.2">
      <c r="B50" s="269" t="s">
        <v>224</v>
      </c>
      <c r="C50" s="286"/>
      <c r="D50" s="269" t="s">
        <v>231</v>
      </c>
      <c r="E50" s="269"/>
      <c r="F50" s="380">
        <f>300*1.03</f>
        <v>309</v>
      </c>
      <c r="G50" s="378">
        <f t="shared" si="6"/>
        <v>0</v>
      </c>
      <c r="H50" s="382">
        <v>0.4</v>
      </c>
      <c r="I50" s="307">
        <f t="shared" si="4"/>
        <v>0</v>
      </c>
      <c r="J50" s="383">
        <f>I50*VLOOKUP($B$10,'Base Costs'!$A$32:$B$37,2,FALSE)</f>
        <v>0</v>
      </c>
      <c r="K50" s="384">
        <f t="shared" si="2"/>
        <v>0</v>
      </c>
    </row>
    <row r="51" spans="2:11" ht="16" x14ac:dyDescent="0.2">
      <c r="B51" s="269" t="s">
        <v>225</v>
      </c>
      <c r="C51" s="286"/>
      <c r="D51" s="269" t="s">
        <v>231</v>
      </c>
      <c r="E51" s="269"/>
      <c r="F51" s="380">
        <f>300*1.03</f>
        <v>309</v>
      </c>
      <c r="G51" s="378">
        <f t="shared" si="6"/>
        <v>0</v>
      </c>
      <c r="H51" s="382">
        <v>0.4</v>
      </c>
      <c r="I51" s="307">
        <f t="shared" si="4"/>
        <v>0</v>
      </c>
      <c r="J51" s="383">
        <f>I51*VLOOKUP($B$10,'Base Costs'!$A$32:$B$37,2,FALSE)</f>
        <v>0</v>
      </c>
      <c r="K51" s="384">
        <f t="shared" si="2"/>
        <v>0</v>
      </c>
    </row>
    <row r="52" spans="2:11" ht="16" x14ac:dyDescent="0.2">
      <c r="B52" s="269" t="s">
        <v>226</v>
      </c>
      <c r="C52" s="287"/>
      <c r="D52" s="588" t="s">
        <v>1128</v>
      </c>
      <c r="E52" s="272"/>
      <c r="F52" s="380">
        <v>610</v>
      </c>
      <c r="G52" s="378">
        <f t="shared" si="6"/>
        <v>0</v>
      </c>
      <c r="H52" s="382">
        <v>0.4</v>
      </c>
      <c r="I52" s="307">
        <f t="shared" si="4"/>
        <v>0</v>
      </c>
      <c r="J52" s="383">
        <f>I52*VLOOKUP($B$10,'Base Costs'!$A$32:$B$37,2,FALSE)</f>
        <v>0</v>
      </c>
      <c r="K52" s="384">
        <f t="shared" si="2"/>
        <v>0</v>
      </c>
    </row>
    <row r="53" spans="2:11" ht="16" x14ac:dyDescent="0.2">
      <c r="B53" s="269" t="s">
        <v>12</v>
      </c>
      <c r="C53" s="286"/>
      <c r="D53" s="269"/>
      <c r="E53" s="269"/>
      <c r="F53" s="380">
        <v>220</v>
      </c>
      <c r="G53" s="378">
        <f t="shared" si="6"/>
        <v>0</v>
      </c>
      <c r="H53" s="382">
        <v>0.33</v>
      </c>
      <c r="I53" s="307">
        <f t="shared" si="4"/>
        <v>0</v>
      </c>
      <c r="J53" s="383">
        <f>I53*VLOOKUP($B$10,'Base Costs'!$A$32:$B$37,2,FALSE)</f>
        <v>0</v>
      </c>
      <c r="K53" s="384">
        <f t="shared" si="2"/>
        <v>0</v>
      </c>
    </row>
    <row r="54" spans="2:11" ht="16" x14ac:dyDescent="0.2">
      <c r="B54" s="269" t="s">
        <v>13</v>
      </c>
      <c r="C54" s="286"/>
      <c r="D54" s="269"/>
      <c r="E54" s="269"/>
      <c r="F54" s="380">
        <v>0</v>
      </c>
      <c r="G54" s="378">
        <f t="shared" si="6"/>
        <v>0</v>
      </c>
      <c r="H54" s="382">
        <v>0.33</v>
      </c>
      <c r="I54" s="307">
        <f t="shared" si="4"/>
        <v>0</v>
      </c>
      <c r="J54" s="383">
        <f>I54*VLOOKUP($B$10,'Base Costs'!$A$32:$B$37,2,FALSE)</f>
        <v>0</v>
      </c>
      <c r="K54" s="384">
        <f t="shared" si="2"/>
        <v>0</v>
      </c>
    </row>
    <row r="55" spans="2:11" ht="16" x14ac:dyDescent="0.2">
      <c r="B55" s="269" t="s">
        <v>32</v>
      </c>
      <c r="C55" s="286"/>
      <c r="D55" s="270" t="s">
        <v>1496</v>
      </c>
      <c r="E55" s="269"/>
      <c r="F55" s="380">
        <v>604</v>
      </c>
      <c r="G55" s="378">
        <f t="shared" si="6"/>
        <v>0</v>
      </c>
      <c r="H55" s="382">
        <v>0.33</v>
      </c>
      <c r="I55" s="307">
        <f t="shared" si="4"/>
        <v>0</v>
      </c>
      <c r="J55" s="383">
        <f>I55*VLOOKUP($B$10,'Base Costs'!$A$32:$B$37,2,FALSE)</f>
        <v>0</v>
      </c>
      <c r="K55" s="384">
        <f t="shared" si="2"/>
        <v>0</v>
      </c>
    </row>
    <row r="56" spans="2:11" x14ac:dyDescent="0.2">
      <c r="B56" s="273"/>
      <c r="C56" s="17"/>
      <c r="D56" s="274"/>
      <c r="E56" s="274"/>
      <c r="F56" s="275"/>
      <c r="G56" s="371"/>
      <c r="H56" s="276"/>
      <c r="I56" s="372"/>
      <c r="J56" s="372"/>
      <c r="K56" s="369"/>
    </row>
    <row r="57" spans="2:11" x14ac:dyDescent="0.2">
      <c r="B57" s="197" t="s">
        <v>126</v>
      </c>
      <c r="C57" s="198"/>
      <c r="D57" s="199"/>
      <c r="E57" s="199"/>
      <c r="F57" s="198"/>
      <c r="G57" s="200"/>
      <c r="H57" s="198"/>
      <c r="I57" s="198"/>
      <c r="J57" s="198"/>
      <c r="K57" s="198"/>
    </row>
    <row r="58" spans="2:11" x14ac:dyDescent="0.2">
      <c r="B58" s="202"/>
      <c r="C58" s="203"/>
      <c r="D58" s="202"/>
      <c r="E58" s="204"/>
      <c r="F58" s="202"/>
      <c r="G58" s="209"/>
      <c r="H58" s="203"/>
      <c r="I58" s="203"/>
      <c r="J58" s="203"/>
      <c r="K58" s="205"/>
    </row>
    <row r="59" spans="2:11" x14ac:dyDescent="0.2">
      <c r="B59" s="202"/>
      <c r="C59" s="203"/>
      <c r="D59" s="202"/>
      <c r="E59" s="204"/>
      <c r="F59" s="202"/>
      <c r="G59" s="209"/>
      <c r="H59" s="203"/>
      <c r="I59" s="203"/>
      <c r="J59" s="203"/>
      <c r="K59" s="205"/>
    </row>
    <row r="60" spans="2:11" x14ac:dyDescent="0.2">
      <c r="B60" s="202"/>
      <c r="C60" s="203"/>
      <c r="D60" s="202"/>
      <c r="E60" s="204"/>
      <c r="F60" s="202"/>
      <c r="G60" s="209"/>
      <c r="H60" s="203"/>
      <c r="I60" s="203"/>
      <c r="J60" s="203"/>
      <c r="K60" s="209"/>
    </row>
    <row r="61" spans="2:11" x14ac:dyDescent="0.2">
      <c r="B61" s="202"/>
      <c r="C61" s="203"/>
      <c r="D61" s="202"/>
      <c r="E61" s="204"/>
      <c r="F61" s="202"/>
      <c r="G61" s="209"/>
      <c r="H61" s="206"/>
      <c r="I61" s="203"/>
      <c r="J61" s="203"/>
      <c r="K61" s="209"/>
    </row>
    <row r="62" spans="2:11" x14ac:dyDescent="0.2">
      <c r="B62" s="202"/>
      <c r="C62" s="203"/>
      <c r="D62" s="202"/>
      <c r="E62" s="202"/>
      <c r="F62" s="202"/>
      <c r="G62" s="207"/>
      <c r="H62" s="209"/>
      <c r="I62" s="203"/>
      <c r="J62" s="203"/>
      <c r="K62" s="205"/>
    </row>
    <row r="63" spans="2:11" x14ac:dyDescent="0.2">
      <c r="B63" s="202"/>
      <c r="C63" s="202"/>
      <c r="D63" s="202"/>
      <c r="E63" s="202"/>
      <c r="F63" s="202"/>
      <c r="G63" s="207"/>
      <c r="H63" s="209"/>
      <c r="I63" s="203"/>
      <c r="J63" s="203"/>
      <c r="K63" s="205"/>
    </row>
    <row r="64" spans="2:11" x14ac:dyDescent="0.2">
      <c r="D64" s="277"/>
      <c r="E64" s="277"/>
    </row>
    <row r="65" spans="2:5" x14ac:dyDescent="0.2">
      <c r="D65" s="277"/>
      <c r="E65" s="277"/>
    </row>
    <row r="66" spans="2:5" x14ac:dyDescent="0.2">
      <c r="D66" s="277"/>
      <c r="E66" s="277"/>
    </row>
    <row r="67" spans="2:5" x14ac:dyDescent="0.2">
      <c r="D67" s="277"/>
      <c r="E67" s="277"/>
    </row>
    <row r="68" spans="2:5" x14ac:dyDescent="0.2">
      <c r="D68" s="277"/>
      <c r="E68" s="277"/>
    </row>
    <row r="69" spans="2:5" x14ac:dyDescent="0.2">
      <c r="D69" s="277"/>
      <c r="E69" s="277"/>
    </row>
    <row r="70" spans="2:5" x14ac:dyDescent="0.2">
      <c r="D70" s="277"/>
      <c r="E70" s="277"/>
    </row>
    <row r="71" spans="2:5" x14ac:dyDescent="0.2">
      <c r="D71" s="277"/>
      <c r="E71" s="277"/>
    </row>
    <row r="72" spans="2:5" x14ac:dyDescent="0.2">
      <c r="D72" s="277"/>
      <c r="E72" s="277"/>
    </row>
    <row r="73" spans="2:5" x14ac:dyDescent="0.2">
      <c r="D73" s="277"/>
      <c r="E73" s="277"/>
    </row>
    <row r="74" spans="2:5" x14ac:dyDescent="0.2">
      <c r="D74" s="277"/>
      <c r="E74" s="277"/>
    </row>
    <row r="75" spans="2:5" x14ac:dyDescent="0.2">
      <c r="B75" s="277"/>
      <c r="C75" s="279"/>
      <c r="D75" s="277"/>
      <c r="E75" s="277"/>
    </row>
    <row r="76" spans="2:5" x14ac:dyDescent="0.2">
      <c r="B76" s="279"/>
      <c r="C76" s="279"/>
      <c r="D76" s="279"/>
      <c r="E76" s="279"/>
    </row>
    <row r="77" spans="2:5" x14ac:dyDescent="0.2">
      <c r="D77" s="277"/>
      <c r="E77" s="277"/>
    </row>
    <row r="78" spans="2:5" x14ac:dyDescent="0.2">
      <c r="D78" s="277"/>
      <c r="E78" s="277"/>
    </row>
    <row r="79" spans="2:5" x14ac:dyDescent="0.2">
      <c r="D79" s="277"/>
      <c r="E79" s="277"/>
    </row>
    <row r="80" spans="2:5" x14ac:dyDescent="0.2">
      <c r="D80" s="277"/>
      <c r="E80" s="277"/>
    </row>
    <row r="81" spans="4:5" x14ac:dyDescent="0.2">
      <c r="D81" s="277"/>
      <c r="E81" s="277"/>
    </row>
    <row r="82" spans="4:5" x14ac:dyDescent="0.2">
      <c r="D82" s="277"/>
      <c r="E82" s="277"/>
    </row>
    <row r="83" spans="4:5" x14ac:dyDescent="0.2">
      <c r="D83" s="277"/>
      <c r="E83" s="277"/>
    </row>
    <row r="84" spans="4:5" x14ac:dyDescent="0.2">
      <c r="D84" s="277"/>
      <c r="E84" s="277"/>
    </row>
    <row r="85" spans="4:5" x14ac:dyDescent="0.2">
      <c r="D85" s="277"/>
      <c r="E85" s="277"/>
    </row>
    <row r="86" spans="4:5" x14ac:dyDescent="0.2">
      <c r="D86" s="277"/>
      <c r="E86" s="277"/>
    </row>
  </sheetData>
  <protectedRanges>
    <protectedRange sqref="B11:F11" name="Estimating_1"/>
    <protectedRange sqref="B12:C13" name="Full_1" securityDescriptor="O:WDG:WDD:(A;;CC;;;S-1-5-21-1993962763-879983540-839522115-1156)"/>
    <protectedRange sqref="G56 B45:E45 B52:E56 C44 F44:F45 B46:F51 F52:F55 B14:F42" name="Estimating"/>
    <protectedRange sqref="B8:E8" name="Estimating_3" securityDescriptor="O:WDG:WDD:(A;;CC;;;S-1-5-21-1993962763-879983540-839522115-1221)"/>
    <protectedRange sqref="L8 N8 G8:H9" name="Estimating_4" securityDescriptor="O:WDG:WDD:(A;;CC;;;S-1-5-21-1993962763-879983540-839522115-1221)"/>
    <protectedRange sqref="J7 E2:E7 C5 C9:E9 I8:J8 B2:B6 C2:D4 C6:D6 F2 F4 F6 F8:F9 C7 K7:K8" name="Estimating_1_3" securityDescriptor="O:WDG:WDD:(A;;CC;;;S-1-5-21-1993962763-879983540-839522115-1221)"/>
    <protectedRange sqref="B43:F43" name="Estimating_5"/>
    <protectedRange sqref="D44:E44" name="Estimating_6"/>
    <protectedRange sqref="K63 F58:F63 B58:B62" name="Full" securityDescriptor="O:WDG:WDD:(A;;CC;;;S-1-5-21-1993962763-879983540-839522115-1156)"/>
    <protectedRange sqref="B63:C63" name="Full_2" securityDescriptor="O:WDG:WDD:(A;;CC;;;S-1-5-21-1993962763-879983540-839522115-1156)"/>
    <protectedRange sqref="D10" name="Estimating_1_1" securityDescriptor="O:WDG:WDD:(A;;CC;;;S-1-5-21-1993962763-879983540-839522115-1221)"/>
    <protectedRange sqref="F5 H4:H7 G4 F7 G6" name="Estimating_4_3" securityDescriptor="O:WDG:WDD:(A;;CC;;;S-1-5-21-1993962763-879983540-839522115-1221)"/>
  </protectedRanges>
  <mergeCells count="8">
    <mergeCell ref="L7:N7"/>
    <mergeCell ref="B1:D1"/>
    <mergeCell ref="C3:D3"/>
    <mergeCell ref="C5:D5"/>
    <mergeCell ref="C7:D7"/>
    <mergeCell ref="F3:H3"/>
    <mergeCell ref="F5:H5"/>
    <mergeCell ref="F7:H7"/>
  </mergeCells>
  <phoneticPr fontId="0" type="noConversion"/>
  <conditionalFormatting sqref="B10 F12:F13">
    <cfRule type="containsText" dxfId="11379" priority="49" operator="containsText" text="SELECT">
      <formula>NOT(ISERROR(SEARCH("SELECT",B10)))</formula>
    </cfRule>
    <cfRule type="expression" dxfId="11378" priority="50">
      <formula>B10="CURRENCY"</formula>
    </cfRule>
  </conditionalFormatting>
  <conditionalFormatting sqref="B14:B41">
    <cfRule type="expression" dxfId="11377" priority="3">
      <formula>$C14&gt;0</formula>
    </cfRule>
  </conditionalFormatting>
  <conditionalFormatting sqref="B44:B55">
    <cfRule type="expression" dxfId="11376" priority="1">
      <formula>$C44&gt;0</formula>
    </cfRule>
  </conditionalFormatting>
  <conditionalFormatting sqref="C14:C41 C44:C55">
    <cfRule type="cellIs" dxfId="11375" priority="59" operator="equal">
      <formula>0</formula>
    </cfRule>
  </conditionalFormatting>
  <conditionalFormatting sqref="C10:D10">
    <cfRule type="cellIs" dxfId="11374" priority="9" operator="lessThan">
      <formula>0</formula>
    </cfRule>
    <cfRule type="cellIs" dxfId="11373" priority="10" operator="greaterThan">
      <formula>0</formula>
    </cfRule>
  </conditionalFormatting>
  <conditionalFormatting sqref="E12:E13">
    <cfRule type="cellIs" dxfId="11372" priority="52" operator="greaterThan">
      <formula>0</formula>
    </cfRule>
    <cfRule type="cellIs" dxfId="11371" priority="53" operator="lessThan">
      <formula>0</formula>
    </cfRule>
  </conditionalFormatting>
  <conditionalFormatting sqref="F14:F41 F44:F55">
    <cfRule type="expression" dxfId="11370" priority="6">
      <formula>C14&gt;0</formula>
    </cfRule>
  </conditionalFormatting>
  <conditionalFormatting sqref="G14:G41 G44:G55">
    <cfRule type="cellIs" dxfId="11369" priority="5" operator="greaterThan">
      <formula>0</formula>
    </cfRule>
  </conditionalFormatting>
  <conditionalFormatting sqref="H14:H41 H44:H55">
    <cfRule type="expression" dxfId="11368" priority="231">
      <formula>$C$10&lt;0</formula>
    </cfRule>
    <cfRule type="expression" dxfId="11367" priority="232">
      <formula>$C$10&gt;0</formula>
    </cfRule>
  </conditionalFormatting>
  <conditionalFormatting sqref="J1:J6 J8:J11 J13:J1048576">
    <cfRule type="expression" dxfId="11366" priority="198">
      <formula>$B$10="EURO"</formula>
    </cfRule>
  </conditionalFormatting>
  <conditionalFormatting sqref="J10 J13:J41 J43:J55">
    <cfRule type="expression" dxfId="11365" priority="205">
      <formula>$B$10="PLN"</formula>
    </cfRule>
    <cfRule type="expression" dxfId="11364" priority="206">
      <formula>$B$10="CZK"</formula>
    </cfRule>
    <cfRule type="expression" dxfId="11363" priority="207">
      <formula>$B$10="USD"</formula>
    </cfRule>
  </conditionalFormatting>
  <conditionalFormatting sqref="J14:K41 J44:K56">
    <cfRule type="cellIs" dxfId="11362" priority="4" operator="greaterThan">
      <formula>0</formula>
    </cfRule>
  </conditionalFormatting>
  <dataValidations count="1">
    <dataValidation type="list" allowBlank="1" showInputMessage="1" showErrorMessage="1" sqref="F12:F13" xr:uid="{00000000-0002-0000-0B00-000000000000}">
      <formula1>$B$30:$B$35</formula1>
    </dataValidation>
  </dataValidations>
  <printOptions horizontalCentered="1"/>
  <pageMargins left="0.78740157480314965" right="0.35433070866141736" top="0.55118110236220474" bottom="0.39370078740157483" header="0.31496062992125984" footer="0.11811023622047245"/>
  <pageSetup paperSize="9" scale="46" orientation="portrait" r:id="rId1"/>
  <headerFooter alignWithMargins="0">
    <oddFooter>&amp;L&amp;Z&amp;F</oddFooter>
  </headerFooter>
  <ignoredErrors>
    <ignoredError sqref="H10 H43 H13 F48"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B00-000001000000}">
          <x14:formula1>
            <xm:f>'Base Costs'!$A$4:$A$16</xm:f>
          </x14:formula1>
          <xm:sqref>D45:E45</xm:sqref>
        </x14:dataValidation>
        <x14:dataValidation type="list" allowBlank="1" showInputMessage="1" showErrorMessage="1" xr:uid="{00000000-0002-0000-0B00-000002000000}">
          <x14:formula1>
            <xm:f>'Base Costs'!$E$4:$E$213</xm:f>
          </x14:formula1>
          <xm:sqref>D44:E44</xm:sqref>
        </x14:dataValidation>
        <x14:dataValidation type="list" allowBlank="1" showInputMessage="1" showErrorMessage="1" xr:uid="{00000000-0002-0000-0B00-000003000000}">
          <x14:formula1>
            <xm:f>'Base Costs'!$A$32:$A$37</xm:f>
          </x14:formula1>
          <xm:sqref>B10</xm:sqref>
        </x14:dataValidation>
      </x14:dataValidations>
    </ext>
  </extLst>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tabColor theme="8" tint="0.79998168889431442"/>
    <pageSetUpPr fitToPage="1"/>
  </sheetPr>
  <dimension ref="B1:N181"/>
  <sheetViews>
    <sheetView zoomScale="80" zoomScaleNormal="80" zoomScalePageLayoutView="85" workbookViewId="0">
      <selection activeCell="P12" sqref="P12"/>
    </sheetView>
  </sheetViews>
  <sheetFormatPr baseColWidth="10" defaultColWidth="8.83203125" defaultRowHeight="15" x14ac:dyDescent="0.15"/>
  <cols>
    <col min="1" max="1" width="2.5" style="127" customWidth="1"/>
    <col min="2" max="2" width="30.6640625" style="127" customWidth="1"/>
    <col min="3" max="3" width="17.1640625" style="130" customWidth="1"/>
    <col min="4" max="4" width="33.1640625" style="134" customWidth="1"/>
    <col min="5" max="5" width="13.1640625" style="127" bestFit="1" customWidth="1"/>
    <col min="6" max="6" width="10.6640625" style="127" customWidth="1"/>
    <col min="7" max="7" width="16.5" style="127" customWidth="1"/>
    <col min="8" max="8" width="12.1640625" style="127" customWidth="1"/>
    <col min="9" max="9" width="16.33203125" style="127" hidden="1" customWidth="1"/>
    <col min="10" max="10" width="18.5" style="127" customWidth="1"/>
    <col min="11" max="11" width="16.33203125" style="127" customWidth="1"/>
    <col min="12" max="12" width="15.6640625" style="127" customWidth="1"/>
    <col min="13" max="13" width="9.5" style="127" customWidth="1"/>
    <col min="14" max="16384" width="8.83203125" style="127"/>
  </cols>
  <sheetData>
    <row r="1" spans="2:14" ht="19" x14ac:dyDescent="0.15">
      <c r="B1" s="1174" t="s">
        <v>1504</v>
      </c>
      <c r="C1" s="1174"/>
      <c r="D1" s="210"/>
      <c r="E1" s="211"/>
      <c r="F1" s="212"/>
      <c r="G1" s="213"/>
      <c r="H1" s="214"/>
      <c r="I1" s="212"/>
      <c r="J1" s="212"/>
      <c r="K1" s="989" t="s">
        <v>1501</v>
      </c>
      <c r="L1" s="126"/>
      <c r="M1" s="126"/>
    </row>
    <row r="2" spans="2:14" x14ac:dyDescent="0.15">
      <c r="C2" s="128"/>
      <c r="D2" s="129"/>
      <c r="F2" s="130"/>
      <c r="H2" s="131"/>
      <c r="K2" s="126"/>
      <c r="L2" s="126"/>
      <c r="M2" s="126"/>
    </row>
    <row r="3" spans="2:14" ht="16" x14ac:dyDescent="0.15">
      <c r="B3" s="132" t="s">
        <v>733</v>
      </c>
      <c r="C3" s="1158" t="e">
        <f>IF(#REF!="","",#REF!)</f>
        <v>#REF!</v>
      </c>
      <c r="D3" s="1158"/>
      <c r="E3" s="133" t="s">
        <v>78</v>
      </c>
      <c r="F3" s="1175" t="e">
        <f>IF(#REF!="","",#REF!)</f>
        <v>#REF!</v>
      </c>
      <c r="G3" s="1175"/>
      <c r="H3" s="1175"/>
      <c r="L3" s="126"/>
      <c r="M3" s="126"/>
    </row>
    <row r="4" spans="2:14" x14ac:dyDescent="0.15">
      <c r="B4" s="134"/>
      <c r="C4" s="51"/>
      <c r="D4" s="51"/>
      <c r="E4" s="135"/>
      <c r="G4" s="136"/>
      <c r="H4" s="126"/>
      <c r="L4" s="126"/>
      <c r="M4" s="126"/>
    </row>
    <row r="5" spans="2:14" ht="16" x14ac:dyDescent="0.15">
      <c r="B5" s="132" t="s">
        <v>75</v>
      </c>
      <c r="C5" s="1158" t="e">
        <f>IF(#REF!="","",#REF!)</f>
        <v>#REF!</v>
      </c>
      <c r="D5" s="1158"/>
      <c r="E5" s="133" t="s">
        <v>77</v>
      </c>
      <c r="F5" s="1175" t="e">
        <f>IF(#REF!="","",#REF!)</f>
        <v>#REF!</v>
      </c>
      <c r="G5" s="1175"/>
      <c r="H5" s="1175"/>
      <c r="L5" s="126"/>
      <c r="M5" s="126"/>
    </row>
    <row r="6" spans="2:14" x14ac:dyDescent="0.15">
      <c r="B6" s="132"/>
      <c r="C6" s="137"/>
      <c r="D6" s="138"/>
      <c r="E6" s="133"/>
      <c r="H6" s="126"/>
      <c r="L6" s="126"/>
      <c r="M6" s="126"/>
    </row>
    <row r="7" spans="2:14" ht="16" x14ac:dyDescent="0.15">
      <c r="B7" s="80" t="s">
        <v>734</v>
      </c>
      <c r="C7" s="1158" t="e">
        <f>IF(#REF!="","",#REF!)</f>
        <v>#REF!</v>
      </c>
      <c r="D7" s="1158"/>
      <c r="E7" s="139" t="s">
        <v>76</v>
      </c>
      <c r="F7" s="1173" t="e">
        <f>IF(#REF!="","",#REF!)</f>
        <v>#REF!</v>
      </c>
      <c r="G7" s="1173"/>
      <c r="H7" s="1173"/>
      <c r="I7" s="137" t="s">
        <v>240</v>
      </c>
      <c r="J7" s="137"/>
      <c r="K7" s="917" t="e">
        <f>IF(#REF!="","",#REF!)</f>
        <v>#REF!</v>
      </c>
      <c r="L7" s="1094" t="s">
        <v>1410</v>
      </c>
      <c r="M7" s="1094"/>
      <c r="N7" s="1094"/>
    </row>
    <row r="8" spans="2:14" x14ac:dyDescent="0.15">
      <c r="B8" s="134"/>
      <c r="D8" s="140"/>
      <c r="H8" s="131"/>
      <c r="I8" s="136"/>
      <c r="J8" s="136"/>
      <c r="K8" s="126"/>
      <c r="L8" s="126"/>
      <c r="M8" s="126"/>
    </row>
    <row r="9" spans="2:14" x14ac:dyDescent="0.15">
      <c r="B9" s="38" t="s">
        <v>353</v>
      </c>
      <c r="C9" s="962"/>
      <c r="D9" s="377">
        <f>IF(C9=0,0,(SUBTOTAL(9,I12:I60)/(1-C9))-I9)</f>
        <v>0</v>
      </c>
      <c r="G9" s="25">
        <f>SUBTOTAL(9,G13:G60)</f>
        <v>1258</v>
      </c>
      <c r="H9" s="982">
        <f>IF(K9=0,"-",K9/I9)</f>
        <v>0.33519028705033943</v>
      </c>
      <c r="I9" s="25">
        <f>SUBTOTAL(9,I13:I64)</f>
        <v>1892.27078891258</v>
      </c>
      <c r="J9" s="464">
        <f>SUBTOTAL(9,J13:J60)</f>
        <v>1892.27078891258</v>
      </c>
      <c r="K9" s="25">
        <f>SUBTOTAL(9,K13:K60)</f>
        <v>634.27078891257997</v>
      </c>
      <c r="L9" s="141"/>
      <c r="M9" s="141"/>
    </row>
    <row r="10" spans="2:14" ht="16" x14ac:dyDescent="0.15">
      <c r="B10" s="72" t="s">
        <v>353</v>
      </c>
      <c r="C10" s="72" t="s">
        <v>542</v>
      </c>
      <c r="D10" s="72" t="s">
        <v>541</v>
      </c>
      <c r="E10" s="72" t="s">
        <v>361</v>
      </c>
      <c r="F10" s="72" t="s">
        <v>209</v>
      </c>
      <c r="G10" s="72" t="s">
        <v>34</v>
      </c>
      <c r="H10" s="72" t="s">
        <v>146</v>
      </c>
      <c r="I10" s="72" t="s">
        <v>210</v>
      </c>
      <c r="J10" s="72" t="s">
        <v>210</v>
      </c>
      <c r="K10" s="143" t="s">
        <v>211</v>
      </c>
      <c r="L10" s="126"/>
      <c r="M10" s="141"/>
    </row>
    <row r="11" spans="2:14" x14ac:dyDescent="0.15">
      <c r="B11" s="137"/>
      <c r="C11" s="137"/>
      <c r="D11" s="132"/>
      <c r="E11" s="137"/>
      <c r="F11" s="137"/>
      <c r="G11" s="137"/>
      <c r="H11" s="137"/>
      <c r="I11" s="137"/>
      <c r="J11" s="137"/>
      <c r="K11" s="141"/>
      <c r="L11" s="126"/>
      <c r="M11" s="141"/>
    </row>
    <row r="12" spans="2:14" ht="16" x14ac:dyDescent="0.15">
      <c r="B12" s="57" t="s">
        <v>109</v>
      </c>
      <c r="C12" s="86" t="s">
        <v>2</v>
      </c>
      <c r="D12" s="57" t="s">
        <v>1125</v>
      </c>
      <c r="E12" s="59"/>
      <c r="F12" s="144"/>
      <c r="G12" s="61">
        <f>SUBTOTAL(9,G13:G21)</f>
        <v>50</v>
      </c>
      <c r="H12" s="39">
        <f>IF(G12=0,"-",K12/I12)</f>
        <v>0.43999999999999995</v>
      </c>
      <c r="I12" s="61">
        <f>SUBTOTAL(9,I13:I21)</f>
        <v>89.285714285714278</v>
      </c>
      <c r="J12" s="465">
        <f>SUBTOTAL(9,J13:J21)</f>
        <v>89.285714285714278</v>
      </c>
      <c r="K12" s="61">
        <f>SUBTOTAL(9,K13:K21)</f>
        <v>39.285714285714278</v>
      </c>
      <c r="L12" s="126"/>
      <c r="M12" s="141"/>
    </row>
    <row r="13" spans="2:14" ht="16" x14ac:dyDescent="0.15">
      <c r="B13" s="269" t="s">
        <v>1357</v>
      </c>
      <c r="C13" s="295"/>
      <c r="D13" s="310" t="s">
        <v>456</v>
      </c>
      <c r="E13" s="290"/>
      <c r="F13" s="938">
        <f>'Base Costs'!AM29</f>
        <v>1374.1734000000001</v>
      </c>
      <c r="G13" s="378">
        <f>C13*F13</f>
        <v>0</v>
      </c>
      <c r="H13" s="381">
        <v>0.37</v>
      </c>
      <c r="I13" s="311">
        <f>G13/(1-H13)*(1+$C$9)</f>
        <v>0</v>
      </c>
      <c r="J13" s="378">
        <f>I13*VLOOKUP($B$9,'Base Costs'!$A$32:$B$37,2,FALSE)</f>
        <v>0</v>
      </c>
      <c r="K13" s="379">
        <f t="shared" ref="K13:K21" si="0">I13-G13</f>
        <v>0</v>
      </c>
      <c r="L13" s="126"/>
      <c r="M13" s="126"/>
    </row>
    <row r="14" spans="2:14" ht="14.5" customHeight="1" x14ac:dyDescent="0.15">
      <c r="B14" s="584" t="s">
        <v>1368</v>
      </c>
      <c r="C14" s="295"/>
      <c r="D14" s="1171" t="s">
        <v>1369</v>
      </c>
      <c r="E14" s="1172"/>
      <c r="F14" s="380">
        <f>'Base Costs'!AM30</f>
        <v>281.43</v>
      </c>
      <c r="G14" s="378">
        <f t="shared" ref="G14:G60" si="1">C14*F14</f>
        <v>0</v>
      </c>
      <c r="H14" s="381">
        <v>0.37</v>
      </c>
      <c r="I14" s="311">
        <f t="shared" ref="I14:I21" si="2">G14/(1-H14)*(1+$C$9)</f>
        <v>0</v>
      </c>
      <c r="J14" s="378">
        <f>I14*VLOOKUP($B$9,'Base Costs'!$A$32:$B$37,2,FALSE)</f>
        <v>0</v>
      </c>
      <c r="K14" s="379">
        <f t="shared" si="0"/>
        <v>0</v>
      </c>
    </row>
    <row r="15" spans="2:14" ht="16" x14ac:dyDescent="0.15">
      <c r="B15" s="269" t="s">
        <v>110</v>
      </c>
      <c r="C15" s="295"/>
      <c r="D15" s="310"/>
      <c r="E15" s="290"/>
      <c r="F15" s="380">
        <f>'Base Costs'!AM31</f>
        <v>69.37700000000001</v>
      </c>
      <c r="G15" s="378">
        <f t="shared" si="1"/>
        <v>0</v>
      </c>
      <c r="H15" s="381">
        <v>0.37</v>
      </c>
      <c r="I15" s="311">
        <f t="shared" si="2"/>
        <v>0</v>
      </c>
      <c r="J15" s="378">
        <f>I15*VLOOKUP($B$9,'Base Costs'!$A$32:$B$37,2,FALSE)</f>
        <v>0</v>
      </c>
      <c r="K15" s="379">
        <f t="shared" si="0"/>
        <v>0</v>
      </c>
    </row>
    <row r="16" spans="2:14" x14ac:dyDescent="0.15">
      <c r="B16" s="269"/>
      <c r="C16" s="295"/>
      <c r="D16" s="310"/>
      <c r="E16" s="290"/>
      <c r="F16" s="380">
        <f>'Base Costs'!AM32</f>
        <v>0</v>
      </c>
      <c r="G16" s="378">
        <f t="shared" si="1"/>
        <v>0</v>
      </c>
      <c r="H16" s="381">
        <v>0.37</v>
      </c>
      <c r="I16" s="311">
        <f t="shared" si="2"/>
        <v>0</v>
      </c>
      <c r="J16" s="378">
        <f>I16*VLOOKUP($B$9,'Base Costs'!$A$32:$B$37,2,FALSE)</f>
        <v>0</v>
      </c>
      <c r="K16" s="379">
        <f t="shared" si="0"/>
        <v>0</v>
      </c>
    </row>
    <row r="17" spans="2:12" x14ac:dyDescent="0.15">
      <c r="B17" s="269"/>
      <c r="C17" s="295"/>
      <c r="D17" s="310"/>
      <c r="E17" s="290"/>
      <c r="F17" s="380">
        <f>'Base Costs'!AM33</f>
        <v>50</v>
      </c>
      <c r="G17" s="378">
        <f t="shared" si="1"/>
        <v>0</v>
      </c>
      <c r="H17" s="381">
        <v>0.37</v>
      </c>
      <c r="I17" s="311">
        <f t="shared" si="2"/>
        <v>0</v>
      </c>
      <c r="J17" s="378">
        <f>I17*VLOOKUP($B$9,'Base Costs'!$A$32:$B$37,2,FALSE)</f>
        <v>0</v>
      </c>
      <c r="K17" s="379">
        <f t="shared" si="0"/>
        <v>0</v>
      </c>
    </row>
    <row r="18" spans="2:12" ht="16" x14ac:dyDescent="0.15">
      <c r="B18" s="269" t="s">
        <v>1129</v>
      </c>
      <c r="C18" s="295"/>
      <c r="D18" s="937" t="s">
        <v>1370</v>
      </c>
      <c r="E18" s="290"/>
      <c r="F18" s="380">
        <v>340</v>
      </c>
      <c r="G18" s="378">
        <f t="shared" si="1"/>
        <v>0</v>
      </c>
      <c r="H18" s="381">
        <v>0.37</v>
      </c>
      <c r="I18" s="311">
        <f t="shared" si="2"/>
        <v>0</v>
      </c>
      <c r="J18" s="378">
        <f>I18*VLOOKUP($B$9,'Base Costs'!$A$32:$B$37,2,FALSE)</f>
        <v>0</v>
      </c>
      <c r="K18" s="379">
        <f t="shared" si="0"/>
        <v>0</v>
      </c>
    </row>
    <row r="19" spans="2:12" x14ac:dyDescent="0.15">
      <c r="B19" s="269"/>
      <c r="C19" s="295"/>
      <c r="D19" s="310"/>
      <c r="E19" s="290"/>
      <c r="F19" s="380">
        <f>'Base Costs'!AM35</f>
        <v>0</v>
      </c>
      <c r="G19" s="378">
        <f t="shared" si="1"/>
        <v>0</v>
      </c>
      <c r="H19" s="381">
        <v>0.37</v>
      </c>
      <c r="I19" s="311">
        <f t="shared" si="2"/>
        <v>0</v>
      </c>
      <c r="J19" s="378">
        <f>I19*VLOOKUP($B$9,'Base Costs'!$A$32:$B$37,2,FALSE)</f>
        <v>0</v>
      </c>
      <c r="K19" s="379">
        <f t="shared" si="0"/>
        <v>0</v>
      </c>
    </row>
    <row r="20" spans="2:12" ht="16" x14ac:dyDescent="0.15">
      <c r="B20" s="992" t="s">
        <v>1407</v>
      </c>
      <c r="C20" s="1023">
        <v>1</v>
      </c>
      <c r="D20" s="1024"/>
      <c r="E20" s="1025"/>
      <c r="F20" s="1009">
        <v>50</v>
      </c>
      <c r="G20" s="1010">
        <f t="shared" ref="G20" si="3">C20*F20</f>
        <v>50</v>
      </c>
      <c r="H20" s="1011">
        <v>0.44</v>
      </c>
      <c r="I20" s="1012">
        <f t="shared" ref="I20" si="4">G20/(1-H20)*(1+$C$9)</f>
        <v>89.285714285714278</v>
      </c>
      <c r="J20" s="1010">
        <f>I20*VLOOKUP($B$9,'Base Costs'!$A$32:$B$37,2,FALSE)</f>
        <v>89.285714285714278</v>
      </c>
      <c r="K20" s="1013">
        <f t="shared" ref="K20" si="5">I20-G20</f>
        <v>39.285714285714278</v>
      </c>
      <c r="L20" s="1026" t="s">
        <v>1398</v>
      </c>
    </row>
    <row r="21" spans="2:12" x14ac:dyDescent="0.15">
      <c r="B21" s="269"/>
      <c r="C21" s="295"/>
      <c r="D21" s="310"/>
      <c r="E21" s="290"/>
      <c r="F21" s="380">
        <v>290</v>
      </c>
      <c r="G21" s="378">
        <f t="shared" si="1"/>
        <v>0</v>
      </c>
      <c r="H21" s="381">
        <v>0.37</v>
      </c>
      <c r="I21" s="311">
        <f t="shared" si="2"/>
        <v>0</v>
      </c>
      <c r="J21" s="378">
        <f>I21*VLOOKUP($B$9,'Base Costs'!$A$32:$B$37,2,FALSE)</f>
        <v>0</v>
      </c>
      <c r="K21" s="379">
        <f t="shared" si="0"/>
        <v>0</v>
      </c>
    </row>
    <row r="22" spans="2:12" ht="16" x14ac:dyDescent="0.15">
      <c r="B22" s="142"/>
      <c r="C22" s="137"/>
      <c r="D22" s="142" t="s">
        <v>442</v>
      </c>
      <c r="F22" s="151"/>
      <c r="G22" s="291"/>
      <c r="H22" s="65"/>
      <c r="I22" s="147"/>
      <c r="J22" s="147"/>
      <c r="K22" s="148"/>
    </row>
    <row r="23" spans="2:12" ht="16" x14ac:dyDescent="0.15">
      <c r="B23" s="57" t="s">
        <v>111</v>
      </c>
      <c r="C23" s="86"/>
      <c r="D23" s="57" t="s">
        <v>112</v>
      </c>
      <c r="E23" s="60"/>
      <c r="F23" s="292"/>
      <c r="G23" s="61">
        <f>SUBTOTAL(9,G24:G31)</f>
        <v>0</v>
      </c>
      <c r="H23" s="39" t="str">
        <f>IF(G23=0,"-",K23/I23)</f>
        <v>-</v>
      </c>
      <c r="I23" s="61">
        <f>SUBTOTAL(9,I24:I31)</f>
        <v>0</v>
      </c>
      <c r="J23" s="465">
        <f>SUBTOTAL(9,J24:J31)</f>
        <v>0</v>
      </c>
      <c r="K23" s="61">
        <f>SUBTOTAL(9,K24:K31)</f>
        <v>0</v>
      </c>
    </row>
    <row r="24" spans="2:12" ht="16" x14ac:dyDescent="0.15">
      <c r="B24" s="584" t="s">
        <v>1371</v>
      </c>
      <c r="C24" s="295"/>
      <c r="D24" s="310" t="s">
        <v>457</v>
      </c>
      <c r="E24" s="290"/>
      <c r="F24" s="380">
        <f>'Base Costs'!AM41</f>
        <v>226.84</v>
      </c>
      <c r="G24" s="378">
        <f t="shared" si="1"/>
        <v>0</v>
      </c>
      <c r="H24" s="381">
        <v>0.37</v>
      </c>
      <c r="I24" s="311">
        <f t="shared" ref="I24:I31" si="6">G24/(1-H24)*(1+$C$9)</f>
        <v>0</v>
      </c>
      <c r="J24" s="378">
        <f>I24*VLOOKUP($B$9,'Base Costs'!$A$32:$B$37,2,FALSE)</f>
        <v>0</v>
      </c>
      <c r="K24" s="379">
        <f t="shared" ref="K24:K31" si="7">I24-G24</f>
        <v>0</v>
      </c>
    </row>
    <row r="25" spans="2:12" ht="16" x14ac:dyDescent="0.15">
      <c r="B25" s="584" t="s">
        <v>239</v>
      </c>
      <c r="C25" s="295"/>
      <c r="D25" s="310" t="s">
        <v>458</v>
      </c>
      <c r="E25" s="290"/>
      <c r="F25" s="380">
        <f>'Base Costs'!AM42</f>
        <v>2.0670000000000002</v>
      </c>
      <c r="G25" s="378">
        <f t="shared" si="1"/>
        <v>0</v>
      </c>
      <c r="H25" s="381">
        <v>0.37</v>
      </c>
      <c r="I25" s="311">
        <f t="shared" si="6"/>
        <v>0</v>
      </c>
      <c r="J25" s="378">
        <f>I25*VLOOKUP($B$9,'Base Costs'!$A$32:$B$37,2,FALSE)</f>
        <v>0</v>
      </c>
      <c r="K25" s="379">
        <f t="shared" si="7"/>
        <v>0</v>
      </c>
    </row>
    <row r="26" spans="2:12" x14ac:dyDescent="0.15">
      <c r="B26" s="269"/>
      <c r="C26" s="295"/>
      <c r="D26" s="310"/>
      <c r="E26" s="290"/>
      <c r="F26" s="380">
        <f>'Base Costs'!AM43</f>
        <v>0</v>
      </c>
      <c r="G26" s="378">
        <f t="shared" si="1"/>
        <v>0</v>
      </c>
      <c r="H26" s="381">
        <v>0.37</v>
      </c>
      <c r="I26" s="311">
        <f t="shared" si="6"/>
        <v>0</v>
      </c>
      <c r="J26" s="378">
        <f>I26*VLOOKUP($B$9,'Base Costs'!$A$32:$B$37,2,FALSE)</f>
        <v>0</v>
      </c>
      <c r="K26" s="379">
        <f t="shared" si="7"/>
        <v>0</v>
      </c>
    </row>
    <row r="27" spans="2:12" ht="16" x14ac:dyDescent="0.15">
      <c r="B27" s="584" t="s">
        <v>1372</v>
      </c>
      <c r="C27" s="295"/>
      <c r="D27" s="310" t="s">
        <v>459</v>
      </c>
      <c r="E27" s="290"/>
      <c r="F27" s="380">
        <f>'Base Costs'!AM44</f>
        <v>7.2292000000000005</v>
      </c>
      <c r="G27" s="378">
        <f t="shared" si="1"/>
        <v>0</v>
      </c>
      <c r="H27" s="381">
        <v>0.37</v>
      </c>
      <c r="I27" s="311">
        <f t="shared" si="6"/>
        <v>0</v>
      </c>
      <c r="J27" s="378">
        <f>I27*VLOOKUP($B$9,'Base Costs'!$A$32:$B$37,2,FALSE)</f>
        <v>0</v>
      </c>
      <c r="K27" s="379">
        <f t="shared" si="7"/>
        <v>0</v>
      </c>
    </row>
    <row r="28" spans="2:12" ht="16" x14ac:dyDescent="0.15">
      <c r="B28" s="584" t="s">
        <v>1373</v>
      </c>
      <c r="C28" s="295"/>
      <c r="D28" s="310" t="s">
        <v>459</v>
      </c>
      <c r="E28" s="290"/>
      <c r="F28" s="380">
        <f>'Base Costs'!AM45</f>
        <v>136.83540000000002</v>
      </c>
      <c r="G28" s="378">
        <f t="shared" si="1"/>
        <v>0</v>
      </c>
      <c r="H28" s="381">
        <v>0.37</v>
      </c>
      <c r="I28" s="311">
        <f t="shared" si="6"/>
        <v>0</v>
      </c>
      <c r="J28" s="378">
        <f>I28*VLOOKUP($B$9,'Base Costs'!$A$32:$B$37,2,FALSE)</f>
        <v>0</v>
      </c>
      <c r="K28" s="379">
        <f t="shared" si="7"/>
        <v>0</v>
      </c>
    </row>
    <row r="29" spans="2:12" ht="16" x14ac:dyDescent="0.15">
      <c r="B29" s="584" t="s">
        <v>238</v>
      </c>
      <c r="C29" s="295"/>
      <c r="D29" s="310" t="s">
        <v>1130</v>
      </c>
      <c r="E29" s="290"/>
      <c r="F29" s="380">
        <f>'Base Costs'!AM46</f>
        <v>409.22360000000003</v>
      </c>
      <c r="G29" s="378">
        <f t="shared" si="1"/>
        <v>0</v>
      </c>
      <c r="H29" s="381">
        <v>0.37</v>
      </c>
      <c r="I29" s="311">
        <f t="shared" si="6"/>
        <v>0</v>
      </c>
      <c r="J29" s="378">
        <f>I29*VLOOKUP($B$9,'Base Costs'!$A$32:$B$37,2,FALSE)</f>
        <v>0</v>
      </c>
      <c r="K29" s="379">
        <f t="shared" si="7"/>
        <v>0</v>
      </c>
    </row>
    <row r="30" spans="2:12" ht="16" x14ac:dyDescent="0.15">
      <c r="B30" s="269"/>
      <c r="C30" s="295"/>
      <c r="D30" s="310" t="s">
        <v>460</v>
      </c>
      <c r="E30" s="290"/>
      <c r="F30" s="380">
        <f>'Base Costs'!AM47</f>
        <v>298.32640000000004</v>
      </c>
      <c r="G30" s="378">
        <f t="shared" si="1"/>
        <v>0</v>
      </c>
      <c r="H30" s="381">
        <v>0.37</v>
      </c>
      <c r="I30" s="311">
        <f t="shared" si="6"/>
        <v>0</v>
      </c>
      <c r="J30" s="378">
        <f>I30*VLOOKUP($B$9,'Base Costs'!$A$32:$B$37,2,FALSE)</f>
        <v>0</v>
      </c>
      <c r="K30" s="379">
        <f t="shared" si="7"/>
        <v>0</v>
      </c>
    </row>
    <row r="31" spans="2:12" ht="16" x14ac:dyDescent="0.15">
      <c r="B31" s="269"/>
      <c r="C31" s="295"/>
      <c r="D31" s="310" t="s">
        <v>461</v>
      </c>
      <c r="E31" s="290"/>
      <c r="F31" s="380">
        <f>'Base Costs'!AM48</f>
        <v>333.63499999999999</v>
      </c>
      <c r="G31" s="378">
        <f t="shared" si="1"/>
        <v>0</v>
      </c>
      <c r="H31" s="381">
        <v>0.37</v>
      </c>
      <c r="I31" s="311">
        <f t="shared" si="6"/>
        <v>0</v>
      </c>
      <c r="J31" s="378">
        <f>I31*VLOOKUP($B$9,'Base Costs'!$A$32:$B$37,2,FALSE)</f>
        <v>0</v>
      </c>
      <c r="K31" s="379">
        <f t="shared" si="7"/>
        <v>0</v>
      </c>
    </row>
    <row r="32" spans="2:12" ht="16" x14ac:dyDescent="0.15">
      <c r="B32" s="142"/>
      <c r="C32" s="137"/>
      <c r="D32" s="142" t="s">
        <v>442</v>
      </c>
      <c r="F32" s="151"/>
      <c r="G32" s="291"/>
      <c r="H32" s="65"/>
      <c r="I32" s="147"/>
      <c r="J32" s="147"/>
      <c r="K32" s="148"/>
    </row>
    <row r="33" spans="2:11" ht="16" x14ac:dyDescent="0.15">
      <c r="B33" s="57" t="s">
        <v>111</v>
      </c>
      <c r="C33" s="86"/>
      <c r="D33" s="57" t="s">
        <v>1424</v>
      </c>
      <c r="E33" s="60"/>
      <c r="F33" s="292"/>
      <c r="G33" s="61">
        <f>SUBTOTAL(9,G34:G42)</f>
        <v>0</v>
      </c>
      <c r="H33" s="39" t="str">
        <f>IF(G33=0,"-",K33/I33)</f>
        <v>-</v>
      </c>
      <c r="I33" s="61">
        <f>SUBTOTAL(9,I34:I42)</f>
        <v>0</v>
      </c>
      <c r="J33" s="465">
        <f>SUBTOTAL(9,J34:J42)</f>
        <v>0</v>
      </c>
      <c r="K33" s="61">
        <f>SUBTOTAL(9,K34:K42)</f>
        <v>0</v>
      </c>
    </row>
    <row r="34" spans="2:11" ht="16" x14ac:dyDescent="0.15">
      <c r="B34" s="979" t="s">
        <v>1425</v>
      </c>
      <c r="C34" s="295"/>
      <c r="D34" s="310" t="s">
        <v>460</v>
      </c>
      <c r="E34" s="290"/>
      <c r="F34" s="380">
        <v>281.44</v>
      </c>
      <c r="G34" s="378">
        <f t="shared" si="1"/>
        <v>0</v>
      </c>
      <c r="H34" s="381">
        <v>0.37</v>
      </c>
      <c r="I34" s="311">
        <f t="shared" ref="I34:I42" si="8">G34/(1-H34)*(1+$C$9)</f>
        <v>0</v>
      </c>
      <c r="J34" s="378">
        <f>I34*VLOOKUP($B$9,'Base Costs'!$A$32:$B$37,2,FALSE)</f>
        <v>0</v>
      </c>
      <c r="K34" s="379">
        <f t="shared" ref="K34:K42" si="9">I34-G34</f>
        <v>0</v>
      </c>
    </row>
    <row r="35" spans="2:11" ht="16" x14ac:dyDescent="0.15">
      <c r="B35" s="584"/>
      <c r="C35" s="295"/>
      <c r="D35" s="310" t="s">
        <v>442</v>
      </c>
      <c r="E35" s="290"/>
      <c r="F35" s="380">
        <f>'Base Costs'!AM53</f>
        <v>0</v>
      </c>
      <c r="G35" s="378">
        <f t="shared" si="1"/>
        <v>0</v>
      </c>
      <c r="H35" s="381">
        <v>0.37</v>
      </c>
      <c r="I35" s="311">
        <f t="shared" si="8"/>
        <v>0</v>
      </c>
      <c r="J35" s="378">
        <f>I35*VLOOKUP($B$9,'Base Costs'!$A$32:$B$37,2,FALSE)</f>
        <v>0</v>
      </c>
      <c r="K35" s="379">
        <f t="shared" si="9"/>
        <v>0</v>
      </c>
    </row>
    <row r="36" spans="2:11" x14ac:dyDescent="0.15">
      <c r="B36" s="584"/>
      <c r="C36" s="295"/>
      <c r="D36" s="310"/>
      <c r="E36" s="290"/>
      <c r="F36" s="380">
        <v>314.75</v>
      </c>
      <c r="G36" s="378">
        <f t="shared" si="1"/>
        <v>0</v>
      </c>
      <c r="H36" s="381">
        <v>0.37</v>
      </c>
      <c r="I36" s="311">
        <f t="shared" si="8"/>
        <v>0</v>
      </c>
      <c r="J36" s="378">
        <f>I36*VLOOKUP($B$9,'Base Costs'!$A$32:$B$37,2,FALSE)</f>
        <v>0</v>
      </c>
      <c r="K36" s="379">
        <f t="shared" si="9"/>
        <v>0</v>
      </c>
    </row>
    <row r="37" spans="2:11" x14ac:dyDescent="0.15">
      <c r="B37" s="978" t="s">
        <v>1426</v>
      </c>
      <c r="C37" s="295"/>
      <c r="D37" s="310"/>
      <c r="E37" s="290"/>
      <c r="F37" s="380">
        <f>'Base Costs'!AM55</f>
        <v>0</v>
      </c>
      <c r="G37" s="378">
        <f t="shared" si="1"/>
        <v>0</v>
      </c>
      <c r="H37" s="381">
        <v>0.37</v>
      </c>
      <c r="I37" s="311">
        <f t="shared" si="8"/>
        <v>0</v>
      </c>
      <c r="J37" s="378">
        <f>I37*VLOOKUP($B$9,'Base Costs'!$A$32:$B$37,2,FALSE)</f>
        <v>0</v>
      </c>
      <c r="K37" s="379">
        <f t="shared" si="9"/>
        <v>0</v>
      </c>
    </row>
    <row r="38" spans="2:11" ht="16" x14ac:dyDescent="0.15">
      <c r="B38" s="269"/>
      <c r="C38" s="295"/>
      <c r="D38" s="310" t="s">
        <v>442</v>
      </c>
      <c r="E38" s="290"/>
      <c r="F38" s="380">
        <f>'Base Costs'!AM56</f>
        <v>0</v>
      </c>
      <c r="G38" s="378">
        <f t="shared" si="1"/>
        <v>0</v>
      </c>
      <c r="H38" s="381">
        <v>0.37</v>
      </c>
      <c r="I38" s="311">
        <f t="shared" si="8"/>
        <v>0</v>
      </c>
      <c r="J38" s="378">
        <f>I38*VLOOKUP($B$9,'Base Costs'!$A$32:$B$37,2,FALSE)</f>
        <v>0</v>
      </c>
      <c r="K38" s="379">
        <f t="shared" si="9"/>
        <v>0</v>
      </c>
    </row>
    <row r="39" spans="2:11" ht="16" x14ac:dyDescent="0.15">
      <c r="B39" s="269"/>
      <c r="C39" s="295"/>
      <c r="D39" s="310" t="s">
        <v>442</v>
      </c>
      <c r="E39" s="290"/>
      <c r="F39" s="380">
        <v>0</v>
      </c>
      <c r="G39" s="378">
        <f t="shared" si="1"/>
        <v>0</v>
      </c>
      <c r="H39" s="381">
        <v>0.37</v>
      </c>
      <c r="I39" s="311">
        <f t="shared" si="8"/>
        <v>0</v>
      </c>
      <c r="J39" s="378">
        <f>I39*VLOOKUP($B$9,'Base Costs'!$A$32:$B$37,2,FALSE)</f>
        <v>0</v>
      </c>
      <c r="K39" s="379">
        <f t="shared" si="9"/>
        <v>0</v>
      </c>
    </row>
    <row r="40" spans="2:11" ht="16" x14ac:dyDescent="0.15">
      <c r="B40" s="269" t="s">
        <v>667</v>
      </c>
      <c r="C40" s="295"/>
      <c r="D40" s="310" t="s">
        <v>442</v>
      </c>
      <c r="E40" s="290"/>
      <c r="F40" s="380">
        <v>550</v>
      </c>
      <c r="G40" s="378">
        <f t="shared" si="1"/>
        <v>0</v>
      </c>
      <c r="H40" s="381">
        <v>0.37</v>
      </c>
      <c r="I40" s="311">
        <f t="shared" si="8"/>
        <v>0</v>
      </c>
      <c r="J40" s="378">
        <f>I40*VLOOKUP($B$9,'Base Costs'!$A$32:$B$37,2,FALSE)</f>
        <v>0</v>
      </c>
      <c r="K40" s="379">
        <f t="shared" si="9"/>
        <v>0</v>
      </c>
    </row>
    <row r="41" spans="2:11" ht="16" x14ac:dyDescent="0.15">
      <c r="B41" s="269" t="s">
        <v>822</v>
      </c>
      <c r="C41" s="295"/>
      <c r="D41" s="310"/>
      <c r="E41" s="290"/>
      <c r="F41" s="380">
        <v>75</v>
      </c>
      <c r="G41" s="378">
        <f t="shared" si="1"/>
        <v>0</v>
      </c>
      <c r="H41" s="381">
        <v>0.37</v>
      </c>
      <c r="I41" s="311">
        <f t="shared" si="8"/>
        <v>0</v>
      </c>
      <c r="J41" s="378">
        <f>I41*VLOOKUP($B$9,'Base Costs'!$A$32:$B$37,2,FALSE)</f>
        <v>0</v>
      </c>
      <c r="K41" s="379">
        <f t="shared" si="9"/>
        <v>0</v>
      </c>
    </row>
    <row r="42" spans="2:11" ht="16" x14ac:dyDescent="0.15">
      <c r="B42" s="936" t="s">
        <v>823</v>
      </c>
      <c r="C42" s="295"/>
      <c r="D42" s="310" t="s">
        <v>442</v>
      </c>
      <c r="E42" s="290"/>
      <c r="F42" s="380">
        <v>150</v>
      </c>
      <c r="G42" s="378">
        <f t="shared" si="1"/>
        <v>0</v>
      </c>
      <c r="H42" s="381">
        <v>0.37</v>
      </c>
      <c r="I42" s="311">
        <f t="shared" si="8"/>
        <v>0</v>
      </c>
      <c r="J42" s="378">
        <f>I42*VLOOKUP($B$9,'Base Costs'!$A$32:$B$37,2,FALSE)</f>
        <v>0</v>
      </c>
      <c r="K42" s="379">
        <f t="shared" si="9"/>
        <v>0</v>
      </c>
    </row>
    <row r="43" spans="2:11" x14ac:dyDescent="0.15">
      <c r="B43" s="134"/>
      <c r="D43" s="134" t="s">
        <v>442</v>
      </c>
      <c r="F43" s="293"/>
      <c r="G43" s="291"/>
      <c r="H43" s="65"/>
      <c r="I43" s="147"/>
      <c r="J43" s="147"/>
      <c r="K43" s="148"/>
    </row>
    <row r="44" spans="2:11" ht="16" x14ac:dyDescent="0.15">
      <c r="B44" s="57" t="s">
        <v>113</v>
      </c>
      <c r="C44" s="86"/>
      <c r="D44" s="149" t="s">
        <v>235</v>
      </c>
      <c r="E44" s="60"/>
      <c r="F44" s="292"/>
      <c r="G44" s="61">
        <f>SUBTOTAL(9,G45:G51)</f>
        <v>0</v>
      </c>
      <c r="H44" s="39" t="str">
        <f>IF(G44=0,"-",K44/I44)</f>
        <v>-</v>
      </c>
      <c r="I44" s="61">
        <f t="shared" ref="I44" si="10">SUBTOTAL(9,I45:I51)</f>
        <v>0</v>
      </c>
      <c r="J44" s="465">
        <f>SUBTOTAL(9,J45:J51)</f>
        <v>0</v>
      </c>
      <c r="K44" s="61">
        <f>SUBTOTAL(9,K45:K51)</f>
        <v>0</v>
      </c>
    </row>
    <row r="45" spans="2:11" ht="16" x14ac:dyDescent="0.15">
      <c r="B45" s="269" t="s">
        <v>234</v>
      </c>
      <c r="C45" s="295"/>
      <c r="D45" s="310" t="s">
        <v>462</v>
      </c>
      <c r="E45" s="290"/>
      <c r="F45" s="380">
        <f>'Base Costs'!AM59</f>
        <v>387.96000000000004</v>
      </c>
      <c r="G45" s="378">
        <f t="shared" si="1"/>
        <v>0</v>
      </c>
      <c r="H45" s="381">
        <v>0.37</v>
      </c>
      <c r="I45" s="311">
        <f t="shared" ref="I45:I51" si="11">G45/(1-H45)*(1+$C$9)</f>
        <v>0</v>
      </c>
      <c r="J45" s="378">
        <f>I45*VLOOKUP($B$9,'Base Costs'!$A$32:$B$37,2,FALSE)</f>
        <v>0</v>
      </c>
      <c r="K45" s="379">
        <f t="shared" ref="K45:K51" si="12">I45-G45</f>
        <v>0</v>
      </c>
    </row>
    <row r="46" spans="2:11" ht="16" x14ac:dyDescent="0.15">
      <c r="B46" s="269" t="s">
        <v>234</v>
      </c>
      <c r="C46" s="295"/>
      <c r="D46" s="310" t="s">
        <v>463</v>
      </c>
      <c r="E46" s="290"/>
      <c r="F46" s="380">
        <f>'Base Costs'!AM60</f>
        <v>398.56</v>
      </c>
      <c r="G46" s="378">
        <f t="shared" si="1"/>
        <v>0</v>
      </c>
      <c r="H46" s="381">
        <v>0.37</v>
      </c>
      <c r="I46" s="311">
        <f t="shared" si="11"/>
        <v>0</v>
      </c>
      <c r="J46" s="378">
        <f>I46*VLOOKUP($B$9,'Base Costs'!$A$32:$B$37,2,FALSE)</f>
        <v>0</v>
      </c>
      <c r="K46" s="379">
        <f t="shared" si="12"/>
        <v>0</v>
      </c>
    </row>
    <row r="47" spans="2:11" ht="16" x14ac:dyDescent="0.15">
      <c r="B47" s="269" t="s">
        <v>234</v>
      </c>
      <c r="C47" s="295"/>
      <c r="D47" s="310" t="s">
        <v>464</v>
      </c>
      <c r="E47" s="290"/>
      <c r="F47" s="380">
        <f>'Base Costs'!AM61</f>
        <v>412.34000000000003</v>
      </c>
      <c r="G47" s="378">
        <f t="shared" si="1"/>
        <v>0</v>
      </c>
      <c r="H47" s="381">
        <v>0.37</v>
      </c>
      <c r="I47" s="311">
        <f t="shared" si="11"/>
        <v>0</v>
      </c>
      <c r="J47" s="378">
        <f>I47*VLOOKUP($B$9,'Base Costs'!$A$32:$B$37,2,FALSE)</f>
        <v>0</v>
      </c>
      <c r="K47" s="379">
        <f t="shared" si="12"/>
        <v>0</v>
      </c>
    </row>
    <row r="48" spans="2:11" ht="16" x14ac:dyDescent="0.15">
      <c r="B48" s="269" t="s">
        <v>234</v>
      </c>
      <c r="C48" s="295"/>
      <c r="D48" s="310" t="s">
        <v>465</v>
      </c>
      <c r="E48" s="290"/>
      <c r="F48" s="380">
        <f>'Base Costs'!AM62</f>
        <v>481.24</v>
      </c>
      <c r="G48" s="378">
        <f t="shared" si="1"/>
        <v>0</v>
      </c>
      <c r="H48" s="381">
        <v>0.37</v>
      </c>
      <c r="I48" s="311">
        <f t="shared" si="11"/>
        <v>0</v>
      </c>
      <c r="J48" s="378">
        <f>I48*VLOOKUP($B$9,'Base Costs'!$A$32:$B$37,2,FALSE)</f>
        <v>0</v>
      </c>
      <c r="K48" s="379">
        <f t="shared" si="12"/>
        <v>0</v>
      </c>
    </row>
    <row r="49" spans="2:11" ht="16" x14ac:dyDescent="0.15">
      <c r="B49" s="269" t="s">
        <v>234</v>
      </c>
      <c r="C49" s="295"/>
      <c r="D49" s="310" t="s">
        <v>466</v>
      </c>
      <c r="E49" s="290"/>
      <c r="F49" s="380">
        <f>'Base Costs'!AM63</f>
        <v>517.28</v>
      </c>
      <c r="G49" s="378">
        <f t="shared" si="1"/>
        <v>0</v>
      </c>
      <c r="H49" s="381">
        <v>0.37</v>
      </c>
      <c r="I49" s="311">
        <f t="shared" si="11"/>
        <v>0</v>
      </c>
      <c r="J49" s="378">
        <f>I49*VLOOKUP($B$9,'Base Costs'!$A$32:$B$37,2,FALSE)</f>
        <v>0</v>
      </c>
      <c r="K49" s="379">
        <f t="shared" si="12"/>
        <v>0</v>
      </c>
    </row>
    <row r="50" spans="2:11" ht="16" x14ac:dyDescent="0.15">
      <c r="B50" s="269" t="s">
        <v>234</v>
      </c>
      <c r="C50" s="295"/>
      <c r="D50" s="310" t="s">
        <v>467</v>
      </c>
      <c r="E50" s="290"/>
      <c r="F50" s="380">
        <f>'Base Costs'!AM64</f>
        <v>570.28</v>
      </c>
      <c r="G50" s="378">
        <f t="shared" si="1"/>
        <v>0</v>
      </c>
      <c r="H50" s="381">
        <v>0.37</v>
      </c>
      <c r="I50" s="311">
        <f t="shared" si="11"/>
        <v>0</v>
      </c>
      <c r="J50" s="378">
        <f>I50*VLOOKUP($B$9,'Base Costs'!$A$32:$B$37,2,FALSE)</f>
        <v>0</v>
      </c>
      <c r="K50" s="379">
        <f t="shared" si="12"/>
        <v>0</v>
      </c>
    </row>
    <row r="51" spans="2:11" ht="16" x14ac:dyDescent="0.15">
      <c r="B51" s="269" t="s">
        <v>234</v>
      </c>
      <c r="C51" s="295"/>
      <c r="D51" s="310" t="s">
        <v>467</v>
      </c>
      <c r="E51" s="290"/>
      <c r="F51" s="380">
        <f>'Base Costs'!AM65</f>
        <v>602.08000000000004</v>
      </c>
      <c r="G51" s="378">
        <f t="shared" si="1"/>
        <v>0</v>
      </c>
      <c r="H51" s="381">
        <v>0.37</v>
      </c>
      <c r="I51" s="311">
        <f t="shared" si="11"/>
        <v>0</v>
      </c>
      <c r="J51" s="378">
        <f>I51*VLOOKUP($B$9,'Base Costs'!$A$32:$B$37,2,FALSE)</f>
        <v>0</v>
      </c>
      <c r="K51" s="379">
        <f t="shared" si="12"/>
        <v>0</v>
      </c>
    </row>
    <row r="52" spans="2:11" x14ac:dyDescent="0.15">
      <c r="B52" s="142"/>
      <c r="C52" s="137"/>
      <c r="D52" s="142"/>
      <c r="F52" s="294"/>
      <c r="G52" s="291"/>
      <c r="H52" s="65"/>
      <c r="I52" s="147"/>
      <c r="J52" s="147"/>
      <c r="K52" s="148"/>
    </row>
    <row r="53" spans="2:11" x14ac:dyDescent="0.15">
      <c r="B53" s="149" t="s">
        <v>51</v>
      </c>
      <c r="C53" s="86"/>
      <c r="D53" s="57"/>
      <c r="E53" s="60"/>
      <c r="F53" s="86"/>
      <c r="G53" s="154">
        <f>SUBTOTAL(9,G54:G60)</f>
        <v>1208</v>
      </c>
      <c r="H53" s="313">
        <f>IF(G53=0,"-",K53/I53)</f>
        <v>0.33</v>
      </c>
      <c r="I53" s="154">
        <f t="shared" ref="I53:K53" si="13">SUBTOTAL(9,I54:I60)</f>
        <v>1802.9850746268658</v>
      </c>
      <c r="J53" s="466">
        <f>SUBTOTAL(9,J54:J60)</f>
        <v>1802.9850746268658</v>
      </c>
      <c r="K53" s="154">
        <f t="shared" si="13"/>
        <v>594.98507462686575</v>
      </c>
    </row>
    <row r="54" spans="2:11" ht="16" x14ac:dyDescent="0.15">
      <c r="B54" s="269" t="s">
        <v>52</v>
      </c>
      <c r="C54" s="295"/>
      <c r="D54" s="376" t="s">
        <v>48</v>
      </c>
      <c r="E54" s="290"/>
      <c r="F54" s="380">
        <f>VLOOKUP(D54,'Base Costs'!E4:G213,2,FALSE)</f>
        <v>0</v>
      </c>
      <c r="G54" s="378">
        <f t="shared" si="1"/>
        <v>0</v>
      </c>
      <c r="H54" s="381">
        <v>0.33</v>
      </c>
      <c r="I54" s="311">
        <f t="shared" ref="I54:I60" si="14">G54/(1-H54)*(1+$C$9)</f>
        <v>0</v>
      </c>
      <c r="J54" s="378">
        <f>I54*VLOOKUP($B$9,'Base Costs'!$A$32:$B$37,2,FALSE)</f>
        <v>0</v>
      </c>
      <c r="K54" s="379">
        <f t="shared" ref="K54:K60" si="15">I54-G54</f>
        <v>0</v>
      </c>
    </row>
    <row r="55" spans="2:11" ht="16" x14ac:dyDescent="0.15">
      <c r="B55" s="269" t="s">
        <v>115</v>
      </c>
      <c r="C55" s="295"/>
      <c r="D55" s="310" t="s">
        <v>243</v>
      </c>
      <c r="E55" s="290"/>
      <c r="F55" s="380">
        <f>'Base Costs'!AM69</f>
        <v>127.2</v>
      </c>
      <c r="G55" s="378">
        <f t="shared" si="1"/>
        <v>0</v>
      </c>
      <c r="H55" s="381">
        <v>0.33</v>
      </c>
      <c r="I55" s="311">
        <f t="shared" si="14"/>
        <v>0</v>
      </c>
      <c r="J55" s="378">
        <f>I55*VLOOKUP($B$9,'Base Costs'!$A$32:$B$37,2,FALSE)</f>
        <v>0</v>
      </c>
      <c r="K55" s="379">
        <f t="shared" si="15"/>
        <v>0</v>
      </c>
    </row>
    <row r="56" spans="2:11" ht="16" x14ac:dyDescent="0.15">
      <c r="B56" s="269" t="s">
        <v>114</v>
      </c>
      <c r="C56" s="295"/>
      <c r="D56" s="310" t="s">
        <v>244</v>
      </c>
      <c r="E56" s="290"/>
      <c r="F56" s="380">
        <f>'Base Costs'!AM70</f>
        <v>127.2</v>
      </c>
      <c r="G56" s="378">
        <f t="shared" si="1"/>
        <v>0</v>
      </c>
      <c r="H56" s="381">
        <v>0.33</v>
      </c>
      <c r="I56" s="311">
        <f t="shared" si="14"/>
        <v>0</v>
      </c>
      <c r="J56" s="378">
        <f>I56*VLOOKUP($B$9,'Base Costs'!$A$32:$B$37,2,FALSE)</f>
        <v>0</v>
      </c>
      <c r="K56" s="379">
        <f t="shared" si="15"/>
        <v>0</v>
      </c>
    </row>
    <row r="57" spans="2:11" ht="16" x14ac:dyDescent="0.15">
      <c r="B57" s="269" t="s">
        <v>116</v>
      </c>
      <c r="C57" s="295"/>
      <c r="D57" s="310" t="s">
        <v>245</v>
      </c>
      <c r="E57" s="290"/>
      <c r="F57" s="380">
        <v>610</v>
      </c>
      <c r="G57" s="378">
        <f t="shared" si="1"/>
        <v>0</v>
      </c>
      <c r="H57" s="381">
        <v>0.4</v>
      </c>
      <c r="I57" s="311">
        <f t="shared" si="14"/>
        <v>0</v>
      </c>
      <c r="J57" s="378">
        <f>I57*VLOOKUP($B$9,'Base Costs'!$A$32:$B$37,2,FALSE)</f>
        <v>0</v>
      </c>
      <c r="K57" s="379">
        <f t="shared" si="15"/>
        <v>0</v>
      </c>
    </row>
    <row r="58" spans="2:11" ht="16" x14ac:dyDescent="0.15">
      <c r="B58" s="269" t="s">
        <v>13</v>
      </c>
      <c r="C58" s="295"/>
      <c r="D58" s="310" t="s">
        <v>246</v>
      </c>
      <c r="E58" s="290"/>
      <c r="F58" s="380">
        <f>'Base Costs'!AM72</f>
        <v>127.2</v>
      </c>
      <c r="G58" s="378">
        <f t="shared" si="1"/>
        <v>0</v>
      </c>
      <c r="H58" s="381">
        <v>0.33</v>
      </c>
      <c r="I58" s="311">
        <f t="shared" si="14"/>
        <v>0</v>
      </c>
      <c r="J58" s="378">
        <f>I58*VLOOKUP($B$9,'Base Costs'!$A$32:$B$37,2,FALSE)</f>
        <v>0</v>
      </c>
      <c r="K58" s="379">
        <f t="shared" si="15"/>
        <v>0</v>
      </c>
    </row>
    <row r="59" spans="2:11" ht="16" x14ac:dyDescent="0.15">
      <c r="B59" s="978" t="s">
        <v>1444</v>
      </c>
      <c r="C59" s="295">
        <v>1</v>
      </c>
      <c r="D59" s="310" t="s">
        <v>245</v>
      </c>
      <c r="E59" s="290"/>
      <c r="F59" s="380">
        <v>604</v>
      </c>
      <c r="G59" s="378">
        <f t="shared" si="1"/>
        <v>604</v>
      </c>
      <c r="H59" s="381">
        <v>0.33</v>
      </c>
      <c r="I59" s="311">
        <f t="shared" si="14"/>
        <v>901.49253731343288</v>
      </c>
      <c r="J59" s="378">
        <f>I59*VLOOKUP($B$9,'Base Costs'!$A$32:$B$37,2,FALSE)</f>
        <v>901.49253731343288</v>
      </c>
      <c r="K59" s="379">
        <f t="shared" si="15"/>
        <v>297.49253731343288</v>
      </c>
    </row>
    <row r="60" spans="2:11" ht="16" x14ac:dyDescent="0.15">
      <c r="B60" s="269" t="s">
        <v>1441</v>
      </c>
      <c r="C60" s="295">
        <v>1</v>
      </c>
      <c r="D60" s="310" t="s">
        <v>247</v>
      </c>
      <c r="E60" s="290"/>
      <c r="F60" s="380">
        <v>604</v>
      </c>
      <c r="G60" s="378">
        <f t="shared" si="1"/>
        <v>604</v>
      </c>
      <c r="H60" s="381">
        <v>0.33</v>
      </c>
      <c r="I60" s="311">
        <f t="shared" si="14"/>
        <v>901.49253731343288</v>
      </c>
      <c r="J60" s="378">
        <f>I60*VLOOKUP($B$9,'Base Costs'!$A$32:$B$37,2,FALSE)</f>
        <v>901.49253731343288</v>
      </c>
      <c r="K60" s="379">
        <f t="shared" si="15"/>
        <v>297.49253731343288</v>
      </c>
    </row>
    <row r="61" spans="2:11" x14ac:dyDescent="0.15">
      <c r="B61" s="137"/>
      <c r="C61" s="137"/>
      <c r="D61" s="142"/>
      <c r="F61" s="146"/>
      <c r="G61" s="146"/>
      <c r="H61" s="150"/>
      <c r="I61" s="146"/>
      <c r="J61" s="146"/>
    </row>
    <row r="62" spans="2:11" x14ac:dyDescent="0.2">
      <c r="B62" s="197" t="s">
        <v>126</v>
      </c>
      <c r="C62" s="198"/>
      <c r="D62" s="199"/>
      <c r="E62" s="199"/>
      <c r="F62" s="198"/>
      <c r="G62" s="200"/>
      <c r="H62" s="198"/>
      <c r="I62" s="198"/>
      <c r="J62" s="198"/>
      <c r="K62" s="198"/>
    </row>
    <row r="63" spans="2:11" x14ac:dyDescent="0.2">
      <c r="B63" s="202"/>
      <c r="C63" s="203"/>
      <c r="D63" s="202"/>
      <c r="E63" s="204"/>
      <c r="F63" s="202"/>
      <c r="G63" s="209"/>
      <c r="H63" s="203"/>
      <c r="I63" s="203"/>
      <c r="J63" s="203"/>
      <c r="K63" s="205"/>
    </row>
    <row r="64" spans="2:11" x14ac:dyDescent="0.2">
      <c r="B64" s="202"/>
      <c r="C64" s="203"/>
      <c r="D64" s="202"/>
      <c r="E64" s="204"/>
      <c r="F64" s="202"/>
      <c r="G64" s="209"/>
      <c r="H64" s="203"/>
      <c r="I64" s="203"/>
      <c r="J64" s="203"/>
      <c r="K64" s="205"/>
    </row>
    <row r="65" spans="2:13" x14ac:dyDescent="0.2">
      <c r="B65" s="202"/>
      <c r="C65" s="203"/>
      <c r="D65" s="202"/>
      <c r="E65" s="204"/>
      <c r="F65" s="202"/>
      <c r="G65" s="209"/>
      <c r="H65" s="203"/>
      <c r="I65" s="203"/>
      <c r="J65" s="203"/>
      <c r="K65" s="209"/>
    </row>
    <row r="66" spans="2:13" x14ac:dyDescent="0.2">
      <c r="B66" s="202"/>
      <c r="C66" s="203"/>
      <c r="D66" s="202"/>
      <c r="E66" s="204"/>
      <c r="F66" s="202"/>
      <c r="G66" s="209"/>
      <c r="H66" s="206"/>
      <c r="I66" s="203"/>
      <c r="J66" s="203"/>
      <c r="K66" s="209"/>
    </row>
    <row r="67" spans="2:13" x14ac:dyDescent="0.2">
      <c r="B67" s="202"/>
      <c r="C67" s="203"/>
      <c r="D67" s="202"/>
      <c r="E67" s="202"/>
      <c r="F67" s="202"/>
      <c r="G67" s="207"/>
      <c r="H67" s="209"/>
      <c r="I67" s="203"/>
      <c r="J67" s="203"/>
      <c r="K67" s="205"/>
      <c r="L67" s="126"/>
      <c r="M67" s="126"/>
    </row>
    <row r="68" spans="2:13" x14ac:dyDescent="0.2">
      <c r="B68" s="202"/>
      <c r="C68" s="202"/>
      <c r="D68" s="202"/>
      <c r="E68" s="202"/>
      <c r="F68" s="202"/>
      <c r="G68" s="207"/>
      <c r="H68" s="209"/>
      <c r="I68" s="203"/>
      <c r="J68" s="203"/>
      <c r="K68" s="205"/>
      <c r="L68" s="126"/>
      <c r="M68" s="126"/>
    </row>
    <row r="69" spans="2:13" x14ac:dyDescent="0.15">
      <c r="D69" s="140"/>
      <c r="F69" s="126"/>
      <c r="G69" s="126"/>
      <c r="I69" s="126"/>
      <c r="J69" s="126"/>
      <c r="K69" s="126"/>
      <c r="L69" s="126"/>
      <c r="M69" s="126"/>
    </row>
    <row r="70" spans="2:13" x14ac:dyDescent="0.15">
      <c r="D70" s="140"/>
      <c r="F70" s="126"/>
      <c r="G70" s="126"/>
      <c r="I70" s="126"/>
      <c r="J70" s="126"/>
      <c r="K70" s="126"/>
      <c r="L70" s="126"/>
      <c r="M70" s="126"/>
    </row>
    <row r="71" spans="2:13" x14ac:dyDescent="0.15">
      <c r="D71" s="140"/>
      <c r="F71" s="126"/>
      <c r="G71" s="126"/>
      <c r="I71" s="126"/>
      <c r="J71" s="126"/>
      <c r="K71" s="126"/>
      <c r="L71" s="126"/>
      <c r="M71" s="126"/>
    </row>
    <row r="72" spans="2:13" x14ac:dyDescent="0.15">
      <c r="D72" s="140"/>
      <c r="F72" s="126"/>
      <c r="G72" s="126"/>
      <c r="I72" s="126"/>
      <c r="J72" s="126"/>
      <c r="K72" s="126"/>
      <c r="L72" s="126"/>
      <c r="M72" s="126"/>
    </row>
    <row r="73" spans="2:13" x14ac:dyDescent="0.15">
      <c r="D73" s="140"/>
      <c r="F73" s="126"/>
      <c r="G73" s="126"/>
      <c r="I73" s="126"/>
      <c r="J73" s="126"/>
      <c r="K73" s="126"/>
      <c r="L73" s="126"/>
      <c r="M73" s="126"/>
    </row>
    <row r="74" spans="2:13" x14ac:dyDescent="0.15">
      <c r="D74" s="140"/>
      <c r="F74" s="126"/>
      <c r="G74" s="126"/>
      <c r="I74" s="126"/>
      <c r="J74" s="126"/>
      <c r="K74" s="126"/>
      <c r="L74" s="126"/>
      <c r="M74" s="126"/>
    </row>
    <row r="75" spans="2:13" x14ac:dyDescent="0.15">
      <c r="D75" s="140"/>
      <c r="F75" s="126"/>
      <c r="G75" s="126"/>
      <c r="I75" s="126"/>
      <c r="J75" s="126"/>
      <c r="K75" s="126"/>
      <c r="L75" s="126"/>
      <c r="M75" s="126"/>
    </row>
    <row r="76" spans="2:13" x14ac:dyDescent="0.15">
      <c r="D76" s="140"/>
      <c r="F76" s="126"/>
      <c r="G76" s="126"/>
      <c r="I76" s="126"/>
      <c r="J76" s="126"/>
      <c r="K76" s="126"/>
      <c r="L76" s="126"/>
      <c r="M76" s="126"/>
    </row>
    <row r="77" spans="2:13" x14ac:dyDescent="0.15">
      <c r="D77" s="140"/>
      <c r="F77" s="126"/>
      <c r="G77" s="126"/>
      <c r="I77" s="126"/>
      <c r="J77" s="126"/>
      <c r="K77" s="126"/>
      <c r="L77" s="126"/>
      <c r="M77" s="126"/>
    </row>
    <row r="78" spans="2:13" x14ac:dyDescent="0.15">
      <c r="D78" s="140"/>
      <c r="F78" s="126"/>
      <c r="G78" s="126"/>
      <c r="I78" s="126"/>
      <c r="J78" s="126"/>
      <c r="K78" s="126"/>
      <c r="L78" s="126"/>
      <c r="M78" s="126"/>
    </row>
    <row r="79" spans="2:13" x14ac:dyDescent="0.15">
      <c r="D79" s="140"/>
      <c r="F79" s="126"/>
      <c r="G79" s="126"/>
      <c r="I79" s="126"/>
      <c r="J79" s="126"/>
      <c r="K79" s="126"/>
      <c r="L79" s="126"/>
      <c r="M79" s="126"/>
    </row>
    <row r="80" spans="2:13" x14ac:dyDescent="0.15">
      <c r="B80" s="152"/>
      <c r="C80" s="152"/>
      <c r="D80" s="153"/>
      <c r="F80" s="126"/>
      <c r="G80" s="126"/>
      <c r="I80" s="126"/>
      <c r="J80" s="126"/>
      <c r="K80" s="126"/>
      <c r="L80" s="126"/>
      <c r="M80" s="126"/>
    </row>
    <row r="81" spans="2:13" x14ac:dyDescent="0.15">
      <c r="B81" s="152"/>
      <c r="C81" s="152"/>
      <c r="D81" s="153"/>
      <c r="F81" s="126"/>
      <c r="G81" s="126"/>
      <c r="I81" s="126"/>
      <c r="J81" s="126"/>
      <c r="K81" s="126"/>
      <c r="L81" s="126"/>
      <c r="M81" s="126"/>
    </row>
    <row r="82" spans="2:13" x14ac:dyDescent="0.15">
      <c r="F82" s="126"/>
      <c r="G82" s="126"/>
      <c r="I82" s="126"/>
      <c r="J82" s="126"/>
      <c r="K82" s="126"/>
      <c r="L82" s="126"/>
      <c r="M82" s="126"/>
    </row>
    <row r="83" spans="2:13" x14ac:dyDescent="0.15">
      <c r="F83" s="126"/>
      <c r="G83" s="126"/>
      <c r="I83" s="126"/>
      <c r="J83" s="126"/>
      <c r="K83" s="126"/>
      <c r="L83" s="126"/>
      <c r="M83" s="126"/>
    </row>
    <row r="84" spans="2:13" x14ac:dyDescent="0.15">
      <c r="F84" s="126"/>
      <c r="G84" s="126"/>
      <c r="I84" s="126"/>
      <c r="J84" s="126"/>
      <c r="K84" s="126"/>
      <c r="L84" s="126"/>
      <c r="M84" s="126"/>
    </row>
    <row r="85" spans="2:13" x14ac:dyDescent="0.15">
      <c r="F85" s="126"/>
      <c r="G85" s="126"/>
      <c r="I85" s="126"/>
      <c r="J85" s="126"/>
      <c r="K85" s="126"/>
      <c r="L85" s="126"/>
      <c r="M85" s="126"/>
    </row>
    <row r="86" spans="2:13" x14ac:dyDescent="0.15">
      <c r="F86" s="126"/>
      <c r="G86" s="126"/>
      <c r="I86" s="126"/>
      <c r="J86" s="126"/>
      <c r="K86" s="126"/>
      <c r="L86" s="126"/>
      <c r="M86" s="126"/>
    </row>
    <row r="87" spans="2:13" x14ac:dyDescent="0.15">
      <c r="F87" s="126"/>
      <c r="G87" s="126"/>
      <c r="I87" s="126"/>
      <c r="J87" s="126"/>
      <c r="K87" s="126"/>
      <c r="L87" s="126"/>
      <c r="M87" s="126"/>
    </row>
    <row r="88" spans="2:13" x14ac:dyDescent="0.15">
      <c r="F88" s="126"/>
      <c r="G88" s="126"/>
      <c r="I88" s="126"/>
      <c r="J88" s="126"/>
      <c r="K88" s="126"/>
      <c r="L88" s="126"/>
      <c r="M88" s="126"/>
    </row>
    <row r="89" spans="2:13" x14ac:dyDescent="0.15">
      <c r="F89" s="126"/>
      <c r="G89" s="126"/>
      <c r="I89" s="126"/>
      <c r="J89" s="126"/>
      <c r="K89" s="126"/>
      <c r="L89" s="126"/>
      <c r="M89" s="126"/>
    </row>
    <row r="90" spans="2:13" x14ac:dyDescent="0.15">
      <c r="F90" s="126"/>
      <c r="G90" s="126"/>
      <c r="I90" s="126"/>
      <c r="J90" s="126"/>
      <c r="K90" s="126"/>
      <c r="L90" s="126"/>
      <c r="M90" s="126"/>
    </row>
    <row r="91" spans="2:13" x14ac:dyDescent="0.15">
      <c r="F91" s="126"/>
      <c r="G91" s="126"/>
      <c r="I91" s="126"/>
      <c r="J91" s="126"/>
      <c r="K91" s="126"/>
      <c r="L91" s="126"/>
      <c r="M91" s="126"/>
    </row>
    <row r="92" spans="2:13" x14ac:dyDescent="0.15">
      <c r="F92" s="126"/>
      <c r="G92" s="126"/>
      <c r="I92" s="126"/>
      <c r="J92" s="126"/>
      <c r="K92" s="126"/>
      <c r="L92" s="126"/>
      <c r="M92" s="126"/>
    </row>
    <row r="93" spans="2:13" x14ac:dyDescent="0.15">
      <c r="F93" s="126"/>
      <c r="G93" s="126"/>
      <c r="I93" s="126"/>
      <c r="J93" s="126"/>
      <c r="K93" s="126"/>
      <c r="L93" s="126"/>
      <c r="M93" s="126"/>
    </row>
    <row r="94" spans="2:13" x14ac:dyDescent="0.15">
      <c r="F94" s="126"/>
      <c r="G94" s="126"/>
      <c r="I94" s="126"/>
      <c r="J94" s="126"/>
      <c r="K94" s="126"/>
      <c r="L94" s="126"/>
      <c r="M94" s="126"/>
    </row>
    <row r="95" spans="2:13" x14ac:dyDescent="0.15">
      <c r="F95" s="126"/>
      <c r="G95" s="126"/>
      <c r="I95" s="126"/>
      <c r="J95" s="126"/>
      <c r="K95" s="126"/>
      <c r="L95" s="126"/>
      <c r="M95" s="126"/>
    </row>
    <row r="96" spans="2:13" x14ac:dyDescent="0.15">
      <c r="F96" s="126"/>
      <c r="G96" s="126"/>
      <c r="I96" s="126"/>
      <c r="J96" s="126"/>
      <c r="K96" s="126"/>
      <c r="L96" s="126"/>
      <c r="M96" s="126"/>
    </row>
    <row r="97" spans="6:13" x14ac:dyDescent="0.15">
      <c r="F97" s="126"/>
      <c r="G97" s="126"/>
      <c r="I97" s="126"/>
      <c r="J97" s="126"/>
      <c r="K97" s="126"/>
      <c r="L97" s="126"/>
      <c r="M97" s="126"/>
    </row>
    <row r="98" spans="6:13" x14ac:dyDescent="0.15">
      <c r="F98" s="126"/>
      <c r="G98" s="126"/>
      <c r="I98" s="126"/>
      <c r="J98" s="126"/>
      <c r="K98" s="126"/>
      <c r="L98" s="126"/>
      <c r="M98" s="126"/>
    </row>
    <row r="99" spans="6:13" x14ac:dyDescent="0.15">
      <c r="F99" s="126"/>
      <c r="G99" s="126"/>
      <c r="I99" s="126"/>
      <c r="J99" s="126"/>
      <c r="K99" s="126"/>
      <c r="L99" s="126"/>
      <c r="M99" s="126"/>
    </row>
    <row r="100" spans="6:13" x14ac:dyDescent="0.15">
      <c r="F100" s="126"/>
      <c r="G100" s="126"/>
      <c r="I100" s="126"/>
      <c r="J100" s="126"/>
      <c r="K100" s="126"/>
      <c r="L100" s="126"/>
      <c r="M100" s="126"/>
    </row>
    <row r="101" spans="6:13" x14ac:dyDescent="0.15">
      <c r="F101" s="126"/>
      <c r="G101" s="126"/>
      <c r="I101" s="126"/>
      <c r="J101" s="126"/>
      <c r="K101" s="126"/>
      <c r="L101" s="126"/>
      <c r="M101" s="126"/>
    </row>
    <row r="102" spans="6:13" x14ac:dyDescent="0.15">
      <c r="F102" s="126"/>
      <c r="G102" s="126"/>
      <c r="I102" s="126"/>
      <c r="J102" s="126"/>
      <c r="K102" s="126"/>
      <c r="L102" s="126"/>
      <c r="M102" s="126"/>
    </row>
    <row r="103" spans="6:13" x14ac:dyDescent="0.15">
      <c r="F103" s="126"/>
      <c r="G103" s="126"/>
      <c r="I103" s="126"/>
      <c r="J103" s="126"/>
      <c r="K103" s="126"/>
      <c r="L103" s="126"/>
      <c r="M103" s="126"/>
    </row>
    <row r="104" spans="6:13" x14ac:dyDescent="0.15">
      <c r="F104" s="126"/>
      <c r="G104" s="126"/>
      <c r="I104" s="126"/>
      <c r="J104" s="126"/>
      <c r="K104" s="126"/>
      <c r="L104" s="126"/>
      <c r="M104" s="126"/>
    </row>
    <row r="105" spans="6:13" x14ac:dyDescent="0.15">
      <c r="F105" s="126"/>
      <c r="G105" s="126"/>
      <c r="I105" s="126"/>
      <c r="J105" s="126"/>
      <c r="K105" s="126"/>
      <c r="L105" s="126"/>
      <c r="M105" s="126"/>
    </row>
    <row r="106" spans="6:13" x14ac:dyDescent="0.15">
      <c r="F106" s="126"/>
      <c r="G106" s="126"/>
      <c r="I106" s="126"/>
      <c r="J106" s="126"/>
      <c r="K106" s="126"/>
      <c r="L106" s="126"/>
      <c r="M106" s="126"/>
    </row>
    <row r="107" spans="6:13" x14ac:dyDescent="0.15">
      <c r="F107" s="126"/>
      <c r="G107" s="126"/>
      <c r="I107" s="126"/>
      <c r="J107" s="126"/>
      <c r="K107" s="126"/>
      <c r="L107" s="126"/>
      <c r="M107" s="126"/>
    </row>
    <row r="108" spans="6:13" x14ac:dyDescent="0.15">
      <c r="F108" s="126"/>
      <c r="G108" s="126"/>
      <c r="I108" s="126"/>
      <c r="J108" s="126"/>
      <c r="K108" s="126"/>
      <c r="L108" s="126"/>
      <c r="M108" s="126"/>
    </row>
    <row r="109" spans="6:13" x14ac:dyDescent="0.15">
      <c r="F109" s="126"/>
      <c r="G109" s="126"/>
      <c r="I109" s="126"/>
      <c r="J109" s="126"/>
      <c r="K109" s="126"/>
      <c r="L109" s="126"/>
      <c r="M109" s="126"/>
    </row>
    <row r="110" spans="6:13" x14ac:dyDescent="0.15">
      <c r="F110" s="126"/>
      <c r="G110" s="126"/>
      <c r="I110" s="126"/>
      <c r="J110" s="126"/>
      <c r="K110" s="126"/>
      <c r="L110" s="126"/>
      <c r="M110" s="126"/>
    </row>
    <row r="111" spans="6:13" x14ac:dyDescent="0.15">
      <c r="F111" s="126"/>
      <c r="G111" s="126"/>
      <c r="I111" s="126"/>
      <c r="J111" s="126"/>
      <c r="K111" s="126"/>
      <c r="L111" s="126"/>
      <c r="M111" s="126"/>
    </row>
    <row r="112" spans="6:13" x14ac:dyDescent="0.15">
      <c r="F112" s="126"/>
      <c r="G112" s="126"/>
      <c r="I112" s="126"/>
      <c r="J112" s="126"/>
      <c r="K112" s="126"/>
      <c r="L112" s="126"/>
      <c r="M112" s="126"/>
    </row>
    <row r="113" spans="6:13" x14ac:dyDescent="0.15">
      <c r="F113" s="126"/>
      <c r="G113" s="126"/>
      <c r="I113" s="126"/>
      <c r="J113" s="126"/>
      <c r="K113" s="126"/>
      <c r="L113" s="126"/>
      <c r="M113" s="126"/>
    </row>
    <row r="114" spans="6:13" x14ac:dyDescent="0.15">
      <c r="F114" s="126"/>
      <c r="G114" s="126"/>
      <c r="I114" s="126"/>
      <c r="J114" s="126"/>
      <c r="K114" s="126"/>
      <c r="L114" s="126"/>
      <c r="M114" s="126"/>
    </row>
    <row r="115" spans="6:13" x14ac:dyDescent="0.15">
      <c r="F115" s="126"/>
      <c r="G115" s="126"/>
      <c r="I115" s="126"/>
      <c r="J115" s="126"/>
      <c r="K115" s="126"/>
      <c r="L115" s="126"/>
      <c r="M115" s="126"/>
    </row>
    <row r="116" spans="6:13" x14ac:dyDescent="0.15">
      <c r="F116" s="126"/>
      <c r="G116" s="126"/>
      <c r="I116" s="126"/>
      <c r="J116" s="126"/>
      <c r="K116" s="126"/>
      <c r="L116" s="126"/>
      <c r="M116" s="126"/>
    </row>
    <row r="117" spans="6:13" x14ac:dyDescent="0.15">
      <c r="F117" s="126"/>
      <c r="G117" s="126"/>
      <c r="I117" s="126"/>
      <c r="J117" s="126"/>
      <c r="K117" s="126"/>
      <c r="L117" s="126"/>
      <c r="M117" s="126"/>
    </row>
    <row r="118" spans="6:13" x14ac:dyDescent="0.15">
      <c r="F118" s="126"/>
      <c r="G118" s="126"/>
      <c r="I118" s="126"/>
      <c r="J118" s="126"/>
      <c r="K118" s="126"/>
      <c r="L118" s="126"/>
      <c r="M118" s="126"/>
    </row>
    <row r="119" spans="6:13" x14ac:dyDescent="0.15">
      <c r="F119" s="126"/>
      <c r="G119" s="126"/>
      <c r="I119" s="126"/>
      <c r="J119" s="126"/>
      <c r="K119" s="126"/>
      <c r="L119" s="126"/>
      <c r="M119" s="126"/>
    </row>
    <row r="120" spans="6:13" x14ac:dyDescent="0.15">
      <c r="F120" s="126"/>
      <c r="G120" s="126"/>
      <c r="I120" s="126"/>
      <c r="J120" s="126"/>
      <c r="K120" s="126"/>
      <c r="L120" s="126"/>
      <c r="M120" s="126"/>
    </row>
    <row r="121" spans="6:13" x14ac:dyDescent="0.15">
      <c r="F121" s="126"/>
      <c r="G121" s="126"/>
      <c r="I121" s="126"/>
      <c r="J121" s="126"/>
      <c r="K121" s="126"/>
      <c r="L121" s="126"/>
      <c r="M121" s="126"/>
    </row>
    <row r="122" spans="6:13" x14ac:dyDescent="0.15">
      <c r="F122" s="126"/>
      <c r="G122" s="126"/>
      <c r="I122" s="126"/>
      <c r="J122" s="126"/>
      <c r="K122" s="126"/>
      <c r="L122" s="126"/>
      <c r="M122" s="126"/>
    </row>
    <row r="123" spans="6:13" x14ac:dyDescent="0.15">
      <c r="F123" s="126"/>
      <c r="G123" s="126"/>
      <c r="I123" s="126"/>
      <c r="J123" s="126"/>
      <c r="K123" s="126"/>
      <c r="L123" s="126"/>
      <c r="M123" s="126"/>
    </row>
    <row r="124" spans="6:13" x14ac:dyDescent="0.15">
      <c r="F124" s="126"/>
      <c r="G124" s="126"/>
      <c r="I124" s="126"/>
      <c r="J124" s="126"/>
      <c r="K124" s="126"/>
      <c r="L124" s="126"/>
      <c r="M124" s="126"/>
    </row>
    <row r="125" spans="6:13" x14ac:dyDescent="0.15">
      <c r="F125" s="126"/>
      <c r="G125" s="126"/>
      <c r="I125" s="126"/>
      <c r="J125" s="126"/>
      <c r="K125" s="126"/>
      <c r="L125" s="126"/>
      <c r="M125" s="126"/>
    </row>
    <row r="126" spans="6:13" x14ac:dyDescent="0.15">
      <c r="F126" s="126"/>
      <c r="G126" s="126"/>
      <c r="I126" s="126"/>
      <c r="J126" s="126"/>
      <c r="K126" s="126"/>
      <c r="L126" s="126"/>
      <c r="M126" s="126"/>
    </row>
    <row r="127" spans="6:13" x14ac:dyDescent="0.15">
      <c r="F127" s="126"/>
      <c r="G127" s="126"/>
      <c r="I127" s="126"/>
      <c r="J127" s="126"/>
      <c r="K127" s="126"/>
      <c r="L127" s="126"/>
      <c r="M127" s="126"/>
    </row>
    <row r="128" spans="6:13" x14ac:dyDescent="0.15">
      <c r="F128" s="126"/>
      <c r="G128" s="126"/>
      <c r="I128" s="126"/>
      <c r="J128" s="126"/>
      <c r="K128" s="126"/>
      <c r="L128" s="126"/>
      <c r="M128" s="126"/>
    </row>
    <row r="129" spans="6:13" x14ac:dyDescent="0.15">
      <c r="F129" s="126"/>
      <c r="G129" s="126"/>
      <c r="I129" s="126"/>
      <c r="J129" s="126"/>
      <c r="K129" s="126"/>
      <c r="L129" s="126"/>
      <c r="M129" s="126"/>
    </row>
    <row r="130" spans="6:13" x14ac:dyDescent="0.15">
      <c r="F130" s="126"/>
      <c r="G130" s="126"/>
      <c r="I130" s="126"/>
      <c r="J130" s="126"/>
      <c r="K130" s="126"/>
      <c r="L130" s="126"/>
      <c r="M130" s="126"/>
    </row>
    <row r="131" spans="6:13" x14ac:dyDescent="0.15">
      <c r="F131" s="126"/>
      <c r="G131" s="126"/>
      <c r="I131" s="126"/>
      <c r="J131" s="126"/>
      <c r="K131" s="126"/>
      <c r="L131" s="126"/>
      <c r="M131" s="126"/>
    </row>
    <row r="132" spans="6:13" x14ac:dyDescent="0.15">
      <c r="F132" s="126"/>
      <c r="G132" s="126"/>
      <c r="I132" s="126"/>
      <c r="J132" s="126"/>
      <c r="K132" s="126"/>
      <c r="L132" s="126"/>
      <c r="M132" s="126"/>
    </row>
    <row r="133" spans="6:13" x14ac:dyDescent="0.15">
      <c r="F133" s="126"/>
      <c r="G133" s="126"/>
      <c r="I133" s="126"/>
      <c r="J133" s="126"/>
      <c r="K133" s="126"/>
      <c r="L133" s="126"/>
      <c r="M133" s="126"/>
    </row>
    <row r="134" spans="6:13" x14ac:dyDescent="0.15">
      <c r="F134" s="126"/>
      <c r="G134" s="126"/>
      <c r="I134" s="126"/>
      <c r="J134" s="126"/>
      <c r="K134" s="126"/>
      <c r="L134" s="126"/>
      <c r="M134" s="126"/>
    </row>
    <row r="135" spans="6:13" x14ac:dyDescent="0.15">
      <c r="F135" s="126"/>
      <c r="G135" s="126"/>
      <c r="I135" s="126"/>
      <c r="J135" s="126"/>
      <c r="K135" s="126"/>
      <c r="L135" s="126"/>
      <c r="M135" s="126"/>
    </row>
    <row r="136" spans="6:13" x14ac:dyDescent="0.15">
      <c r="F136" s="126"/>
      <c r="G136" s="126"/>
      <c r="I136" s="126"/>
      <c r="J136" s="126"/>
      <c r="K136" s="126"/>
      <c r="L136" s="126"/>
      <c r="M136" s="126"/>
    </row>
    <row r="137" spans="6:13" x14ac:dyDescent="0.15">
      <c r="F137" s="126"/>
      <c r="G137" s="126"/>
      <c r="I137" s="126"/>
      <c r="J137" s="126"/>
      <c r="K137" s="126"/>
      <c r="L137" s="126"/>
      <c r="M137" s="126"/>
    </row>
    <row r="138" spans="6:13" x14ac:dyDescent="0.15">
      <c r="F138" s="126"/>
      <c r="G138" s="126"/>
      <c r="I138" s="126"/>
      <c r="J138" s="126"/>
      <c r="K138" s="126"/>
      <c r="L138" s="126"/>
      <c r="M138" s="126"/>
    </row>
    <row r="139" spans="6:13" x14ac:dyDescent="0.15">
      <c r="F139" s="126"/>
      <c r="G139" s="126"/>
      <c r="I139" s="126"/>
      <c r="J139" s="126"/>
      <c r="K139" s="126"/>
      <c r="L139" s="126"/>
      <c r="M139" s="126"/>
    </row>
    <row r="140" spans="6:13" x14ac:dyDescent="0.15">
      <c r="F140" s="126"/>
      <c r="G140" s="126"/>
      <c r="I140" s="126"/>
      <c r="J140" s="126"/>
      <c r="K140" s="126"/>
      <c r="L140" s="126"/>
      <c r="M140" s="126"/>
    </row>
    <row r="141" spans="6:13" x14ac:dyDescent="0.15">
      <c r="F141" s="126"/>
      <c r="G141" s="126"/>
      <c r="I141" s="126"/>
      <c r="J141" s="126"/>
      <c r="K141" s="126"/>
      <c r="L141" s="126"/>
      <c r="M141" s="126"/>
    </row>
    <row r="142" spans="6:13" x14ac:dyDescent="0.15">
      <c r="F142" s="126"/>
      <c r="G142" s="126"/>
      <c r="I142" s="126"/>
      <c r="J142" s="126"/>
      <c r="K142" s="126"/>
      <c r="L142" s="126"/>
      <c r="M142" s="126"/>
    </row>
    <row r="143" spans="6:13" x14ac:dyDescent="0.15">
      <c r="F143" s="126"/>
      <c r="G143" s="126"/>
      <c r="I143" s="126"/>
      <c r="J143" s="126"/>
      <c r="K143" s="126"/>
      <c r="L143" s="126"/>
      <c r="M143" s="126"/>
    </row>
    <row r="144" spans="6:13" x14ac:dyDescent="0.15">
      <c r="F144" s="126"/>
      <c r="G144" s="126"/>
      <c r="I144" s="126"/>
      <c r="J144" s="126"/>
      <c r="K144" s="126"/>
      <c r="L144" s="126"/>
      <c r="M144" s="126"/>
    </row>
    <row r="145" spans="6:13" x14ac:dyDescent="0.15">
      <c r="F145" s="126"/>
      <c r="G145" s="126"/>
      <c r="I145" s="126"/>
      <c r="J145" s="126"/>
      <c r="K145" s="126"/>
      <c r="L145" s="126"/>
      <c r="M145" s="126"/>
    </row>
    <row r="146" spans="6:13" x14ac:dyDescent="0.15">
      <c r="F146" s="126"/>
      <c r="G146" s="126"/>
      <c r="I146" s="126"/>
      <c r="J146" s="126"/>
      <c r="K146" s="126"/>
      <c r="L146" s="126"/>
      <c r="M146" s="126"/>
    </row>
    <row r="147" spans="6:13" x14ac:dyDescent="0.15">
      <c r="F147" s="126"/>
      <c r="G147" s="126"/>
      <c r="I147" s="126"/>
      <c r="J147" s="126"/>
      <c r="K147" s="126"/>
      <c r="L147" s="126"/>
      <c r="M147" s="126"/>
    </row>
    <row r="148" spans="6:13" x14ac:dyDescent="0.15">
      <c r="F148" s="126"/>
      <c r="G148" s="126"/>
      <c r="I148" s="126"/>
      <c r="J148" s="126"/>
      <c r="K148" s="126"/>
      <c r="L148" s="126"/>
      <c r="M148" s="126"/>
    </row>
    <row r="149" spans="6:13" x14ac:dyDescent="0.15">
      <c r="F149" s="126"/>
      <c r="G149" s="126"/>
      <c r="I149" s="126"/>
      <c r="J149" s="126"/>
      <c r="K149" s="126"/>
      <c r="L149" s="126"/>
      <c r="M149" s="126"/>
    </row>
    <row r="150" spans="6:13" x14ac:dyDescent="0.15">
      <c r="F150" s="126"/>
      <c r="G150" s="126"/>
      <c r="I150" s="126"/>
      <c r="J150" s="126"/>
      <c r="K150" s="126"/>
      <c r="L150" s="126"/>
      <c r="M150" s="126"/>
    </row>
    <row r="151" spans="6:13" x14ac:dyDescent="0.15">
      <c r="F151" s="126"/>
      <c r="G151" s="126"/>
      <c r="I151" s="126"/>
      <c r="J151" s="126"/>
      <c r="K151" s="126"/>
      <c r="L151" s="126"/>
      <c r="M151" s="126"/>
    </row>
    <row r="152" spans="6:13" x14ac:dyDescent="0.15">
      <c r="F152" s="126"/>
      <c r="G152" s="126"/>
      <c r="I152" s="126"/>
      <c r="J152" s="126"/>
      <c r="K152" s="126"/>
      <c r="L152" s="126"/>
      <c r="M152" s="126"/>
    </row>
    <row r="153" spans="6:13" x14ac:dyDescent="0.15">
      <c r="F153" s="126"/>
      <c r="G153" s="126"/>
      <c r="I153" s="126"/>
      <c r="J153" s="126"/>
      <c r="K153" s="126"/>
      <c r="L153" s="126"/>
      <c r="M153" s="126"/>
    </row>
    <row r="154" spans="6:13" x14ac:dyDescent="0.15">
      <c r="F154" s="126"/>
      <c r="G154" s="126"/>
      <c r="I154" s="126"/>
      <c r="J154" s="126"/>
      <c r="K154" s="126"/>
      <c r="L154" s="126"/>
      <c r="M154" s="126"/>
    </row>
    <row r="155" spans="6:13" x14ac:dyDescent="0.15">
      <c r="F155" s="126"/>
      <c r="G155" s="126"/>
      <c r="I155" s="126"/>
      <c r="J155" s="126"/>
      <c r="K155" s="126"/>
      <c r="L155" s="126"/>
      <c r="M155" s="126"/>
    </row>
    <row r="156" spans="6:13" x14ac:dyDescent="0.15">
      <c r="F156" s="126"/>
      <c r="G156" s="126"/>
      <c r="I156" s="126"/>
      <c r="J156" s="126"/>
      <c r="K156" s="126"/>
      <c r="L156" s="126"/>
      <c r="M156" s="126"/>
    </row>
    <row r="157" spans="6:13" x14ac:dyDescent="0.15">
      <c r="F157" s="126"/>
      <c r="G157" s="126"/>
      <c r="I157" s="126"/>
      <c r="J157" s="126"/>
      <c r="K157" s="126"/>
      <c r="L157" s="126"/>
      <c r="M157" s="126"/>
    </row>
    <row r="158" spans="6:13" x14ac:dyDescent="0.15">
      <c r="F158" s="126"/>
      <c r="G158" s="126"/>
      <c r="I158" s="126"/>
      <c r="J158" s="126"/>
      <c r="K158" s="126"/>
      <c r="L158" s="126"/>
      <c r="M158" s="126"/>
    </row>
    <row r="159" spans="6:13" x14ac:dyDescent="0.15">
      <c r="F159" s="126"/>
      <c r="G159" s="126"/>
      <c r="I159" s="126"/>
      <c r="J159" s="126"/>
      <c r="K159" s="126"/>
      <c r="L159" s="126"/>
      <c r="M159" s="126"/>
    </row>
    <row r="160" spans="6:13" x14ac:dyDescent="0.15">
      <c r="F160" s="126"/>
      <c r="G160" s="126"/>
      <c r="I160" s="126"/>
      <c r="J160" s="126"/>
      <c r="K160" s="126"/>
      <c r="L160" s="126"/>
      <c r="M160" s="126"/>
    </row>
    <row r="161" spans="6:13" x14ac:dyDescent="0.15">
      <c r="F161" s="126"/>
      <c r="G161" s="126"/>
      <c r="I161" s="126"/>
      <c r="J161" s="126"/>
      <c r="K161" s="126"/>
      <c r="L161" s="126"/>
      <c r="M161" s="126"/>
    </row>
    <row r="162" spans="6:13" x14ac:dyDescent="0.15">
      <c r="F162" s="126"/>
      <c r="G162" s="126"/>
      <c r="I162" s="126"/>
      <c r="J162" s="126"/>
      <c r="K162" s="126"/>
      <c r="L162" s="126"/>
      <c r="M162" s="126"/>
    </row>
    <row r="163" spans="6:13" x14ac:dyDescent="0.15">
      <c r="F163" s="126"/>
      <c r="G163" s="126"/>
      <c r="I163" s="126"/>
      <c r="J163" s="126"/>
      <c r="K163" s="126"/>
      <c r="L163" s="126"/>
      <c r="M163" s="126"/>
    </row>
    <row r="164" spans="6:13" x14ac:dyDescent="0.15">
      <c r="F164" s="126"/>
      <c r="G164" s="126"/>
      <c r="I164" s="126"/>
      <c r="J164" s="126"/>
      <c r="K164" s="126"/>
      <c r="L164" s="126"/>
      <c r="M164" s="126"/>
    </row>
    <row r="165" spans="6:13" x14ac:dyDescent="0.15">
      <c r="F165" s="126"/>
      <c r="G165" s="126"/>
      <c r="I165" s="126"/>
      <c r="J165" s="126"/>
      <c r="K165" s="126"/>
      <c r="L165" s="126"/>
      <c r="M165" s="126"/>
    </row>
    <row r="166" spans="6:13" x14ac:dyDescent="0.15">
      <c r="F166" s="126"/>
      <c r="G166" s="126"/>
      <c r="I166" s="126"/>
      <c r="J166" s="126"/>
      <c r="K166" s="126"/>
      <c r="L166" s="126"/>
      <c r="M166" s="126"/>
    </row>
    <row r="167" spans="6:13" x14ac:dyDescent="0.15">
      <c r="F167" s="126"/>
      <c r="G167" s="126"/>
      <c r="I167" s="126"/>
      <c r="J167" s="126"/>
      <c r="K167" s="126"/>
      <c r="L167" s="126"/>
      <c r="M167" s="126"/>
    </row>
    <row r="168" spans="6:13" x14ac:dyDescent="0.15">
      <c r="F168" s="126"/>
      <c r="G168" s="126"/>
      <c r="I168" s="126"/>
      <c r="J168" s="126"/>
      <c r="K168" s="126"/>
      <c r="L168" s="126"/>
      <c r="M168" s="126"/>
    </row>
    <row r="169" spans="6:13" x14ac:dyDescent="0.15">
      <c r="F169" s="126"/>
      <c r="G169" s="126"/>
      <c r="I169" s="126"/>
      <c r="J169" s="126"/>
      <c r="K169" s="126"/>
      <c r="L169" s="126"/>
      <c r="M169" s="126"/>
    </row>
    <row r="170" spans="6:13" x14ac:dyDescent="0.15">
      <c r="F170" s="126"/>
      <c r="G170" s="126"/>
      <c r="I170" s="126"/>
      <c r="J170" s="126"/>
      <c r="K170" s="126"/>
      <c r="L170" s="126"/>
      <c r="M170" s="126"/>
    </row>
    <row r="171" spans="6:13" x14ac:dyDescent="0.15">
      <c r="F171" s="126"/>
      <c r="G171" s="126"/>
      <c r="I171" s="126"/>
      <c r="J171" s="126"/>
      <c r="K171" s="126"/>
      <c r="L171" s="126"/>
      <c r="M171" s="126"/>
    </row>
    <row r="172" spans="6:13" x14ac:dyDescent="0.15">
      <c r="F172" s="126"/>
      <c r="G172" s="126"/>
      <c r="I172" s="126"/>
      <c r="J172" s="126"/>
      <c r="K172" s="126"/>
      <c r="L172" s="126"/>
      <c r="M172" s="126"/>
    </row>
    <row r="173" spans="6:13" x14ac:dyDescent="0.15">
      <c r="F173" s="126"/>
      <c r="G173" s="126"/>
      <c r="I173" s="126"/>
      <c r="J173" s="126"/>
      <c r="K173" s="126"/>
      <c r="L173" s="126"/>
      <c r="M173" s="126"/>
    </row>
    <row r="174" spans="6:13" x14ac:dyDescent="0.15">
      <c r="F174" s="126"/>
      <c r="G174" s="126"/>
      <c r="I174" s="126"/>
      <c r="J174" s="126"/>
      <c r="K174" s="126"/>
      <c r="L174" s="126"/>
      <c r="M174" s="126"/>
    </row>
    <row r="175" spans="6:13" x14ac:dyDescent="0.15">
      <c r="F175" s="126"/>
      <c r="G175" s="126"/>
      <c r="I175" s="126"/>
      <c r="J175" s="126"/>
      <c r="K175" s="126"/>
      <c r="L175" s="126"/>
      <c r="M175" s="126"/>
    </row>
    <row r="176" spans="6:13" x14ac:dyDescent="0.15">
      <c r="F176" s="126"/>
      <c r="G176" s="126"/>
      <c r="I176" s="126"/>
      <c r="J176" s="126"/>
      <c r="K176" s="126"/>
      <c r="L176" s="126"/>
      <c r="M176" s="126"/>
    </row>
    <row r="177" spans="6:13" x14ac:dyDescent="0.15">
      <c r="F177" s="126"/>
      <c r="G177" s="126"/>
      <c r="I177" s="126"/>
      <c r="J177" s="126"/>
      <c r="K177" s="126"/>
      <c r="L177" s="126"/>
      <c r="M177" s="126"/>
    </row>
    <row r="178" spans="6:13" x14ac:dyDescent="0.15">
      <c r="F178" s="126"/>
      <c r="G178" s="126"/>
      <c r="I178" s="126"/>
      <c r="J178" s="126"/>
      <c r="K178" s="126"/>
      <c r="L178" s="126"/>
      <c r="M178" s="126"/>
    </row>
    <row r="179" spans="6:13" x14ac:dyDescent="0.15">
      <c r="F179" s="126"/>
      <c r="G179" s="126"/>
      <c r="I179" s="126"/>
      <c r="J179" s="126"/>
      <c r="K179" s="126"/>
      <c r="L179" s="126"/>
      <c r="M179" s="126"/>
    </row>
    <row r="180" spans="6:13" x14ac:dyDescent="0.15">
      <c r="F180" s="126"/>
      <c r="G180" s="126"/>
      <c r="I180" s="126"/>
      <c r="J180" s="126"/>
      <c r="K180" s="126"/>
      <c r="L180" s="126"/>
      <c r="M180" s="126"/>
    </row>
    <row r="181" spans="6:13" x14ac:dyDescent="0.15">
      <c r="K181" s="126"/>
      <c r="L181" s="126"/>
      <c r="M181" s="126"/>
    </row>
  </sheetData>
  <protectedRanges>
    <protectedRange sqref="B82:D180 M68:M181 B1:J1 K69:L181 L13 M10:M13 H3:H7 F61:J61 E69:J180 K2 K8 B22:D23 L67:L68 B44:D44 F44:F60 B13:B21 B32:D33 B24:B31 D24:D31 D34:D42 B52:D53 B45:B51 D45:D51 B61:D61 B54:B60 D54:D60 L1:M6 D13:D21 F13:F42 L8:M9 B34:B42" name="Full" securityDescriptor="O:WDG:WDD:(A;;CC;;;S-1-5-21-1993962763-879983540-839522115-1156)"/>
    <protectedRange sqref="K10:L11 L12" name="Estimating" securityDescriptor="O:WDG:WDD:(A;;CC;;;S-1-5-21-1993962763-879983540-839522115-1221)"/>
    <protectedRange sqref="F12 B12:D12" name="Full_1" securityDescriptor="O:WDG:WDD:(A;;CC;;;S-1-5-21-1993962763-879983540-839522115-1156)"/>
    <protectedRange sqref="B69:D81" name="Full_2" securityDescriptor="O:WDG:WDD:(A;;CC;;;S-1-5-21-1993962763-879983540-839522115-1156)"/>
    <protectedRange sqref="E3:G7 I7:J7 F2:J2 B10:J11 B2:D2 B6:D6 B3:B5 B8:J8" name="Estimating_1" securityDescriptor="O:WDG:WDD:(A;;CC;;;S-1-5-21-1993962763-879983540-839522115-1221)"/>
    <protectedRange sqref="K34:K43 K45:K52 K54:K60 K24:K32 K13:K22" name="Estimating_5" securityDescriptor="O:WDG:WDD:(A;;CC;;;S-1-5-21-1993962763-879983540-839522115-1221)"/>
    <protectedRange sqref="K68 F63:F68 B63:B67" name="Full_3" securityDescriptor="O:WDG:WDD:(A;;CC;;;S-1-5-21-1993962763-879983540-839522115-1156)"/>
    <protectedRange sqref="B68:C68" name="Full_2_1" securityDescriptor="O:WDG:WDD:(A;;CC;;;S-1-5-21-1993962763-879983540-839522115-1156)"/>
    <protectedRange sqref="D9" name="Estimating_1_1" securityDescriptor="O:WDG:WDD:(A;;CC;;;S-1-5-21-1993962763-879983540-839522115-1221)"/>
    <protectedRange sqref="C3:D5 C7:D7 K7" name="Estimating_1_3" securityDescriptor="O:WDG:WDD:(A;;CC;;;S-1-5-21-1993962763-879983540-839522115-1221)"/>
    <protectedRange sqref="C13:C21" name="Pricing_2" securityDescriptor="O:WDG:WDD:(A;;CC;;;S-1-5-21-1993962763-879983540-839522115-1221)"/>
    <protectedRange sqref="C13:C21" name="Full_5" securityDescriptor="O:WDG:WDD:(A;;CC;;;S-1-5-21-1993962763-879983540-839522115-1156)"/>
    <protectedRange sqref="C24:C31" name="Pricing_3" securityDescriptor="O:WDG:WDD:(A;;CC;;;S-1-5-21-1993962763-879983540-839522115-1221)"/>
    <protectedRange sqref="C24:C31" name="Full_6" securityDescriptor="O:WDG:WDD:(A;;CC;;;S-1-5-21-1993962763-879983540-839522115-1156)"/>
    <protectedRange sqref="C34:C42" name="Pricing_4" securityDescriptor="O:WDG:WDD:(A;;CC;;;S-1-5-21-1993962763-879983540-839522115-1221)"/>
    <protectedRange sqref="C34:C42" name="Full_7" securityDescriptor="O:WDG:WDD:(A;;CC;;;S-1-5-21-1993962763-879983540-839522115-1156)"/>
    <protectedRange sqref="C45:C51" name="Pricing_5" securityDescriptor="O:WDG:WDD:(A;;CC;;;S-1-5-21-1993962763-879983540-839522115-1221)"/>
    <protectedRange sqref="C45:C51" name="Full_8" securityDescriptor="O:WDG:WDD:(A;;CC;;;S-1-5-21-1993962763-879983540-839522115-1156)"/>
    <protectedRange sqref="C54:C60" name="Pricing_6" securityDescriptor="O:WDG:WDD:(A;;CC;;;S-1-5-21-1993962763-879983540-839522115-1221)"/>
    <protectedRange sqref="C54:C60" name="Full_9" securityDescriptor="O:WDG:WDD:(A;;CC;;;S-1-5-21-1993962763-879983540-839522115-1156)"/>
  </protectedRanges>
  <mergeCells count="9">
    <mergeCell ref="L7:N7"/>
    <mergeCell ref="D14:E14"/>
    <mergeCell ref="F7:H7"/>
    <mergeCell ref="C7:D7"/>
    <mergeCell ref="B1:C1"/>
    <mergeCell ref="C3:D3"/>
    <mergeCell ref="C5:D5"/>
    <mergeCell ref="F3:H3"/>
    <mergeCell ref="F5:H5"/>
  </mergeCells>
  <conditionalFormatting sqref="B9">
    <cfRule type="expression" dxfId="11361" priority="23">
      <formula>$B$9="USD"</formula>
    </cfRule>
    <cfRule type="containsText" dxfId="11360" priority="30" operator="containsText" text="SELECT">
      <formula>NOT(ISERROR(SEARCH("SELECT",B9)))</formula>
    </cfRule>
    <cfRule type="expression" dxfId="11359" priority="31">
      <formula>B9="CURRENCY"</formula>
    </cfRule>
  </conditionalFormatting>
  <conditionalFormatting sqref="B13:B21">
    <cfRule type="expression" dxfId="11358" priority="12">
      <formula>$C13&gt;0</formula>
    </cfRule>
  </conditionalFormatting>
  <conditionalFormatting sqref="B24:B31">
    <cfRule type="expression" dxfId="11357" priority="11">
      <formula>$C24&gt;0</formula>
    </cfRule>
  </conditionalFormatting>
  <conditionalFormatting sqref="B34:B42">
    <cfRule type="expression" dxfId="11356" priority="10">
      <formula>$C34&gt;0</formula>
    </cfRule>
  </conditionalFormatting>
  <conditionalFormatting sqref="B45:B51">
    <cfRule type="expression" dxfId="11355" priority="9">
      <formula>$C45&gt;0</formula>
    </cfRule>
  </conditionalFormatting>
  <conditionalFormatting sqref="B54:B60">
    <cfRule type="expression" dxfId="11354" priority="8">
      <formula>$C54&gt;0</formula>
    </cfRule>
  </conditionalFormatting>
  <conditionalFormatting sqref="C13:C21">
    <cfRule type="cellIs" dxfId="11353" priority="6" operator="equal">
      <formula>0</formula>
    </cfRule>
  </conditionalFormatting>
  <conditionalFormatting sqref="C24:C31">
    <cfRule type="cellIs" dxfId="11352" priority="5" operator="equal">
      <formula>0</formula>
    </cfRule>
  </conditionalFormatting>
  <conditionalFormatting sqref="C34:C42">
    <cfRule type="cellIs" dxfId="11351" priority="4" operator="equal">
      <formula>0</formula>
    </cfRule>
  </conditionalFormatting>
  <conditionalFormatting sqref="C45:C51">
    <cfRule type="cellIs" dxfId="11350" priority="3" operator="equal">
      <formula>0</formula>
    </cfRule>
  </conditionalFormatting>
  <conditionalFormatting sqref="C54:C60">
    <cfRule type="cellIs" dxfId="11349" priority="2" operator="equal">
      <formula>0</formula>
    </cfRule>
  </conditionalFormatting>
  <conditionalFormatting sqref="C9:D9">
    <cfRule type="cellIs" dxfId="11348" priority="16" operator="lessThan">
      <formula>0</formula>
    </cfRule>
    <cfRule type="cellIs" dxfId="11347" priority="17" operator="greaterThan">
      <formula>0</formula>
    </cfRule>
  </conditionalFormatting>
  <conditionalFormatting sqref="D14">
    <cfRule type="expression" dxfId="11346" priority="1">
      <formula>$C14&gt;0</formula>
    </cfRule>
  </conditionalFormatting>
  <conditionalFormatting sqref="F13:F21 F24:F31 F34:F42 F45:F51 F54:F60">
    <cfRule type="expression" dxfId="11345" priority="15">
      <formula>C13&gt;0</formula>
    </cfRule>
  </conditionalFormatting>
  <conditionalFormatting sqref="G13:G21 G24:G31 G34:G42 G45:G51 G54:G60">
    <cfRule type="cellIs" dxfId="11344" priority="14" operator="greaterThan">
      <formula>0</formula>
    </cfRule>
  </conditionalFormatting>
  <conditionalFormatting sqref="H13:H21 H24:H31 H34:H42 H45:H51 H54:H60">
    <cfRule type="expression" dxfId="11343" priority="232">
      <formula>$C$9&gt;0</formula>
    </cfRule>
    <cfRule type="expression" dxfId="11342" priority="233">
      <formula>$C$9&lt;0</formula>
    </cfRule>
  </conditionalFormatting>
  <conditionalFormatting sqref="J1:J1048576">
    <cfRule type="expression" dxfId="11341" priority="201">
      <formula>$B$9="PLN"</formula>
    </cfRule>
    <cfRule type="expression" dxfId="11340" priority="202">
      <formula>$B$9="CZK"</formula>
    </cfRule>
    <cfRule type="expression" dxfId="11339" priority="203">
      <formula>$B$9="USD"</formula>
    </cfRule>
    <cfRule type="expression" dxfId="11338" priority="204">
      <formula>$B$9="EURO"</formula>
    </cfRule>
  </conditionalFormatting>
  <conditionalFormatting sqref="J13:K21 J24:K31 J34:K42 J45:K51 J54:K60">
    <cfRule type="cellIs" dxfId="11337" priority="13" operator="greaterThan">
      <formula>0</formula>
    </cfRule>
  </conditionalFormatting>
  <pageMargins left="0.23622047244094491" right="0.19685039370078741" top="0.35433070866141736" bottom="0.23622047244094491" header="0.31496062992125984" footer="0.23622047244094491"/>
  <pageSetup paperSize="9" scale="60" orientation="portrait" cellComments="asDisplayed" r:id="rId1"/>
  <headerFooter>
    <oddFooter>&amp;Z&amp;F</oddFooter>
  </headerFooter>
  <ignoredErrors>
    <ignoredError sqref="H12 H33 H53 H23 H44" 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'Base Costs'!$E$4:$E$213</xm:f>
          </x14:formula1>
          <xm:sqref>D54</xm:sqref>
        </x14:dataValidation>
        <x14:dataValidation type="list" allowBlank="1" showInputMessage="1" showErrorMessage="1" xr:uid="{00000000-0002-0000-0A00-000001000000}">
          <x14:formula1>
            <xm:f>'Base Costs'!$A$32:$A$37</xm:f>
          </x14:formula1>
          <xm:sqref>B9</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0A5EA-1B0B-4D5D-92BA-8F720549DAF1}">
  <sheetPr>
    <tabColor theme="8" tint="0.79998168889431442"/>
    <pageSetUpPr fitToPage="1"/>
  </sheetPr>
  <dimension ref="A1:AD161"/>
  <sheetViews>
    <sheetView showGridLines="0" zoomScale="80" zoomScaleNormal="80" zoomScaleSheetLayoutView="50" workbookViewId="0">
      <selection activeCell="R29" sqref="R29"/>
    </sheetView>
  </sheetViews>
  <sheetFormatPr baseColWidth="10" defaultColWidth="8.83203125" defaultRowHeight="15" customHeight="1" x14ac:dyDescent="0.15"/>
  <cols>
    <col min="1" max="2" width="2" style="215" customWidth="1"/>
    <col min="3" max="3" width="42.83203125" style="217" bestFit="1"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1505</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1498</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ref="K21" si="3">SUM(J21*E21)</f>
        <v>0</v>
      </c>
      <c r="L21" s="392">
        <v>0.35</v>
      </c>
      <c r="M21" s="311">
        <f t="shared" ref="M21" si="4">(K21/(1-L21))*(1+$D$9)</f>
        <v>0</v>
      </c>
      <c r="N21" s="378">
        <f>(M21*VLOOKUP($C$9,'Base Costs'!$A$32:$B$37,2,FALSE))</f>
        <v>0</v>
      </c>
      <c r="O21" s="379">
        <f t="shared" ref="O21" si="5">M21-K21</f>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1499</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1488</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1491</v>
      </c>
      <c r="D25" s="1080" t="s">
        <v>1497</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1489</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1493</v>
      </c>
      <c r="U27" s="229"/>
      <c r="AA27" s="217"/>
    </row>
    <row r="28" spans="1:27" ht="15" customHeight="1" x14ac:dyDescent="0.2">
      <c r="C28" s="869" t="s">
        <v>1490</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1492</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f>IF(K37=0,"-",O37/M37)</f>
        <v>0.39433325837643363</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6">D38*J38</f>
        <v>0</v>
      </c>
      <c r="L38" s="392">
        <v>0.33</v>
      </c>
      <c r="M38" s="311">
        <f t="shared" ref="M38:M48" si="7">(K38/(1-L38))*(1+$D$9)</f>
        <v>0</v>
      </c>
      <c r="N38" s="378">
        <f>(M38*VLOOKUP($C$9,'Base Costs'!$A$32:$B$37,2,FALSE))</f>
        <v>0</v>
      </c>
      <c r="O38" s="379">
        <f t="shared" ref="O38:O48" si="8">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6"/>
        <v>0</v>
      </c>
      <c r="L39" s="392">
        <v>0.33</v>
      </c>
      <c r="M39" s="311">
        <f t="shared" si="7"/>
        <v>0</v>
      </c>
      <c r="N39" s="378">
        <f>(M39*VLOOKUP($C$9,'Base Costs'!$A$32:$B$37,2,FALSE))</f>
        <v>0</v>
      </c>
      <c r="O39" s="379">
        <f t="shared" si="8"/>
        <v>0</v>
      </c>
      <c r="U39" s="229"/>
    </row>
    <row r="40" spans="1:27" ht="15" customHeight="1" x14ac:dyDescent="0.15">
      <c r="A40" s="215">
        <v>257</v>
      </c>
      <c r="C40" s="269" t="s">
        <v>36</v>
      </c>
      <c r="D40" s="242"/>
      <c r="E40" s="309" t="s">
        <v>189</v>
      </c>
      <c r="F40" s="28"/>
      <c r="G40" s="28"/>
      <c r="H40" s="28"/>
      <c r="I40" s="28"/>
      <c r="J40" s="385">
        <f>VLOOKUP(E40,'Base Costs'!$A$4:$B$16,2,FALSE)</f>
        <v>0</v>
      </c>
      <c r="K40" s="378">
        <f t="shared" si="6"/>
        <v>0</v>
      </c>
      <c r="L40" s="392">
        <v>0.33</v>
      </c>
      <c r="M40" s="311">
        <f t="shared" si="7"/>
        <v>0</v>
      </c>
      <c r="N40" s="378">
        <f>(M40*VLOOKUP($C$9,'Base Costs'!$A$32:$B$37,2,FALSE))</f>
        <v>0</v>
      </c>
      <c r="O40" s="379">
        <f t="shared" si="8"/>
        <v>0</v>
      </c>
      <c r="U40" s="229"/>
    </row>
    <row r="41" spans="1:27" ht="15" customHeight="1" x14ac:dyDescent="0.15">
      <c r="A41" s="215">
        <v>400</v>
      </c>
      <c r="C41" s="269" t="s">
        <v>16</v>
      </c>
      <c r="D41" s="242"/>
      <c r="E41" s="28" t="s">
        <v>142</v>
      </c>
      <c r="F41" s="28"/>
      <c r="G41" s="28"/>
      <c r="H41" s="28"/>
      <c r="I41" s="28"/>
      <c r="J41" s="385">
        <v>450</v>
      </c>
      <c r="K41" s="378">
        <f t="shared" si="6"/>
        <v>0</v>
      </c>
      <c r="L41" s="392">
        <v>0.33</v>
      </c>
      <c r="M41" s="311">
        <f t="shared" si="7"/>
        <v>0</v>
      </c>
      <c r="N41" s="378">
        <f>(M41*VLOOKUP($C$9,'Base Costs'!$A$32:$B$37,2,FALSE))</f>
        <v>0</v>
      </c>
      <c r="O41" s="379">
        <f t="shared" si="8"/>
        <v>0</v>
      </c>
      <c r="U41" s="229"/>
    </row>
    <row r="42" spans="1:27" ht="15" customHeight="1" x14ac:dyDescent="0.15">
      <c r="A42" s="215">
        <v>102</v>
      </c>
      <c r="C42" s="269" t="s">
        <v>13</v>
      </c>
      <c r="D42" s="242">
        <v>1</v>
      </c>
      <c r="E42" s="28" t="s">
        <v>1361</v>
      </c>
      <c r="F42" s="28"/>
      <c r="G42" s="28"/>
      <c r="H42" s="28"/>
      <c r="I42" s="28"/>
      <c r="J42" s="385">
        <v>15</v>
      </c>
      <c r="K42" s="378">
        <f t="shared" si="6"/>
        <v>15</v>
      </c>
      <c r="L42" s="392">
        <v>0.33</v>
      </c>
      <c r="M42" s="311">
        <f t="shared" si="7"/>
        <v>22.388059701492541</v>
      </c>
      <c r="N42" s="378">
        <f>(M42*VLOOKUP($C$9,'Base Costs'!$A$32:$B$37,2,FALSE))</f>
        <v>22.388059701492541</v>
      </c>
      <c r="O42" s="379">
        <f t="shared" si="8"/>
        <v>7.3880597014925407</v>
      </c>
      <c r="U42" s="229"/>
    </row>
    <row r="43" spans="1:27" ht="15" customHeight="1" x14ac:dyDescent="0.15">
      <c r="A43" s="215">
        <v>400</v>
      </c>
      <c r="C43" s="269" t="s">
        <v>140</v>
      </c>
      <c r="D43" s="242">
        <v>1</v>
      </c>
      <c r="E43" s="28" t="s">
        <v>1363</v>
      </c>
      <c r="F43" s="28"/>
      <c r="G43" s="28"/>
      <c r="H43" s="28"/>
      <c r="I43" s="28"/>
      <c r="J43" s="385">
        <v>152.5</v>
      </c>
      <c r="K43" s="378">
        <f t="shared" si="6"/>
        <v>152.5</v>
      </c>
      <c r="L43" s="392">
        <v>0.4</v>
      </c>
      <c r="M43" s="311">
        <f t="shared" si="7"/>
        <v>254.16666666666669</v>
      </c>
      <c r="N43" s="378">
        <f>(M43*VLOOKUP($C$9,'Base Costs'!$A$32:$B$37,2,FALSE))</f>
        <v>254.16666666666669</v>
      </c>
      <c r="O43" s="379">
        <f t="shared" si="8"/>
        <v>101.66666666666669</v>
      </c>
      <c r="U43" s="229"/>
    </row>
    <row r="44" spans="1:27" ht="15" customHeight="1" x14ac:dyDescent="0.15">
      <c r="A44" s="215">
        <v>400</v>
      </c>
      <c r="C44" s="269" t="s">
        <v>141</v>
      </c>
      <c r="D44" s="242"/>
      <c r="E44" s="28" t="s">
        <v>1363</v>
      </c>
      <c r="F44" s="28"/>
      <c r="G44" s="28"/>
      <c r="H44" s="28"/>
      <c r="I44" s="28"/>
      <c r="J44" s="385">
        <v>861</v>
      </c>
      <c r="K44" s="378">
        <f t="shared" si="6"/>
        <v>0</v>
      </c>
      <c r="L44" s="392">
        <v>0.4</v>
      </c>
      <c r="M44" s="311">
        <f t="shared" si="7"/>
        <v>0</v>
      </c>
      <c r="N44" s="378">
        <f>(M44*VLOOKUP($C$9,'Base Costs'!$A$32:$B$37,2,FALSE))</f>
        <v>0</v>
      </c>
      <c r="O44" s="379">
        <f t="shared" si="8"/>
        <v>0</v>
      </c>
      <c r="U44" s="229"/>
    </row>
    <row r="45" spans="1:27" ht="15" customHeight="1" x14ac:dyDescent="0.15">
      <c r="A45" s="215">
        <v>253</v>
      </c>
      <c r="C45" s="269" t="s">
        <v>544</v>
      </c>
      <c r="D45" s="242"/>
      <c r="E45" s="28" t="s">
        <v>144</v>
      </c>
      <c r="F45" s="28"/>
      <c r="G45" s="28"/>
      <c r="H45" s="28"/>
      <c r="I45" s="28"/>
      <c r="J45" s="385"/>
      <c r="K45" s="378">
        <f t="shared" si="6"/>
        <v>0</v>
      </c>
      <c r="L45" s="392">
        <v>0.33</v>
      </c>
      <c r="M45" s="311">
        <f t="shared" si="7"/>
        <v>0</v>
      </c>
      <c r="N45" s="378">
        <f>(M45*VLOOKUP($C$9,'Base Costs'!$A$32:$B$37,2,FALSE))</f>
        <v>0</v>
      </c>
      <c r="O45" s="379">
        <f t="shared" si="8"/>
        <v>0</v>
      </c>
      <c r="U45" s="229"/>
    </row>
    <row r="46" spans="1:27" ht="15" customHeight="1" x14ac:dyDescent="0.15">
      <c r="A46" s="215">
        <v>253</v>
      </c>
      <c r="C46" s="269" t="s">
        <v>12</v>
      </c>
      <c r="D46" s="242"/>
      <c r="E46" s="28" t="s">
        <v>144</v>
      </c>
      <c r="F46" s="28"/>
      <c r="G46" s="28"/>
      <c r="H46" s="28"/>
      <c r="I46" s="28"/>
      <c r="J46" s="385">
        <v>170</v>
      </c>
      <c r="K46" s="378">
        <f t="shared" si="6"/>
        <v>0</v>
      </c>
      <c r="L46" s="392">
        <v>0.33</v>
      </c>
      <c r="M46" s="311">
        <f t="shared" si="7"/>
        <v>0</v>
      </c>
      <c r="N46" s="378">
        <f>(M46*VLOOKUP($C$9,'Base Costs'!$A$32:$B$37,2,FALSE))</f>
        <v>0</v>
      </c>
      <c r="O46" s="379">
        <f t="shared" si="8"/>
        <v>0</v>
      </c>
      <c r="U46" s="229"/>
    </row>
    <row r="47" spans="1:27" ht="15" customHeight="1" x14ac:dyDescent="0.15">
      <c r="A47" s="215">
        <v>280</v>
      </c>
      <c r="C47" s="269" t="s">
        <v>32</v>
      </c>
      <c r="D47" s="242"/>
      <c r="E47" s="28" t="s">
        <v>145</v>
      </c>
      <c r="F47" s="28"/>
      <c r="G47" s="28"/>
      <c r="H47" s="28"/>
      <c r="I47" s="28"/>
      <c r="J47" s="385">
        <v>604</v>
      </c>
      <c r="K47" s="378">
        <f t="shared" si="6"/>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6"/>
        <v>0</v>
      </c>
      <c r="L48" s="392">
        <v>0.33</v>
      </c>
      <c r="M48" s="311">
        <f t="shared" si="7"/>
        <v>0</v>
      </c>
      <c r="N48" s="378">
        <f>(M48*VLOOKUP($C$9,'Base Costs'!$A$32:$B$37,2,FALSE))</f>
        <v>0</v>
      </c>
      <c r="O48" s="379">
        <f t="shared" si="8"/>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phoneticPr fontId="112" type="noConversion"/>
  <conditionalFormatting sqref="C9">
    <cfRule type="containsText" dxfId="11336" priority="78" operator="containsText" text="SELECT">
      <formula>NOT(ISERROR(SEARCH("SELECT",C9)))</formula>
    </cfRule>
    <cfRule type="expression" dxfId="11335" priority="79">
      <formula>C9="CURRENCY"</formula>
    </cfRule>
  </conditionalFormatting>
  <conditionalFormatting sqref="C14:C34">
    <cfRule type="expression" dxfId="11334" priority="1">
      <formula>$J14&gt;0</formula>
    </cfRule>
  </conditionalFormatting>
  <conditionalFormatting sqref="C38:C48">
    <cfRule type="expression" dxfId="11333" priority="20">
      <formula>$D38&gt;0</formula>
    </cfRule>
  </conditionalFormatting>
  <conditionalFormatting sqref="D38:D39 D41:D48">
    <cfRule type="cellIs" dxfId="11332" priority="81" operator="lessThan">
      <formula>1</formula>
    </cfRule>
  </conditionalFormatting>
  <conditionalFormatting sqref="D40">
    <cfRule type="cellIs" dxfId="11331" priority="68" operator="lessThan">
      <formula>1</formula>
    </cfRule>
  </conditionalFormatting>
  <conditionalFormatting sqref="D9:E9">
    <cfRule type="cellIs" dxfId="11330" priority="74" operator="lessThan">
      <formula>0</formula>
    </cfRule>
    <cfRule type="cellIs" dxfId="11329" priority="75" operator="greaterThan">
      <formula>0</formula>
    </cfRule>
  </conditionalFormatting>
  <conditionalFormatting sqref="F12">
    <cfRule type="expression" dxfId="11328" priority="90">
      <formula>AND((ISNUMBER(SEARCH("I-MUAP",$E$14))),F12&lt;2500)</formula>
    </cfRule>
    <cfRule type="expression" dxfId="11327" priority="91">
      <formula>ISNUMBER(SEARCH("I-MUAP",$E$14))</formula>
    </cfRule>
    <cfRule type="cellIs" dxfId="11326" priority="92" operator="greaterThan">
      <formula>2000</formula>
    </cfRule>
  </conditionalFormatting>
  <conditionalFormatting sqref="F12:G12">
    <cfRule type="cellIs" dxfId="11325" priority="85" operator="lessThan">
      <formula>1000</formula>
    </cfRule>
  </conditionalFormatting>
  <conditionalFormatting sqref="F14:G28">
    <cfRule type="cellIs" dxfId="11324" priority="12" operator="lessThan">
      <formula>1000</formula>
    </cfRule>
  </conditionalFormatting>
  <conditionalFormatting sqref="F31:G32">
    <cfRule type="cellIs" dxfId="11323" priority="5" operator="lessThan">
      <formula>1000</formula>
    </cfRule>
  </conditionalFormatting>
  <conditionalFormatting sqref="G12">
    <cfRule type="cellIs" dxfId="11322" priority="86" operator="greaterThan">
      <formula>3001</formula>
    </cfRule>
  </conditionalFormatting>
  <conditionalFormatting sqref="H11">
    <cfRule type="expression" dxfId="11321" priority="88">
      <formula>((G14-50)/I14)&lt;950</formula>
    </cfRule>
  </conditionalFormatting>
  <conditionalFormatting sqref="H12">
    <cfRule type="expression" dxfId="11320" priority="87">
      <formula>((G14-50)/I14)&lt;950</formula>
    </cfRule>
  </conditionalFormatting>
  <conditionalFormatting sqref="H14:H28">
    <cfRule type="cellIs" dxfId="11319" priority="14" operator="lessThan">
      <formula>400</formula>
    </cfRule>
  </conditionalFormatting>
  <conditionalFormatting sqref="H31:H32">
    <cfRule type="cellIs" dxfId="11318" priority="7" operator="lessThan">
      <formula>400</formula>
    </cfRule>
  </conditionalFormatting>
  <conditionalFormatting sqref="H35">
    <cfRule type="expression" dxfId="11317" priority="99">
      <formula>((#REF!-50)/#REF!)&lt;950</formula>
    </cfRule>
  </conditionalFormatting>
  <conditionalFormatting sqref="J14:J32">
    <cfRule type="cellIs" dxfId="11316" priority="27" operator="greaterThan">
      <formula>0</formula>
    </cfRule>
  </conditionalFormatting>
  <conditionalFormatting sqref="J38:J48">
    <cfRule type="expression" dxfId="11315" priority="60">
      <formula>D38&gt;0</formula>
    </cfRule>
  </conditionalFormatting>
  <conditionalFormatting sqref="J50:J56">
    <cfRule type="expression" dxfId="11314" priority="65">
      <formula>#REF!="EURO"</formula>
    </cfRule>
  </conditionalFormatting>
  <conditionalFormatting sqref="K14:K34">
    <cfRule type="cellIs" dxfId="11313" priority="10" operator="greaterThan">
      <formula>0</formula>
    </cfRule>
  </conditionalFormatting>
  <conditionalFormatting sqref="K38:K48">
    <cfRule type="cellIs" dxfId="11312" priority="67" operator="greaterThan">
      <formula>0</formula>
    </cfRule>
  </conditionalFormatting>
  <conditionalFormatting sqref="K50:K56">
    <cfRule type="expression" dxfId="11311" priority="61">
      <formula>$C$9="PLN"</formula>
    </cfRule>
    <cfRule type="expression" dxfId="11310" priority="62">
      <formula>$C$9="CZK"</formula>
    </cfRule>
    <cfRule type="expression" dxfId="11309" priority="63">
      <formula>$C$9="USD"</formula>
    </cfRule>
    <cfRule type="expression" dxfId="11308" priority="64">
      <formula>$C$9="EURO"</formula>
    </cfRule>
  </conditionalFormatting>
  <conditionalFormatting sqref="L14:L34">
    <cfRule type="expression" dxfId="11307" priority="25">
      <formula>$D$9&lt;0</formula>
    </cfRule>
    <cfRule type="expression" dxfId="11306" priority="26">
      <formula>$D$9&gt;0</formula>
    </cfRule>
  </conditionalFormatting>
  <conditionalFormatting sqref="L38:L48">
    <cfRule type="expression" dxfId="11305" priority="23">
      <formula>$D$9&lt;0</formula>
    </cfRule>
    <cfRule type="expression" dxfId="11304" priority="24">
      <formula>$D$9&gt;0</formula>
    </cfRule>
  </conditionalFormatting>
  <conditionalFormatting sqref="N9 N12">
    <cfRule type="expression" dxfId="11303" priority="93">
      <formula>$C$9="PLN"</formula>
    </cfRule>
    <cfRule type="expression" dxfId="11302" priority="94">
      <formula>$C$9="CZK"</formula>
    </cfRule>
    <cfRule type="expression" dxfId="11301" priority="95">
      <formula>$C$9="USD"</formula>
    </cfRule>
    <cfRule type="expression" dxfId="11300" priority="96">
      <formula>$C$9="EURO"</formula>
    </cfRule>
  </conditionalFormatting>
  <conditionalFormatting sqref="N14:N34">
    <cfRule type="expression" dxfId="11299" priority="31">
      <formula>$C$9="PLN"</formula>
    </cfRule>
    <cfRule type="expression" dxfId="11298" priority="32">
      <formula>$C$9="CZK"</formula>
    </cfRule>
    <cfRule type="expression" dxfId="11297" priority="33">
      <formula>$C$9="USD"</formula>
    </cfRule>
    <cfRule type="expression" dxfId="11296" priority="34">
      <formula>$C$9="EURO"</formula>
    </cfRule>
  </conditionalFormatting>
  <conditionalFormatting sqref="N18:N22">
    <cfRule type="cellIs" dxfId="11295" priority="42" operator="greaterThan">
      <formula>0</formula>
    </cfRule>
  </conditionalFormatting>
  <conditionalFormatting sqref="N37:N48">
    <cfRule type="expression" dxfId="11294" priority="16">
      <formula>$C$9="PLN"</formula>
    </cfRule>
    <cfRule type="expression" dxfId="11293" priority="17">
      <formula>$C$9="CZK"</formula>
    </cfRule>
    <cfRule type="expression" dxfId="11292" priority="18">
      <formula>$C$9="USD"</formula>
    </cfRule>
    <cfRule type="expression" dxfId="11291" priority="19">
      <formula>$C$9="EURO"</formula>
    </cfRule>
  </conditionalFormatting>
  <conditionalFormatting sqref="N14:O34">
    <cfRule type="cellIs" dxfId="11290" priority="30" operator="greaterThan">
      <formula>0</formula>
    </cfRule>
  </conditionalFormatting>
  <conditionalFormatting sqref="N38:O48">
    <cfRule type="cellIs" dxfId="11289" priority="15" operator="greaterThan">
      <formula>0</formula>
    </cfRule>
  </conditionalFormatting>
  <conditionalFormatting sqref="O14:O22">
    <cfRule type="cellIs" dxfId="11288" priority="47" operator="greaterThan">
      <formula>0</formula>
    </cfRule>
  </conditionalFormatting>
  <dataValidations count="3">
    <dataValidation type="list" allowBlank="1" showInputMessage="1" showErrorMessage="1" sqref="H36" xr:uid="{26A6D105-ED01-4E1D-9109-858E43614469}">
      <formula1>#REF!</formula1>
    </dataValidation>
    <dataValidation operator="greaterThan" allowBlank="1" showInputMessage="1" showErrorMessage="1" sqref="F14:F28 F31:F32" xr:uid="{44F281D2-C285-4A66-8EFF-51D33CBEB26F}"/>
    <dataValidation type="list" allowBlank="1" showInputMessage="1" showErrorMessage="1" sqref="E14:E34" xr:uid="{2B99AC38-3F44-4297-B39F-0D8017FFBE33}">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FA621D-A280-43DB-AA60-1A60B4E35123}">
          <x14:formula1>
            <xm:f>'Base Costs'!$A$4:$A$16</xm:f>
          </x14:formula1>
          <xm:sqref>E39:E40</xm:sqref>
        </x14:dataValidation>
        <x14:dataValidation type="list" allowBlank="1" showInputMessage="1" showErrorMessage="1" xr:uid="{82E1C77F-D7D1-4983-BB64-8F20C78951C2}">
          <x14:formula1>
            <xm:f>'Base Costs'!$E$4:$E$213</xm:f>
          </x14:formula1>
          <xm:sqref>E38</xm:sqref>
        </x14:dataValidation>
        <x14:dataValidation type="list" allowBlank="1" showInputMessage="1" showErrorMessage="1" xr:uid="{6CC6D9C5-2F9C-4046-85CE-BC3DEB171BA7}">
          <x14:formula1>
            <xm:f>'Base Costs'!$A$32:$A$37</xm:f>
          </x14:formula1>
          <xm:sqref>C9</xm:sqref>
        </x14:dataValidation>
      </x14:dataValidations>
    </ext>
  </extLs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79998168889431442"/>
    <pageSetUpPr fitToPage="1"/>
  </sheetPr>
  <dimension ref="B1:AI203"/>
  <sheetViews>
    <sheetView zoomScale="80" zoomScaleNormal="80" workbookViewId="0">
      <selection activeCell="P12" sqref="P12"/>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9.1640625" style="55"/>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9.1640625" style="55"/>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9.1640625" style="55"/>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9.1640625" style="55"/>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9.1640625" style="55"/>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9.1640625" style="55"/>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9.1640625" style="55"/>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9.1640625" style="55"/>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9.1640625" style="55"/>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9.1640625" style="55"/>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9.1640625" style="55"/>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9.1640625" style="55"/>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9.1640625" style="55"/>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9.1640625" style="55"/>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9.1640625" style="55"/>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9.1640625" style="55"/>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9.1640625" style="55"/>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9.1640625" style="55"/>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9.1640625" style="55"/>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9.1640625" style="55"/>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9.1640625" style="55"/>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9.1640625" style="55"/>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9.1640625" style="55"/>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9.1640625" style="55"/>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9.1640625" style="55"/>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9.1640625" style="55"/>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9.1640625" style="55"/>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9.1640625" style="55"/>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9.1640625" style="55"/>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9.1640625" style="55"/>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9.1640625" style="55"/>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9.1640625" style="55"/>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9.1640625" style="55"/>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9.1640625" style="55"/>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9.1640625" style="55"/>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9.1640625" style="55"/>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9.1640625" style="55"/>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9.1640625" style="55"/>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9.1640625" style="55"/>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9.1640625" style="55"/>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9.1640625" style="55"/>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9.1640625" style="55"/>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9.1640625" style="55"/>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9.1640625" style="55"/>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9.1640625" style="55"/>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9.1640625" style="55"/>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9.1640625" style="55"/>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9.1640625" style="55"/>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9.1640625" style="55"/>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9.1640625" style="55"/>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9.1640625" style="55"/>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9.1640625" style="55"/>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9.1640625" style="55"/>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9.1640625" style="55"/>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9.1640625" style="55"/>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9.1640625" style="55"/>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9.1640625" style="55"/>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9.1640625" style="55"/>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9.1640625" style="55"/>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9.1640625" style="55"/>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9.1640625" style="55"/>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9.1640625" style="55"/>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9.1640625" style="55"/>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9.1640625" style="55"/>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9.1640625" style="55"/>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9.1640625" style="55"/>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9.1640625" style="55"/>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9.1640625" style="55"/>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9.1640625" style="55"/>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9.1640625" style="55"/>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9.1640625" style="55"/>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9.1640625" style="55"/>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9.1640625" style="55"/>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9.1640625" style="55"/>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9.1640625" style="55"/>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9.1640625" style="55"/>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9.1640625" style="55"/>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9.1640625" style="55"/>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9.1640625" style="55"/>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9.1640625" style="55"/>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9.1640625" style="55"/>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9.1640625" style="55"/>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9.1640625" style="55"/>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9.1640625" style="55"/>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9.1640625" style="55"/>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9.1640625" style="55"/>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9.1640625" style="55"/>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9.1640625" style="55"/>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9.1640625" style="55"/>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9.1640625" style="55"/>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9.1640625" style="55"/>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9.1640625" style="55"/>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9.1640625" style="55"/>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9.1640625" style="55"/>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9.1640625" style="55"/>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9.1640625" style="55"/>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9.1640625" style="55"/>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9.1640625" style="55"/>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9.1640625" style="55"/>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9.1640625" style="55"/>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9.1640625" style="55"/>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9.1640625" style="55"/>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9.1640625" style="55"/>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9.1640625" style="55"/>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9.1640625" style="55"/>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9.1640625" style="55"/>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9.1640625" style="55"/>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9.1640625" style="55"/>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9.1640625" style="55"/>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9.1640625" style="55"/>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9.1640625" style="55"/>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9.1640625" style="55"/>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9.1640625" style="55"/>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9.1640625" style="55"/>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9.1640625" style="55"/>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9.1640625" style="55"/>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9.1640625" style="55"/>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9.1640625" style="55"/>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9.1640625" style="55"/>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9.1640625" style="55"/>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9.1640625" style="55"/>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9.1640625" style="55"/>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9.1640625" style="55"/>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9.1640625" style="55"/>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9.1640625" style="55"/>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9.1640625" style="55"/>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9.1640625" style="55"/>
  </cols>
  <sheetData>
    <row r="1" spans="2:35" s="40" customFormat="1" ht="15" customHeight="1" x14ac:dyDescent="0.15">
      <c r="B1" s="1168" t="s">
        <v>1506</v>
      </c>
      <c r="C1" s="1168"/>
      <c r="D1" s="156"/>
      <c r="E1" s="157"/>
      <c r="F1" s="158"/>
      <c r="G1" s="356"/>
      <c r="H1" s="356"/>
      <c r="I1" s="357"/>
      <c r="J1" s="356"/>
      <c r="K1" s="356"/>
      <c r="L1" s="989" t="s">
        <v>1501</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733</v>
      </c>
      <c r="C3" s="1083" t="e">
        <f>IF(#REF!="","",#REF!)</f>
        <v>#REF!</v>
      </c>
      <c r="D3" s="1083"/>
      <c r="E3" s="165"/>
      <c r="F3" s="177" t="s">
        <v>78</v>
      </c>
      <c r="G3" s="1083" t="e">
        <f>IF(#REF!="","",#REF!)</f>
        <v>#REF!</v>
      </c>
      <c r="H3" s="1083"/>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75</v>
      </c>
      <c r="C5" s="1169" t="e">
        <f>IF(#REF!="","",#REF!)</f>
        <v>#REF!</v>
      </c>
      <c r="D5" s="1169"/>
      <c r="E5" s="173"/>
      <c r="F5" s="177" t="s">
        <v>77</v>
      </c>
      <c r="G5" s="1083" t="e">
        <f>IF(#REF!="","",#REF!)</f>
        <v>#REF!</v>
      </c>
      <c r="H5" s="1083"/>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734</v>
      </c>
      <c r="C7" s="1169" t="e">
        <f>IF(#REF!="","",#REF!)</f>
        <v>#REF!</v>
      </c>
      <c r="D7" s="1169"/>
      <c r="E7" s="180"/>
      <c r="F7" s="181" t="s">
        <v>76</v>
      </c>
      <c r="G7" s="1086" t="e">
        <f>IF(#REF!="","",#REF!)</f>
        <v>#REF!</v>
      </c>
      <c r="H7" s="1086"/>
      <c r="I7" s="51"/>
      <c r="J7" s="361"/>
      <c r="K7" s="361" t="s">
        <v>79</v>
      </c>
      <c r="L7" s="576" t="e">
        <f>IF(#REF!="","",#REF!)</f>
        <v>#REF!</v>
      </c>
      <c r="M7" s="1094" t="s">
        <v>1408</v>
      </c>
      <c r="N7" s="1094"/>
      <c r="O7" s="1094"/>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353</v>
      </c>
      <c r="C9" s="964">
        <v>0</v>
      </c>
      <c r="D9" s="377">
        <f>IF(C9=0,0,(SUBTOTAL(9,J15:J61)/(1-C9))-J9)</f>
        <v>0</v>
      </c>
      <c r="E9" s="155"/>
      <c r="F9" s="155"/>
      <c r="H9" s="25">
        <f>SUBTOTAL(9,H11:H61)</f>
        <v>1418</v>
      </c>
      <c r="I9" s="981">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353</v>
      </c>
      <c r="C10" s="317" t="s">
        <v>542</v>
      </c>
      <c r="D10" s="317" t="s">
        <v>541</v>
      </c>
      <c r="E10" s="2"/>
      <c r="F10" s="2"/>
      <c r="G10" s="1" t="s">
        <v>209</v>
      </c>
      <c r="H10" s="2" t="s">
        <v>34</v>
      </c>
      <c r="I10" s="3" t="s">
        <v>146</v>
      </c>
      <c r="J10" s="4" t="s">
        <v>132</v>
      </c>
      <c r="K10" s="4" t="s">
        <v>210</v>
      </c>
      <c r="L10" s="5" t="s">
        <v>211</v>
      </c>
      <c r="Q10" s="587"/>
      <c r="T10" s="48"/>
      <c r="W10" s="48"/>
      <c r="Z10" s="48"/>
      <c r="AI10" s="48"/>
    </row>
    <row r="11" spans="2:35" ht="15" customHeight="1" x14ac:dyDescent="0.15">
      <c r="D11" s="55"/>
    </row>
    <row r="12" spans="2:35" ht="15" customHeight="1" x14ac:dyDescent="0.15">
      <c r="B12" s="56" t="s">
        <v>1455</v>
      </c>
      <c r="D12" s="55"/>
      <c r="E12" s="155"/>
      <c r="F12" s="155"/>
    </row>
    <row r="13" spans="2:35" ht="15" customHeight="1" x14ac:dyDescent="0.15">
      <c r="B13" s="492" t="s">
        <v>1454</v>
      </c>
      <c r="C13" s="38" t="s">
        <v>217</v>
      </c>
      <c r="D13" s="58"/>
      <c r="E13" s="390" t="s">
        <v>146</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0</v>
      </c>
      <c r="C14" s="54" t="s">
        <v>1</v>
      </c>
      <c r="D14" s="54" t="s">
        <v>2</v>
      </c>
      <c r="E14" s="246"/>
      <c r="F14" s="247"/>
      <c r="G14" s="248"/>
      <c r="H14" s="248"/>
      <c r="I14" s="249"/>
      <c r="J14" s="248"/>
      <c r="K14" s="248"/>
      <c r="L14" s="248"/>
    </row>
    <row r="15" spans="2:35"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5" ht="15" customHeight="1" x14ac:dyDescent="0.15">
      <c r="B16" s="269" t="s">
        <v>894</v>
      </c>
      <c r="C16" s="84" t="s">
        <v>80</v>
      </c>
      <c r="D16" s="87"/>
      <c r="E16" s="82"/>
      <c r="F16" s="82"/>
      <c r="G16" s="380"/>
      <c r="H16" s="378">
        <f t="shared" si="0"/>
        <v>0</v>
      </c>
      <c r="I16" s="463">
        <v>0.44</v>
      </c>
      <c r="J16" s="311">
        <f t="shared" ref="J16:J49" si="1">H16/(1-I16)*(1+$C$9)</f>
        <v>0</v>
      </c>
      <c r="K16" s="378">
        <f>J16*VLOOKUP($B$9,'Base Costs'!$A$32:$B$37,2,FALSE)</f>
        <v>0</v>
      </c>
      <c r="L16" s="379">
        <f t="shared" ref="L16:L36" si="2">K16-H16</f>
        <v>0</v>
      </c>
    </row>
    <row r="17" spans="2:15" ht="15" customHeight="1" x14ac:dyDescent="0.15">
      <c r="B17" s="269" t="s">
        <v>890</v>
      </c>
      <c r="C17" s="84" t="s">
        <v>80</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891</v>
      </c>
      <c r="C18" s="84" t="s">
        <v>80</v>
      </c>
      <c r="D18" s="87"/>
      <c r="E18" s="82"/>
      <c r="F18" s="82"/>
      <c r="G18" s="380"/>
      <c r="H18" s="378">
        <f t="shared" si="0"/>
        <v>0</v>
      </c>
      <c r="I18" s="463">
        <v>0.44</v>
      </c>
      <c r="J18" s="311">
        <f t="shared" si="1"/>
        <v>0</v>
      </c>
      <c r="K18" s="378">
        <f>J18*VLOOKUP($B$9,'Base Costs'!$A$32:$B$37,2,FALSE)</f>
        <v>0</v>
      </c>
      <c r="L18" s="379">
        <f t="shared" si="2"/>
        <v>0</v>
      </c>
      <c r="O18" s="963"/>
    </row>
    <row r="19" spans="2:15" s="63" customFormat="1" ht="15" customHeight="1" x14ac:dyDescent="0.15">
      <c r="B19" s="269" t="s">
        <v>877</v>
      </c>
      <c r="C19" s="84" t="s">
        <v>80</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92</v>
      </c>
      <c r="C20" s="84" t="s">
        <v>80</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93</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ref="J23" si="3">H23/(1-I23)*(1+$C$9)</f>
        <v>0</v>
      </c>
      <c r="K23" s="378">
        <f>J23*VLOOKUP($B$9,'Base Costs'!$A$32:$B$37,2,FALSE)</f>
        <v>0</v>
      </c>
      <c r="L23" s="379">
        <f t="shared" ref="L23" si="4">K23-H23</f>
        <v>0</v>
      </c>
    </row>
    <row r="24" spans="2:15" ht="15" customHeight="1" x14ac:dyDescent="0.15">
      <c r="B24" s="992" t="s">
        <v>1406</v>
      </c>
      <c r="C24" s="1032"/>
      <c r="D24" s="1033">
        <v>1</v>
      </c>
      <c r="E24" s="1034"/>
      <c r="F24" s="1034"/>
      <c r="G24" s="1009">
        <v>50</v>
      </c>
      <c r="H24" s="1010">
        <f t="shared" ref="H24" si="5">D24*G24</f>
        <v>50</v>
      </c>
      <c r="I24" s="1035">
        <v>0.44</v>
      </c>
      <c r="J24" s="1012">
        <f t="shared" ref="J24" si="6">H24/(1-I24)*(1+$C$9)</f>
        <v>89.285714285714278</v>
      </c>
      <c r="K24" s="1010">
        <f>J24*VLOOKUP($B$9,'Base Costs'!$A$32:$B$37,2,FALSE)</f>
        <v>89.285714285714278</v>
      </c>
      <c r="L24" s="1013">
        <f t="shared" ref="L24" si="7">K24-H24</f>
        <v>39.285714285714278</v>
      </c>
      <c r="M24" s="1034" t="s">
        <v>1453</v>
      </c>
    </row>
    <row r="25" spans="2:15" s="63" customFormat="1" ht="15" customHeight="1" x14ac:dyDescent="0.15">
      <c r="B25" s="269" t="s">
        <v>33</v>
      </c>
      <c r="C25" s="90"/>
      <c r="D25" s="87"/>
      <c r="E25" s="73"/>
      <c r="F25" s="73"/>
      <c r="G25" s="380"/>
      <c r="H25" s="378">
        <f t="shared" ref="H25:H29" si="8">D25*G25</f>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8"/>
        <v>0</v>
      </c>
      <c r="I26" s="463">
        <v>0.44</v>
      </c>
      <c r="J26" s="311">
        <f t="shared" si="1"/>
        <v>0</v>
      </c>
      <c r="K26" s="378">
        <f>J26*VLOOKUP($B$9,'Base Costs'!$A$32:$B$37,2,FALSE)</f>
        <v>0</v>
      </c>
      <c r="L26" s="379">
        <f t="shared" si="2"/>
        <v>0</v>
      </c>
    </row>
    <row r="27" spans="2:15" s="63" customFormat="1" ht="15" customHeight="1" x14ac:dyDescent="0.15">
      <c r="B27" s="269" t="s">
        <v>811</v>
      </c>
      <c r="C27" s="474" t="s">
        <v>810</v>
      </c>
      <c r="D27" s="475"/>
      <c r="E27" s="83" t="s">
        <v>812</v>
      </c>
      <c r="F27" s="83"/>
      <c r="G27" s="380">
        <v>103</v>
      </c>
      <c r="H27" s="378">
        <f t="shared" si="8"/>
        <v>0</v>
      </c>
      <c r="I27" s="463">
        <v>0.44</v>
      </c>
      <c r="J27" s="311">
        <f t="shared" si="1"/>
        <v>0</v>
      </c>
      <c r="K27" s="378">
        <f>J27*VLOOKUP($B$9,'Base Costs'!$A$32:$B$37,2,FALSE)</f>
        <v>0</v>
      </c>
      <c r="L27" s="379">
        <f t="shared" si="2"/>
        <v>0</v>
      </c>
    </row>
    <row r="28" spans="2:15" s="63" customFormat="1" ht="15" customHeight="1" x14ac:dyDescent="0.15">
      <c r="B28" s="269" t="s">
        <v>811</v>
      </c>
      <c r="C28" s="476" t="s">
        <v>809</v>
      </c>
      <c r="D28" s="475"/>
      <c r="E28" s="83" t="s">
        <v>812</v>
      </c>
      <c r="F28" s="83"/>
      <c r="G28" s="380">
        <v>135</v>
      </c>
      <c r="H28" s="378">
        <f t="shared" si="8"/>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8"/>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604</v>
      </c>
      <c r="C31" s="459"/>
      <c r="D31" s="87">
        <v>1</v>
      </c>
      <c r="E31" s="83"/>
      <c r="F31" s="83"/>
      <c r="G31" s="380">
        <f>C31</f>
        <v>0</v>
      </c>
      <c r="H31" s="378">
        <f>D31*G31</f>
        <v>0</v>
      </c>
      <c r="I31" s="463">
        <v>0.44</v>
      </c>
      <c r="J31" s="311">
        <f t="shared" si="1"/>
        <v>0</v>
      </c>
      <c r="K31" s="378">
        <f>J31*VLOOKUP($B$9,'Base Costs'!$A$32:$B$37,2,FALSE)</f>
        <v>0</v>
      </c>
      <c r="L31" s="379">
        <f t="shared" si="2"/>
        <v>0</v>
      </c>
    </row>
    <row r="32" spans="2:15" s="63" customFormat="1" ht="15" hidden="1" customHeight="1" x14ac:dyDescent="0.15">
      <c r="B32" s="308" t="s">
        <v>605</v>
      </c>
      <c r="C32" s="459"/>
      <c r="D32" s="477">
        <v>1</v>
      </c>
      <c r="E32" s="83"/>
      <c r="F32" s="83"/>
      <c r="G32" s="380">
        <f>C32</f>
        <v>0</v>
      </c>
      <c r="H32" s="378">
        <f>D32*G32</f>
        <v>0</v>
      </c>
      <c r="I32" s="463">
        <v>0.44</v>
      </c>
      <c r="J32" s="311">
        <f t="shared" si="1"/>
        <v>0</v>
      </c>
      <c r="K32" s="378">
        <f>J32*VLOOKUP($B$9,'Base Costs'!$A$32:$B$37,2,FALSE)</f>
        <v>0</v>
      </c>
      <c r="L32" s="379">
        <f t="shared" si="2"/>
        <v>0</v>
      </c>
    </row>
    <row r="33" spans="2:21" s="63" customFormat="1" ht="15" customHeight="1" x14ac:dyDescent="0.15">
      <c r="B33" s="476" t="s">
        <v>628</v>
      </c>
      <c r="C33" s="478" t="s">
        <v>629</v>
      </c>
      <c r="D33" s="478"/>
      <c r="E33" s="476"/>
      <c r="F33" s="478"/>
      <c r="G33" s="380">
        <f>SUM(H15:H22)*0.25</f>
        <v>0</v>
      </c>
      <c r="H33" s="378">
        <f>D33*G33</f>
        <v>0</v>
      </c>
      <c r="I33" s="463">
        <v>0.44</v>
      </c>
      <c r="J33" s="311">
        <f t="shared" si="1"/>
        <v>0</v>
      </c>
      <c r="K33" s="378">
        <f>J33*VLOOKUP($B$9,'Base Costs'!$A$32:$B$37,2,FALSE)</f>
        <v>0</v>
      </c>
      <c r="L33" s="379">
        <f t="shared" si="2"/>
        <v>0</v>
      </c>
    </row>
    <row r="34" spans="2:21" s="63" customFormat="1" ht="15" customHeight="1" x14ac:dyDescent="0.15">
      <c r="B34" s="476" t="s">
        <v>630</v>
      </c>
      <c r="C34" s="478"/>
      <c r="D34" s="478"/>
      <c r="E34" s="476"/>
      <c r="F34" s="478"/>
      <c r="G34" s="380">
        <v>107</v>
      </c>
      <c r="H34" s="378">
        <f>D34*G34</f>
        <v>0</v>
      </c>
      <c r="I34" s="463">
        <v>0.44</v>
      </c>
      <c r="J34" s="311">
        <f t="shared" si="1"/>
        <v>0</v>
      </c>
      <c r="K34" s="378">
        <f>J34*VLOOKUP($B$9,'Base Costs'!$A$32:$B$37,2,FALSE)</f>
        <v>0</v>
      </c>
      <c r="L34" s="379">
        <f t="shared" si="2"/>
        <v>0</v>
      </c>
    </row>
    <row r="35" spans="2:21" s="63" customFormat="1" ht="15" customHeight="1" x14ac:dyDescent="0.15">
      <c r="B35" s="476" t="s">
        <v>632</v>
      </c>
      <c r="C35" s="478"/>
      <c r="D35" s="478"/>
      <c r="E35" s="476"/>
      <c r="F35" s="478"/>
      <c r="G35" s="380">
        <v>30</v>
      </c>
      <c r="H35" s="378">
        <f>D35*G35</f>
        <v>0</v>
      </c>
      <c r="I35" s="463">
        <v>0.44</v>
      </c>
      <c r="J35" s="311">
        <f t="shared" si="1"/>
        <v>0</v>
      </c>
      <c r="K35" s="378">
        <f>J35*VLOOKUP($B$9,'Base Costs'!$A$32:$B$37,2,FALSE)</f>
        <v>0</v>
      </c>
      <c r="L35" s="379">
        <f t="shared" si="2"/>
        <v>0</v>
      </c>
    </row>
    <row r="36" spans="2:21" s="63" customFormat="1" ht="15" customHeight="1" x14ac:dyDescent="0.15">
      <c r="B36" s="476" t="s">
        <v>169</v>
      </c>
      <c r="C36" s="476"/>
      <c r="D36" s="478"/>
      <c r="E36" s="476"/>
      <c r="F36" s="478" t="s">
        <v>631</v>
      </c>
      <c r="G36" s="380">
        <v>0</v>
      </c>
      <c r="H36" s="378">
        <f t="shared" ref="H36" si="9">D36*G36</f>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77" t="s">
        <v>1012</v>
      </c>
      <c r="P37" s="1177"/>
      <c r="R37" s="63" t="s">
        <v>1022</v>
      </c>
      <c r="S37" s="878" t="s">
        <v>90</v>
      </c>
    </row>
    <row r="38" spans="2:21" s="63" customFormat="1" ht="15" customHeight="1" x14ac:dyDescent="0.15">
      <c r="B38" s="476" t="s">
        <v>1037</v>
      </c>
      <c r="C38" s="476"/>
      <c r="D38" s="480"/>
      <c r="E38" s="481"/>
      <c r="F38" s="476"/>
      <c r="G38" s="380">
        <v>1995</v>
      </c>
      <c r="H38" s="378">
        <f t="shared" ref="H38:H49" si="10">D38*G38</f>
        <v>0</v>
      </c>
      <c r="I38" s="463">
        <v>0.35</v>
      </c>
      <c r="J38" s="311">
        <f t="shared" si="1"/>
        <v>0</v>
      </c>
      <c r="K38" s="378">
        <f>J38*VLOOKUP($B$9,'Base Costs'!$A$32:$B$37,2,FALSE)</f>
        <v>0</v>
      </c>
      <c r="L38" s="379">
        <f t="shared" ref="L38:L49" si="11">K38-H38</f>
        <v>0</v>
      </c>
      <c r="O38" s="879" t="s">
        <v>1013</v>
      </c>
      <c r="P38" s="63" t="s">
        <v>1020</v>
      </c>
      <c r="Q38" s="63">
        <v>96.44</v>
      </c>
      <c r="R38" s="63">
        <v>216.71</v>
      </c>
      <c r="S38" s="879">
        <f t="shared" ref="S38:S44" si="12">SUM(Q38:R38)</f>
        <v>313.14999999999998</v>
      </c>
    </row>
    <row r="39" spans="2:21" s="63" customFormat="1" ht="15" customHeight="1" x14ac:dyDescent="0.15">
      <c r="B39" s="476" t="s">
        <v>1038</v>
      </c>
      <c r="C39" s="476"/>
      <c r="D39" s="482"/>
      <c r="E39" s="483"/>
      <c r="F39" s="476"/>
      <c r="G39" s="380">
        <v>1810</v>
      </c>
      <c r="H39" s="378">
        <f t="shared" si="10"/>
        <v>0</v>
      </c>
      <c r="I39" s="463">
        <v>0.35</v>
      </c>
      <c r="J39" s="311">
        <f t="shared" si="1"/>
        <v>0</v>
      </c>
      <c r="K39" s="378">
        <f>J39*VLOOKUP($B$9,'Base Costs'!$A$32:$B$37,2,FALSE)</f>
        <v>0</v>
      </c>
      <c r="L39" s="379">
        <f t="shared" si="11"/>
        <v>0</v>
      </c>
      <c r="O39" s="879" t="s">
        <v>1014</v>
      </c>
      <c r="P39" s="63" t="s">
        <v>1020</v>
      </c>
      <c r="Q39" s="63">
        <v>75.59</v>
      </c>
      <c r="R39" s="63">
        <v>216.71</v>
      </c>
      <c r="S39" s="879">
        <f t="shared" si="12"/>
        <v>292.3</v>
      </c>
    </row>
    <row r="40" spans="2:21" s="63" customFormat="1" ht="15" customHeight="1" x14ac:dyDescent="0.15">
      <c r="B40" s="476"/>
      <c r="C40" s="476"/>
      <c r="D40" s="484"/>
      <c r="E40" s="483"/>
      <c r="F40" s="882"/>
      <c r="G40" s="800"/>
      <c r="H40" s="378">
        <f t="shared" si="10"/>
        <v>0</v>
      </c>
      <c r="I40" s="463">
        <v>0</v>
      </c>
      <c r="J40" s="311">
        <f t="shared" si="1"/>
        <v>0</v>
      </c>
      <c r="K40" s="378">
        <f>J40*VLOOKUP($B$9,'Base Costs'!$A$32:$B$37,2,FALSE)</f>
        <v>0</v>
      </c>
      <c r="L40" s="379">
        <f t="shared" si="11"/>
        <v>0</v>
      </c>
      <c r="O40" s="879" t="s">
        <v>1015</v>
      </c>
      <c r="P40" s="63" t="s">
        <v>1020</v>
      </c>
      <c r="Q40" s="63">
        <v>82.12</v>
      </c>
      <c r="R40" s="63">
        <v>216.71</v>
      </c>
      <c r="S40" s="879">
        <f t="shared" si="12"/>
        <v>298.83000000000004</v>
      </c>
      <c r="U40" s="485"/>
    </row>
    <row r="41" spans="2:21" s="63" customFormat="1" ht="15" customHeight="1" x14ac:dyDescent="0.15">
      <c r="B41" s="476"/>
      <c r="C41" s="476"/>
      <c r="D41" s="484"/>
      <c r="E41" s="483"/>
      <c r="F41" s="899"/>
      <c r="G41" s="800"/>
      <c r="H41" s="378">
        <f t="shared" si="10"/>
        <v>0</v>
      </c>
      <c r="I41" s="463">
        <v>0</v>
      </c>
      <c r="J41" s="311">
        <f t="shared" si="1"/>
        <v>0</v>
      </c>
      <c r="K41" s="378">
        <f>J41*VLOOKUP($B$9,'Base Costs'!$A$32:$B$37,2,FALSE)</f>
        <v>0</v>
      </c>
      <c r="L41" s="379">
        <f t="shared" si="11"/>
        <v>0</v>
      </c>
      <c r="O41" s="879" t="s">
        <v>1016</v>
      </c>
      <c r="P41" s="63" t="s">
        <v>1020</v>
      </c>
      <c r="Q41" s="63">
        <v>87.86</v>
      </c>
      <c r="R41" s="63">
        <v>216.71</v>
      </c>
      <c r="S41" s="879">
        <f t="shared" si="12"/>
        <v>304.57</v>
      </c>
    </row>
    <row r="42" spans="2:21" s="63" customFormat="1" ht="15" customHeight="1" x14ac:dyDescent="0.15">
      <c r="B42" s="476"/>
      <c r="C42" s="476"/>
      <c r="D42" s="484"/>
      <c r="E42" s="483"/>
      <c r="F42" s="882"/>
      <c r="G42" s="884"/>
      <c r="H42" s="378">
        <f t="shared" si="10"/>
        <v>0</v>
      </c>
      <c r="I42" s="463">
        <v>0</v>
      </c>
      <c r="J42" s="311">
        <f t="shared" si="1"/>
        <v>0</v>
      </c>
      <c r="K42" s="378">
        <f>J42*VLOOKUP($B$9,'Base Costs'!$A$32:$B$37,2,FALSE)</f>
        <v>0</v>
      </c>
      <c r="L42" s="379">
        <f t="shared" si="11"/>
        <v>0</v>
      </c>
      <c r="O42" s="879" t="s">
        <v>1017</v>
      </c>
      <c r="P42" s="63" t="s">
        <v>1020</v>
      </c>
      <c r="Q42" s="63">
        <v>154.57</v>
      </c>
      <c r="R42" s="63">
        <v>216.71</v>
      </c>
      <c r="S42" s="879">
        <f t="shared" si="12"/>
        <v>371.28</v>
      </c>
    </row>
    <row r="43" spans="2:21" s="63" customFormat="1" ht="15" customHeight="1" x14ac:dyDescent="0.15">
      <c r="B43" s="476"/>
      <c r="C43" s="476"/>
      <c r="D43" s="486"/>
      <c r="E43" s="487"/>
      <c r="F43" s="881"/>
      <c r="G43" s="800"/>
      <c r="H43" s="378">
        <f t="shared" si="10"/>
        <v>0</v>
      </c>
      <c r="I43" s="463">
        <v>0.35</v>
      </c>
      <c r="J43" s="311">
        <f t="shared" si="1"/>
        <v>0</v>
      </c>
      <c r="K43" s="378">
        <f>J43*VLOOKUP($B$9,'Base Costs'!$A$32:$B$37,2,FALSE)</f>
        <v>0</v>
      </c>
      <c r="L43" s="379">
        <f t="shared" si="11"/>
        <v>0</v>
      </c>
      <c r="O43" s="879" t="s">
        <v>1018</v>
      </c>
      <c r="P43" s="63" t="s">
        <v>1021</v>
      </c>
      <c r="Q43" s="63">
        <v>384.14</v>
      </c>
      <c r="R43" s="63">
        <v>216.71</v>
      </c>
      <c r="S43" s="879">
        <f t="shared" si="12"/>
        <v>600.85</v>
      </c>
    </row>
    <row r="44" spans="2:21" s="63" customFormat="1" ht="15" customHeight="1" x14ac:dyDescent="0.15">
      <c r="B44" s="476" t="s">
        <v>856</v>
      </c>
      <c r="C44" s="476"/>
      <c r="D44" s="482"/>
      <c r="E44" s="483"/>
      <c r="F44" s="882"/>
      <c r="G44" s="800">
        <v>110</v>
      </c>
      <c r="H44" s="489">
        <f t="shared" si="10"/>
        <v>0</v>
      </c>
      <c r="I44" s="463">
        <v>0.35</v>
      </c>
      <c r="J44" s="311">
        <f t="shared" si="1"/>
        <v>0</v>
      </c>
      <c r="K44" s="378">
        <f>J44*VLOOKUP($B$9,'Base Costs'!$A$32:$B$37,2,FALSE)</f>
        <v>0</v>
      </c>
      <c r="L44" s="379">
        <f t="shared" si="11"/>
        <v>0</v>
      </c>
      <c r="O44" s="879" t="s">
        <v>1019</v>
      </c>
      <c r="P44" s="63" t="s">
        <v>1021</v>
      </c>
      <c r="Q44" s="63">
        <v>421.21</v>
      </c>
      <c r="R44" s="63">
        <v>216.71</v>
      </c>
      <c r="S44" s="879">
        <f t="shared" si="12"/>
        <v>637.91999999999996</v>
      </c>
    </row>
    <row r="45" spans="2:21" s="63" customFormat="1" ht="15" customHeight="1" x14ac:dyDescent="0.15">
      <c r="B45" s="931" t="s">
        <v>1342</v>
      </c>
      <c r="C45" s="932" t="s">
        <v>1341</v>
      </c>
      <c r="D45" s="885"/>
      <c r="E45" s="483"/>
      <c r="F45" s="883"/>
      <c r="G45" s="800">
        <v>100</v>
      </c>
      <c r="H45" s="489">
        <f t="shared" si="10"/>
        <v>0</v>
      </c>
      <c r="I45" s="463">
        <v>0</v>
      </c>
      <c r="J45" s="311">
        <f t="shared" si="1"/>
        <v>0</v>
      </c>
      <c r="K45" s="378">
        <f>J45*VLOOKUP($B$9,'Base Costs'!$A$32:$B$37,2,FALSE)</f>
        <v>0</v>
      </c>
      <c r="L45" s="379">
        <f t="shared" si="11"/>
        <v>0</v>
      </c>
    </row>
    <row r="46" spans="2:21" s="63" customFormat="1" ht="15" customHeight="1" x14ac:dyDescent="0.15">
      <c r="B46" s="801" t="s">
        <v>1343</v>
      </c>
      <c r="C46" s="476" t="s">
        <v>1347</v>
      </c>
      <c r="D46" s="482"/>
      <c r="E46" s="483"/>
      <c r="F46" s="882" t="s">
        <v>1036</v>
      </c>
      <c r="G46" s="800">
        <v>100</v>
      </c>
      <c r="H46" s="489">
        <f t="shared" si="10"/>
        <v>0</v>
      </c>
      <c r="I46" s="463">
        <v>0.35</v>
      </c>
      <c r="J46" s="311">
        <f t="shared" si="1"/>
        <v>0</v>
      </c>
      <c r="K46" s="378">
        <f>J46*VLOOKUP($B$9,'Base Costs'!$A$32:$B$37,2,FALSE)</f>
        <v>0</v>
      </c>
      <c r="L46" s="379">
        <f t="shared" si="11"/>
        <v>0</v>
      </c>
      <c r="O46" s="63" t="s">
        <v>1024</v>
      </c>
      <c r="P46" s="63" t="s">
        <v>1026</v>
      </c>
      <c r="Q46" s="63">
        <v>57</v>
      </c>
    </row>
    <row r="47" spans="2:21" s="63" customFormat="1" ht="15" customHeight="1" x14ac:dyDescent="0.15">
      <c r="B47" s="801" t="s">
        <v>1035</v>
      </c>
      <c r="C47" s="476"/>
      <c r="D47" s="482"/>
      <c r="E47" s="483"/>
      <c r="F47" s="881"/>
      <c r="G47" s="800">
        <v>0</v>
      </c>
      <c r="H47" s="489">
        <f t="shared" si="10"/>
        <v>0</v>
      </c>
      <c r="I47" s="463">
        <v>0.35</v>
      </c>
      <c r="J47" s="311">
        <f t="shared" si="1"/>
        <v>0</v>
      </c>
      <c r="K47" s="378">
        <f>J47*VLOOKUP($B$9,'Base Costs'!$A$32:$B$37,2,FALSE)</f>
        <v>0</v>
      </c>
      <c r="L47" s="379">
        <f t="shared" si="11"/>
        <v>0</v>
      </c>
      <c r="O47" s="63" t="s">
        <v>1023</v>
      </c>
      <c r="P47" s="63" t="s">
        <v>1026</v>
      </c>
      <c r="Q47" s="63">
        <v>57</v>
      </c>
    </row>
    <row r="48" spans="2:21" s="63" customFormat="1" ht="15" customHeight="1" x14ac:dyDescent="0.2">
      <c r="B48" s="289" t="s">
        <v>1032</v>
      </c>
      <c r="C48" s="880" t="s">
        <v>1033</v>
      </c>
      <c r="D48" s="482"/>
      <c r="E48" s="483"/>
      <c r="F48" s="883"/>
      <c r="G48" s="800">
        <v>57</v>
      </c>
      <c r="H48" s="489">
        <f t="shared" si="10"/>
        <v>0</v>
      </c>
      <c r="I48" s="463">
        <v>0.35</v>
      </c>
      <c r="J48" s="311">
        <f t="shared" si="1"/>
        <v>0</v>
      </c>
      <c r="K48" s="378">
        <f>J48*VLOOKUP($B$9,'Base Costs'!$A$32:$B$37,2,FALSE)</f>
        <v>0</v>
      </c>
      <c r="L48" s="379">
        <f t="shared" si="11"/>
        <v>0</v>
      </c>
      <c r="O48" s="63" t="s">
        <v>1025</v>
      </c>
      <c r="P48" s="63" t="s">
        <v>1026</v>
      </c>
      <c r="Q48" s="63">
        <v>57</v>
      </c>
    </row>
    <row r="49" spans="2:17" s="63" customFormat="1" ht="15" customHeight="1" x14ac:dyDescent="0.2">
      <c r="B49" s="289" t="s">
        <v>1031</v>
      </c>
      <c r="C49" s="880" t="s">
        <v>1034</v>
      </c>
      <c r="D49" s="482"/>
      <c r="E49" s="483"/>
      <c r="F49" s="883"/>
      <c r="G49" s="800">
        <v>65</v>
      </c>
      <c r="H49" s="489">
        <f t="shared" si="10"/>
        <v>0</v>
      </c>
      <c r="I49" s="463">
        <v>0.35</v>
      </c>
      <c r="J49" s="311">
        <f t="shared" si="1"/>
        <v>0</v>
      </c>
      <c r="K49" s="378">
        <f>J49*VLOOKUP($B$9,'Base Costs'!$A$32:$B$37,2,FALSE)</f>
        <v>0</v>
      </c>
      <c r="L49" s="379">
        <f t="shared" si="11"/>
        <v>0</v>
      </c>
      <c r="O49" s="63" t="s">
        <v>1028</v>
      </c>
      <c r="P49" s="63" t="s">
        <v>1030</v>
      </c>
      <c r="Q49" s="63">
        <v>57</v>
      </c>
    </row>
    <row r="50" spans="2:17" s="63" customFormat="1" ht="15" customHeight="1" x14ac:dyDescent="0.15">
      <c r="B50" s="68"/>
      <c r="C50" s="68"/>
      <c r="D50" s="69"/>
      <c r="E50" s="70"/>
      <c r="F50" s="71"/>
      <c r="G50" s="367"/>
      <c r="H50" s="490"/>
      <c r="I50" s="56"/>
      <c r="J50" s="362"/>
      <c r="K50" s="490"/>
      <c r="L50" s="362"/>
      <c r="O50" s="63" t="s">
        <v>1027</v>
      </c>
      <c r="P50" s="63" t="s">
        <v>1030</v>
      </c>
      <c r="Q50" s="63">
        <v>57</v>
      </c>
    </row>
    <row r="51" spans="2:17" s="63" customFormat="1" ht="15" customHeight="1" x14ac:dyDescent="0.15">
      <c r="B51" s="85" t="s">
        <v>51</v>
      </c>
      <c r="C51" s="85"/>
      <c r="D51" s="86"/>
      <c r="E51" s="85"/>
      <c r="F51" s="85"/>
      <c r="G51" s="61"/>
      <c r="H51" s="154">
        <f>SUBTOTAL(9,H52:H61)</f>
        <v>1368</v>
      </c>
      <c r="I51" s="15">
        <f>IF(H51=0,"-",L51/J51)</f>
        <v>0.33</v>
      </c>
      <c r="J51" s="154">
        <f>SUBTOTAL(9,J52:J62)</f>
        <v>2041.7910447761196</v>
      </c>
      <c r="K51" s="466">
        <f>SUBTOTAL(9,K52:K61)</f>
        <v>2041.7910447761196</v>
      </c>
      <c r="L51" s="154">
        <f>SUBTOTAL(9,L52:L61)</f>
        <v>673.79104477611952</v>
      </c>
      <c r="O51" s="63" t="s">
        <v>1024</v>
      </c>
      <c r="P51" s="63" t="s">
        <v>1030</v>
      </c>
      <c r="Q51" s="63">
        <v>57</v>
      </c>
    </row>
    <row r="52" spans="2:17" s="63" customFormat="1" ht="15" customHeight="1" x14ac:dyDescent="0.15">
      <c r="B52" s="308" t="s">
        <v>10</v>
      </c>
      <c r="C52" s="95"/>
      <c r="D52" s="289" t="s">
        <v>48</v>
      </c>
      <c r="E52" s="616" t="s">
        <v>762</v>
      </c>
      <c r="F52" s="617"/>
      <c r="G52" s="380">
        <v>900</v>
      </c>
      <c r="H52" s="378">
        <f t="shared" ref="H52:H61" si="13">C52*G52</f>
        <v>0</v>
      </c>
      <c r="I52" s="491">
        <v>0.33</v>
      </c>
      <c r="J52" s="311">
        <f t="shared" ref="J52:J61" si="14">H52/(1-I52)*(1+$C$9)</f>
        <v>0</v>
      </c>
      <c r="K52" s="378">
        <f>J52*VLOOKUP($B$9,'Base Costs'!$A$32:$B$37,2,FALSE)</f>
        <v>0</v>
      </c>
      <c r="L52" s="379">
        <f t="shared" ref="L52:L59" si="15">J52-H52</f>
        <v>0</v>
      </c>
      <c r="O52" s="63" t="s">
        <v>1029</v>
      </c>
      <c r="P52" s="63" t="s">
        <v>1030</v>
      </c>
      <c r="Q52" s="63">
        <v>65</v>
      </c>
    </row>
    <row r="53" spans="2:17" s="63" customFormat="1" ht="15" customHeight="1" x14ac:dyDescent="0.15">
      <c r="B53" s="308" t="s">
        <v>36</v>
      </c>
      <c r="C53" s="95"/>
      <c r="D53" s="289" t="s">
        <v>189</v>
      </c>
      <c r="E53" s="73"/>
      <c r="F53" s="73"/>
      <c r="G53" s="380">
        <v>250</v>
      </c>
      <c r="H53" s="378">
        <f t="shared" si="13"/>
        <v>0</v>
      </c>
      <c r="I53" s="491">
        <v>0.33</v>
      </c>
      <c r="J53" s="311">
        <f t="shared" si="14"/>
        <v>0</v>
      </c>
      <c r="K53" s="378">
        <f>J53*VLOOKUP($B$9,'Base Costs'!$A$32:$B$37,2,FALSE)</f>
        <v>0</v>
      </c>
      <c r="L53" s="379">
        <f t="shared" si="15"/>
        <v>0</v>
      </c>
    </row>
    <row r="54" spans="2:17" s="63" customFormat="1" ht="15" customHeight="1" x14ac:dyDescent="0.15">
      <c r="B54" s="1027" t="s">
        <v>1401</v>
      </c>
      <c r="C54" s="1028">
        <v>1</v>
      </c>
      <c r="D54" s="1029" t="s">
        <v>363</v>
      </c>
      <c r="E54" s="1030"/>
      <c r="F54" s="1030"/>
      <c r="G54" s="1009">
        <v>160</v>
      </c>
      <c r="H54" s="1010">
        <f t="shared" si="13"/>
        <v>160</v>
      </c>
      <c r="I54" s="1031">
        <v>0.33</v>
      </c>
      <c r="J54" s="1012">
        <f t="shared" si="14"/>
        <v>238.80597014925377</v>
      </c>
      <c r="K54" s="1010">
        <f>J54*VLOOKUP($B$9,'Base Costs'!$A$32:$B$37,2,FALSE)</f>
        <v>238.80597014925377</v>
      </c>
      <c r="L54" s="1013">
        <f t="shared" si="15"/>
        <v>78.805970149253767</v>
      </c>
      <c r="M54" s="1030" t="s">
        <v>1453</v>
      </c>
    </row>
    <row r="55" spans="2:17" s="63" customFormat="1" ht="15" customHeight="1" x14ac:dyDescent="0.15">
      <c r="B55" s="28" t="s">
        <v>140</v>
      </c>
      <c r="C55" s="95"/>
      <c r="D55" s="28" t="s">
        <v>362</v>
      </c>
      <c r="E55" s="73"/>
      <c r="F55" s="73"/>
      <c r="G55" s="380">
        <v>610</v>
      </c>
      <c r="H55" s="378">
        <f t="shared" si="13"/>
        <v>0</v>
      </c>
      <c r="I55" s="491">
        <v>0.4</v>
      </c>
      <c r="J55" s="311">
        <f t="shared" si="14"/>
        <v>0</v>
      </c>
      <c r="K55" s="378">
        <f>J55*VLOOKUP($B$9,'Base Costs'!$A$32:$B$37,2,FALSE)</f>
        <v>0</v>
      </c>
      <c r="L55" s="379">
        <f t="shared" si="15"/>
        <v>0</v>
      </c>
    </row>
    <row r="56" spans="2:17" s="63" customFormat="1" ht="15" customHeight="1" x14ac:dyDescent="0.15">
      <c r="B56" s="28" t="s">
        <v>141</v>
      </c>
      <c r="C56" s="95"/>
      <c r="D56" s="28" t="s">
        <v>362</v>
      </c>
      <c r="E56" s="73"/>
      <c r="F56" s="73"/>
      <c r="G56" s="380">
        <v>1220</v>
      </c>
      <c r="H56" s="378">
        <f t="shared" si="13"/>
        <v>0</v>
      </c>
      <c r="I56" s="491">
        <v>0.4</v>
      </c>
      <c r="J56" s="311">
        <f t="shared" si="14"/>
        <v>0</v>
      </c>
      <c r="K56" s="378">
        <f>J56*VLOOKUP($B$9,'Base Costs'!$A$32:$B$37,2,FALSE)</f>
        <v>0</v>
      </c>
      <c r="L56" s="379">
        <f t="shared" si="15"/>
        <v>0</v>
      </c>
    </row>
    <row r="57" spans="2:17" s="63" customFormat="1" ht="15" customHeight="1" x14ac:dyDescent="0.15">
      <c r="B57" s="28" t="s">
        <v>139</v>
      </c>
      <c r="C57" s="95"/>
      <c r="D57" s="28" t="s">
        <v>144</v>
      </c>
      <c r="E57" s="73"/>
      <c r="F57" s="73"/>
      <c r="G57" s="380">
        <v>220</v>
      </c>
      <c r="H57" s="378">
        <f t="shared" si="13"/>
        <v>0</v>
      </c>
      <c r="I57" s="491">
        <v>0.33</v>
      </c>
      <c r="J57" s="311">
        <f t="shared" si="14"/>
        <v>0</v>
      </c>
      <c r="K57" s="378">
        <f>J57*VLOOKUP($B$9,'Base Costs'!$A$32:$B$37,2,FALSE)</f>
        <v>0</v>
      </c>
      <c r="L57" s="379">
        <f t="shared" si="15"/>
        <v>0</v>
      </c>
    </row>
    <row r="58" spans="2:17" s="63" customFormat="1" ht="15" customHeight="1" x14ac:dyDescent="0.15">
      <c r="B58" s="308" t="s">
        <v>544</v>
      </c>
      <c r="C58" s="95"/>
      <c r="D58" s="28" t="s">
        <v>144</v>
      </c>
      <c r="E58" s="73"/>
      <c r="F58" s="73"/>
      <c r="G58" s="380">
        <v>150</v>
      </c>
      <c r="H58" s="378">
        <f t="shared" si="13"/>
        <v>0</v>
      </c>
      <c r="I58" s="491">
        <v>0.33</v>
      </c>
      <c r="J58" s="311">
        <f t="shared" si="14"/>
        <v>0</v>
      </c>
      <c r="K58" s="378">
        <f>J58*VLOOKUP($B$9,'Base Costs'!$A$32:$B$37,2,FALSE)</f>
        <v>0</v>
      </c>
      <c r="L58" s="379">
        <f t="shared" si="15"/>
        <v>0</v>
      </c>
    </row>
    <row r="59" spans="2:17" s="63" customFormat="1" ht="15" customHeight="1" x14ac:dyDescent="0.15">
      <c r="B59" s="308" t="s">
        <v>13</v>
      </c>
      <c r="C59" s="95"/>
      <c r="D59" s="28" t="s">
        <v>545</v>
      </c>
      <c r="E59" s="73"/>
      <c r="F59" s="73"/>
      <c r="G59" s="380">
        <v>50</v>
      </c>
      <c r="H59" s="378">
        <f t="shared" si="13"/>
        <v>0</v>
      </c>
      <c r="I59" s="491">
        <v>0.33</v>
      </c>
      <c r="J59" s="311">
        <f t="shared" si="14"/>
        <v>0</v>
      </c>
      <c r="K59" s="378">
        <f>J59*VLOOKUP($B$9,'Base Costs'!$A$32:$B$37,2,FALSE)</f>
        <v>0</v>
      </c>
      <c r="L59" s="379">
        <f t="shared" si="15"/>
        <v>0</v>
      </c>
    </row>
    <row r="60" spans="2:17" s="63" customFormat="1" ht="15" customHeight="1" x14ac:dyDescent="0.15">
      <c r="B60" s="308" t="s">
        <v>1348</v>
      </c>
      <c r="C60" s="95">
        <v>2</v>
      </c>
      <c r="D60" s="1116" t="s">
        <v>1487</v>
      </c>
      <c r="E60" s="1178"/>
      <c r="F60" s="1178"/>
      <c r="G60" s="380">
        <v>604</v>
      </c>
      <c r="H60" s="378">
        <f t="shared" si="13"/>
        <v>1208</v>
      </c>
      <c r="I60" s="491">
        <v>0.33</v>
      </c>
      <c r="J60" s="311">
        <f t="shared" si="14"/>
        <v>1802.9850746268658</v>
      </c>
      <c r="K60" s="378">
        <f>J60*VLOOKUP($B$9,'Base Costs'!$A$32:$B$37,2,FALSE)</f>
        <v>1802.9850746268658</v>
      </c>
      <c r="L60" s="379">
        <f>J60-H60</f>
        <v>594.98507462686575</v>
      </c>
      <c r="M60" s="1030" t="s">
        <v>1453</v>
      </c>
    </row>
    <row r="61" spans="2:17" s="63" customFormat="1" ht="15" customHeight="1" x14ac:dyDescent="0.15">
      <c r="B61" s="28" t="s">
        <v>1039</v>
      </c>
      <c r="C61" s="250"/>
      <c r="D61" s="1110" t="s">
        <v>1040</v>
      </c>
      <c r="E61" s="1179"/>
      <c r="F61" s="1179"/>
      <c r="G61" s="380">
        <v>603</v>
      </c>
      <c r="H61" s="378">
        <f t="shared" si="13"/>
        <v>0</v>
      </c>
      <c r="I61" s="491">
        <v>0.33</v>
      </c>
      <c r="J61" s="311">
        <f t="shared" si="14"/>
        <v>0</v>
      </c>
      <c r="K61" s="378">
        <f>J61*VLOOKUP($B$9,'Base Costs'!$A$32:$B$37,2,FALSE)</f>
        <v>0</v>
      </c>
      <c r="L61" s="379">
        <f>J61-H61</f>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126</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protectedRanges>
    <protectedRange sqref="B14:D14 E10:F10" name="Estimating_3_1" securityDescriptor="O:WDG:WDD:(A;;CC;;;S-1-5-21-1993962763-879983540-839522115-1221)"/>
    <protectedRange sqref="F8:H8 P7" name="Estimating_4_1" securityDescriptor="O:WDG:WDD:(A;;CC;;;S-1-5-21-1993962763-879983540-839522115-1221)"/>
    <protectedRange sqref="B2:B6 J7:K7 C2:E2 C8:E8" name="Estimating_1_3_1" securityDescriptor="O:WDG:WDD:(A;;CC;;;S-1-5-21-1993962763-879983540-839522115-1221)"/>
    <protectedRange sqref="L52:L61 U40 K37 L15:L49" name="Estimating_5_1" securityDescriptor="O:WDG:WDD:(A;;CC;;;S-1-5-21-1993962763-879983540-839522115-1221)"/>
    <protectedRange sqref="C61" name="Estimating_2_1" securityDescriptor="O:WDG:WDD:(A;;CC;;;S-1-5-21-1993962763-879983540-839522115-1221)"/>
    <protectedRange sqref="D54:D59" name="Estimating_6_1" securityDescriptor="O:WDG:WDD:(A;;CC;;;S-1-5-21-1993962763-879983540-839522115-1221)"/>
    <protectedRange sqref="L10" name="Estimating_7_1" securityDescriptor="O:WDG:WDD:(A;;CC;;;S-1-5-21-1993962763-879983540-839522115-1221)"/>
    <protectedRange sqref="F64:F69 B64:B68 K69:L69" name="Full_1" securityDescriptor="O:WDG:WDD:(A;;CC;;;S-1-5-21-1993962763-879983540-839522115-1156)"/>
    <protectedRange sqref="B69:C69"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2" name="Estimating_10"/>
    <protectedRange sqref="D60" name="Estimating_1"/>
    <protectedRange sqref="D61" name="Estimating_4_1_2" securityDescriptor="O:WDG:WDD:(A;;CC;;;S-1-5-21-1993962763-879983540-839522115-1221)"/>
    <protectedRange sqref="G52" name="Estimating_8_1"/>
    <protectedRange sqref="G21" name="Estimating_8_3"/>
    <protectedRange sqref="C38:C39 C41" name="Estimating_8_2"/>
  </protectedRanges>
  <mergeCells count="11">
    <mergeCell ref="B1:C1"/>
    <mergeCell ref="O37:P37"/>
    <mergeCell ref="D60:F60"/>
    <mergeCell ref="D61:F61"/>
    <mergeCell ref="C3:D3"/>
    <mergeCell ref="G3:H3"/>
    <mergeCell ref="C5:D5"/>
    <mergeCell ref="G5:H5"/>
    <mergeCell ref="C7:D7"/>
    <mergeCell ref="G7:H7"/>
    <mergeCell ref="M7:O7"/>
  </mergeCells>
  <conditionalFormatting sqref="B9">
    <cfRule type="containsText" dxfId="11287" priority="43" operator="containsText" text="SELECT">
      <formula>NOT(ISERROR(SEARCH("SELECT",B9)))</formula>
    </cfRule>
    <cfRule type="expression" dxfId="11286" priority="44">
      <formula>B9="CURRENCY"</formula>
    </cfRule>
  </conditionalFormatting>
  <conditionalFormatting sqref="B15:B29">
    <cfRule type="expression" dxfId="11285" priority="15">
      <formula>$D15&gt;0</formula>
    </cfRule>
  </conditionalFormatting>
  <conditionalFormatting sqref="B49 E49:F49">
    <cfRule type="expression" dxfId="11284" priority="68">
      <formula>C40="select controls"</formula>
    </cfRule>
  </conditionalFormatting>
  <conditionalFormatting sqref="C13">
    <cfRule type="containsText" dxfId="11283" priority="48" operator="containsText" text="SELECT">
      <formula>NOT(ISERROR(SEARCH("SELECT",C13)))</formula>
    </cfRule>
  </conditionalFormatting>
  <conditionalFormatting sqref="C15:C22">
    <cfRule type="containsText" dxfId="11282" priority="26" operator="containsText" text="SIZE">
      <formula>NOT(ISERROR(SEARCH("SIZE",C15)))</formula>
    </cfRule>
  </conditionalFormatting>
  <conditionalFormatting sqref="C25">
    <cfRule type="containsText" dxfId="11281" priority="56" operator="containsText" text="SELECT CONTROLS">
      <formula>NOT(ISERROR(SEARCH("SELECT CONTROLS",C25)))</formula>
    </cfRule>
  </conditionalFormatting>
  <conditionalFormatting sqref="C26">
    <cfRule type="containsText" dxfId="11280" priority="50" operator="containsText" text="st/st">
      <formula>NOT(ISERROR(SEARCH("st/st",C26)))</formula>
    </cfRule>
    <cfRule type="expression" dxfId="11279" priority="51">
      <formula>$C$25="SMARTEC"</formula>
    </cfRule>
  </conditionalFormatting>
  <conditionalFormatting sqref="C31:C32">
    <cfRule type="cellIs" dxfId="11278" priority="32" operator="greaterThan">
      <formula>0</formula>
    </cfRule>
  </conditionalFormatting>
  <conditionalFormatting sqref="C52:C61">
    <cfRule type="cellIs" dxfId="11277" priority="46" operator="lessThan">
      <formula>1</formula>
    </cfRule>
  </conditionalFormatting>
  <conditionalFormatting sqref="C9:D9">
    <cfRule type="cellIs" dxfId="11276" priority="39" operator="lessThan">
      <formula>0</formula>
    </cfRule>
    <cfRule type="cellIs" dxfId="11275" priority="40" operator="greaterThan">
      <formula>0</formula>
    </cfRule>
  </conditionalFormatting>
  <conditionalFormatting sqref="C29:D29">
    <cfRule type="expression" dxfId="11274" priority="54">
      <formula>$C$25="SMARTEC"</formula>
    </cfRule>
    <cfRule type="expression" dxfId="11273" priority="55">
      <formula>$C$25="REMOTE TOUCH SCREEN"</formula>
    </cfRule>
  </conditionalFormatting>
  <conditionalFormatting sqref="D26">
    <cfRule type="expression" dxfId="11272" priority="49">
      <formula>C26="st/st enclosure"</formula>
    </cfRule>
    <cfRule type="expression" dxfId="11271" priority="52">
      <formula>C25="SMARTEC"</formula>
    </cfRule>
  </conditionalFormatting>
  <conditionalFormatting sqref="D29">
    <cfRule type="expression" dxfId="11270" priority="53">
      <formula>$C$25="SMARTEC"</formula>
    </cfRule>
  </conditionalFormatting>
  <conditionalFormatting sqref="D38">
    <cfRule type="expression" dxfId="11269" priority="66">
      <formula>C38="st/st enclosure"</formula>
    </cfRule>
    <cfRule type="expression" dxfId="11268" priority="67">
      <formula>#REF!="SMARTEC"</formula>
    </cfRule>
  </conditionalFormatting>
  <conditionalFormatting sqref="E39:E43">
    <cfRule type="expression" dxfId="11267" priority="65">
      <formula>#REF!="select controls"</formula>
    </cfRule>
  </conditionalFormatting>
  <conditionalFormatting sqref="E44:F45 B45:B48 E46:E47 E48:F48">
    <cfRule type="expression" dxfId="11266" priority="45">
      <formula>C38="select controls"</formula>
    </cfRule>
  </conditionalFormatting>
  <conditionalFormatting sqref="F40">
    <cfRule type="expression" dxfId="11265" priority="1">
      <formula>G34="select controls"</formula>
    </cfRule>
  </conditionalFormatting>
  <conditionalFormatting sqref="G15:G36">
    <cfRule type="cellIs" dxfId="11264" priority="2" operator="greaterThan">
      <formula>0</formula>
    </cfRule>
  </conditionalFormatting>
  <conditionalFormatting sqref="G38:G49">
    <cfRule type="cellIs" dxfId="11263" priority="29" operator="greaterThan">
      <formula>0</formula>
    </cfRule>
  </conditionalFormatting>
  <conditionalFormatting sqref="G52:G61">
    <cfRule type="expression" dxfId="11262" priority="14">
      <formula>C52&gt;0</formula>
    </cfRule>
  </conditionalFormatting>
  <conditionalFormatting sqref="H13 J13 L13">
    <cfRule type="expression" dxfId="11261" priority="57">
      <formula>$B$9="EURO"</formula>
    </cfRule>
  </conditionalFormatting>
  <conditionalFormatting sqref="H15:H61">
    <cfRule type="cellIs" dxfId="11260" priority="30" operator="greaterThan">
      <formula>0</formula>
    </cfRule>
  </conditionalFormatting>
  <conditionalFormatting sqref="I15:I36 I38:I49 I52:I61">
    <cfRule type="expression" dxfId="11259" priority="62">
      <formula>$C$9&gt;0</formula>
    </cfRule>
    <cfRule type="expression" dxfId="11258" priority="63">
      <formula>$C$9&lt;0</formula>
    </cfRule>
  </conditionalFormatting>
  <conditionalFormatting sqref="J37">
    <cfRule type="expression" dxfId="11257" priority="58">
      <formula>$B$9="PLN"</formula>
    </cfRule>
    <cfRule type="expression" dxfId="11256" priority="59">
      <formula>$B$9="CZK"</formula>
    </cfRule>
    <cfRule type="expression" dxfId="11255" priority="60">
      <formula>$B$9="USD"</formula>
    </cfRule>
    <cfRule type="expression" dxfId="11254" priority="61">
      <formula>$B$9="EURO"</formula>
    </cfRule>
  </conditionalFormatting>
  <conditionalFormatting sqref="J63:J69">
    <cfRule type="expression" dxfId="11253" priority="64">
      <formula>#REF!="EURO"</formula>
    </cfRule>
  </conditionalFormatting>
  <conditionalFormatting sqref="K1:K36">
    <cfRule type="expression" dxfId="11252" priority="5">
      <formula>$B$9="EURO"</formula>
    </cfRule>
    <cfRule type="expression" dxfId="11251" priority="6">
      <formula>$B$9="USD"</formula>
    </cfRule>
    <cfRule type="expression" dxfId="11250" priority="7">
      <formula>$B$9="PLN"</formula>
    </cfRule>
  </conditionalFormatting>
  <conditionalFormatting sqref="K1:K1048576">
    <cfRule type="expression" dxfId="11249" priority="8">
      <formula>$B$9="CZK"</formula>
    </cfRule>
  </conditionalFormatting>
  <conditionalFormatting sqref="K15:K36">
    <cfRule type="cellIs" dxfId="11248" priority="4" operator="greaterThan">
      <formula>0</formula>
    </cfRule>
  </conditionalFormatting>
  <conditionalFormatting sqref="K38:K49">
    <cfRule type="cellIs" dxfId="11247" priority="21" operator="greaterThan">
      <formula>0</formula>
    </cfRule>
  </conditionalFormatting>
  <conditionalFormatting sqref="K38:K1048576">
    <cfRule type="expression" dxfId="11246" priority="17">
      <formula>$B$9="EURO"</formula>
    </cfRule>
    <cfRule type="expression" dxfId="11245" priority="18">
      <formula>$B$9="USD"</formula>
    </cfRule>
    <cfRule type="expression" dxfId="11244" priority="19">
      <formula>$B$9="PLN"</formula>
    </cfRule>
  </conditionalFormatting>
  <conditionalFormatting sqref="K50">
    <cfRule type="cellIs" dxfId="11243" priority="38" operator="greaterThan">
      <formula>0</formula>
    </cfRule>
  </conditionalFormatting>
  <conditionalFormatting sqref="K52:K61">
    <cfRule type="cellIs" dxfId="11242" priority="16" operator="greaterThan">
      <formula>0</formula>
    </cfRule>
  </conditionalFormatting>
  <conditionalFormatting sqref="L15:L36 L52:L61">
    <cfRule type="cellIs" dxfId="11241" priority="36" operator="greaterThan">
      <formula>0</formula>
    </cfRule>
  </conditionalFormatting>
  <conditionalFormatting sqref="L38:L49">
    <cfRule type="cellIs" dxfId="11240" priority="28" operator="greaterThan">
      <formula>0</formula>
    </cfRule>
  </conditionalFormatting>
  <conditionalFormatting sqref="U40">
    <cfRule type="cellIs" dxfId="11239" priority="27" operator="greaterThan">
      <formula>0</formula>
    </cfRule>
  </conditionalFormatting>
  <dataValidations count="3">
    <dataValidation type="list" allowBlank="1" showInputMessage="1" showErrorMessage="1" sqref="C65579 IE65579 SA65579 ABW65579 ALS65579 AVO65579 BFK65579 BPG65579 BZC65579 CIY65579 CSU65579 DCQ65579 DMM65579 DWI65579 EGE65579 EQA65579 EZW65579 FJS65579 FTO65579 GDK65579 GNG65579 GXC65579 HGY65579 HQU65579 IAQ65579 IKM65579 IUI65579 JEE65579 JOA65579 JXW65579 KHS65579 KRO65579 LBK65579 LLG65579 LVC65579 MEY65579 MOU65579 MYQ65579 NIM65579 NSI65579 OCE65579 OMA65579 OVW65579 PFS65579 PPO65579 PZK65579 QJG65579 QTC65579 RCY65579 RMU65579 RWQ65579 SGM65579 SQI65579 TAE65579 TKA65579 TTW65579 UDS65579 UNO65579 UXK65579 VHG65579 VRC65579 WAY65579 WKU65579 WUQ65579 C131115 IE131115 SA131115 ABW131115 ALS131115 AVO131115 BFK131115 BPG131115 BZC131115 CIY131115 CSU131115 DCQ131115 DMM131115 DWI131115 EGE131115 EQA131115 EZW131115 FJS131115 FTO131115 GDK131115 GNG131115 GXC131115 HGY131115 HQU131115 IAQ131115 IKM131115 IUI131115 JEE131115 JOA131115 JXW131115 KHS131115 KRO131115 LBK131115 LLG131115 LVC131115 MEY131115 MOU131115 MYQ131115 NIM131115 NSI131115 OCE131115 OMA131115 OVW131115 PFS131115 PPO131115 PZK131115 QJG131115 QTC131115 RCY131115 RMU131115 RWQ131115 SGM131115 SQI131115 TAE131115 TKA131115 TTW131115 UDS131115 UNO131115 UXK131115 VHG131115 VRC131115 WAY131115 WKU131115 WUQ131115 C196651 IE196651 SA196651 ABW196651 ALS196651 AVO196651 BFK196651 BPG196651 BZC196651 CIY196651 CSU196651 DCQ196651 DMM196651 DWI196651 EGE196651 EQA196651 EZW196651 FJS196651 FTO196651 GDK196651 GNG196651 GXC196651 HGY196651 HQU196651 IAQ196651 IKM196651 IUI196651 JEE196651 JOA196651 JXW196651 KHS196651 KRO196651 LBK196651 LLG196651 LVC196651 MEY196651 MOU196651 MYQ196651 NIM196651 NSI196651 OCE196651 OMA196651 OVW196651 PFS196651 PPO196651 PZK196651 QJG196651 QTC196651 RCY196651 RMU196651 RWQ196651 SGM196651 SQI196651 TAE196651 TKA196651 TTW196651 UDS196651 UNO196651 UXK196651 VHG196651 VRC196651 WAY196651 WKU196651 WUQ196651 C262187 IE262187 SA262187 ABW262187 ALS262187 AVO262187 BFK262187 BPG262187 BZC262187 CIY262187 CSU262187 DCQ262187 DMM262187 DWI262187 EGE262187 EQA262187 EZW262187 FJS262187 FTO262187 GDK262187 GNG262187 GXC262187 HGY262187 HQU262187 IAQ262187 IKM262187 IUI262187 JEE262187 JOA262187 JXW262187 KHS262187 KRO262187 LBK262187 LLG262187 LVC262187 MEY262187 MOU262187 MYQ262187 NIM262187 NSI262187 OCE262187 OMA262187 OVW262187 PFS262187 PPO262187 PZK262187 QJG262187 QTC262187 RCY262187 RMU262187 RWQ262187 SGM262187 SQI262187 TAE262187 TKA262187 TTW262187 UDS262187 UNO262187 UXK262187 VHG262187 VRC262187 WAY262187 WKU262187 WUQ262187 C327723 IE327723 SA327723 ABW327723 ALS327723 AVO327723 BFK327723 BPG327723 BZC327723 CIY327723 CSU327723 DCQ327723 DMM327723 DWI327723 EGE327723 EQA327723 EZW327723 FJS327723 FTO327723 GDK327723 GNG327723 GXC327723 HGY327723 HQU327723 IAQ327723 IKM327723 IUI327723 JEE327723 JOA327723 JXW327723 KHS327723 KRO327723 LBK327723 LLG327723 LVC327723 MEY327723 MOU327723 MYQ327723 NIM327723 NSI327723 OCE327723 OMA327723 OVW327723 PFS327723 PPO327723 PZK327723 QJG327723 QTC327723 RCY327723 RMU327723 RWQ327723 SGM327723 SQI327723 TAE327723 TKA327723 TTW327723 UDS327723 UNO327723 UXK327723 VHG327723 VRC327723 WAY327723 WKU327723 WUQ327723 C393259 IE393259 SA393259 ABW393259 ALS393259 AVO393259 BFK393259 BPG393259 BZC393259 CIY393259 CSU393259 DCQ393259 DMM393259 DWI393259 EGE393259 EQA393259 EZW393259 FJS393259 FTO393259 GDK393259 GNG393259 GXC393259 HGY393259 HQU393259 IAQ393259 IKM393259 IUI393259 JEE393259 JOA393259 JXW393259 KHS393259 KRO393259 LBK393259 LLG393259 LVC393259 MEY393259 MOU393259 MYQ393259 NIM393259 NSI393259 OCE393259 OMA393259 OVW393259 PFS393259 PPO393259 PZK393259 QJG393259 QTC393259 RCY393259 RMU393259 RWQ393259 SGM393259 SQI393259 TAE393259 TKA393259 TTW393259 UDS393259 UNO393259 UXK393259 VHG393259 VRC393259 WAY393259 WKU393259 WUQ393259 C458795 IE458795 SA458795 ABW458795 ALS458795 AVO458795 BFK458795 BPG458795 BZC458795 CIY458795 CSU458795 DCQ458795 DMM458795 DWI458795 EGE458795 EQA458795 EZW458795 FJS458795 FTO458795 GDK458795 GNG458795 GXC458795 HGY458795 HQU458795 IAQ458795 IKM458795 IUI458795 JEE458795 JOA458795 JXW458795 KHS458795 KRO458795 LBK458795 LLG458795 LVC458795 MEY458795 MOU458795 MYQ458795 NIM458795 NSI458795 OCE458795 OMA458795 OVW458795 PFS458795 PPO458795 PZK458795 QJG458795 QTC458795 RCY458795 RMU458795 RWQ458795 SGM458795 SQI458795 TAE458795 TKA458795 TTW458795 UDS458795 UNO458795 UXK458795 VHG458795 VRC458795 WAY458795 WKU458795 WUQ458795 C524331 IE524331 SA524331 ABW524331 ALS524331 AVO524331 BFK524331 BPG524331 BZC524331 CIY524331 CSU524331 DCQ524331 DMM524331 DWI524331 EGE524331 EQA524331 EZW524331 FJS524331 FTO524331 GDK524331 GNG524331 GXC524331 HGY524331 HQU524331 IAQ524331 IKM524331 IUI524331 JEE524331 JOA524331 JXW524331 KHS524331 KRO524331 LBK524331 LLG524331 LVC524331 MEY524331 MOU524331 MYQ524331 NIM524331 NSI524331 OCE524331 OMA524331 OVW524331 PFS524331 PPO524331 PZK524331 QJG524331 QTC524331 RCY524331 RMU524331 RWQ524331 SGM524331 SQI524331 TAE524331 TKA524331 TTW524331 UDS524331 UNO524331 UXK524331 VHG524331 VRC524331 WAY524331 WKU524331 WUQ524331 C589867 IE589867 SA589867 ABW589867 ALS589867 AVO589867 BFK589867 BPG589867 BZC589867 CIY589867 CSU589867 DCQ589867 DMM589867 DWI589867 EGE589867 EQA589867 EZW589867 FJS589867 FTO589867 GDK589867 GNG589867 GXC589867 HGY589867 HQU589867 IAQ589867 IKM589867 IUI589867 JEE589867 JOA589867 JXW589867 KHS589867 KRO589867 LBK589867 LLG589867 LVC589867 MEY589867 MOU589867 MYQ589867 NIM589867 NSI589867 OCE589867 OMA589867 OVW589867 PFS589867 PPO589867 PZK589867 QJG589867 QTC589867 RCY589867 RMU589867 RWQ589867 SGM589867 SQI589867 TAE589867 TKA589867 TTW589867 UDS589867 UNO589867 UXK589867 VHG589867 VRC589867 WAY589867 WKU589867 WUQ589867 C655403 IE655403 SA655403 ABW655403 ALS655403 AVO655403 BFK655403 BPG655403 BZC655403 CIY655403 CSU655403 DCQ655403 DMM655403 DWI655403 EGE655403 EQA655403 EZW655403 FJS655403 FTO655403 GDK655403 GNG655403 GXC655403 HGY655403 HQU655403 IAQ655403 IKM655403 IUI655403 JEE655403 JOA655403 JXW655403 KHS655403 KRO655403 LBK655403 LLG655403 LVC655403 MEY655403 MOU655403 MYQ655403 NIM655403 NSI655403 OCE655403 OMA655403 OVW655403 PFS655403 PPO655403 PZK655403 QJG655403 QTC655403 RCY655403 RMU655403 RWQ655403 SGM655403 SQI655403 TAE655403 TKA655403 TTW655403 UDS655403 UNO655403 UXK655403 VHG655403 VRC655403 WAY655403 WKU655403 WUQ655403 C720939 IE720939 SA720939 ABW720939 ALS720939 AVO720939 BFK720939 BPG720939 BZC720939 CIY720939 CSU720939 DCQ720939 DMM720939 DWI720939 EGE720939 EQA720939 EZW720939 FJS720939 FTO720939 GDK720939 GNG720939 GXC720939 HGY720939 HQU720939 IAQ720939 IKM720939 IUI720939 JEE720939 JOA720939 JXW720939 KHS720939 KRO720939 LBK720939 LLG720939 LVC720939 MEY720939 MOU720939 MYQ720939 NIM720939 NSI720939 OCE720939 OMA720939 OVW720939 PFS720939 PPO720939 PZK720939 QJG720939 QTC720939 RCY720939 RMU720939 RWQ720939 SGM720939 SQI720939 TAE720939 TKA720939 TTW720939 UDS720939 UNO720939 UXK720939 VHG720939 VRC720939 WAY720939 WKU720939 WUQ720939 C786475 IE786475 SA786475 ABW786475 ALS786475 AVO786475 BFK786475 BPG786475 BZC786475 CIY786475 CSU786475 DCQ786475 DMM786475 DWI786475 EGE786475 EQA786475 EZW786475 FJS786475 FTO786475 GDK786475 GNG786475 GXC786475 HGY786475 HQU786475 IAQ786475 IKM786475 IUI786475 JEE786475 JOA786475 JXW786475 KHS786475 KRO786475 LBK786475 LLG786475 LVC786475 MEY786475 MOU786475 MYQ786475 NIM786475 NSI786475 OCE786475 OMA786475 OVW786475 PFS786475 PPO786475 PZK786475 QJG786475 QTC786475 RCY786475 RMU786475 RWQ786475 SGM786475 SQI786475 TAE786475 TKA786475 TTW786475 UDS786475 UNO786475 UXK786475 VHG786475 VRC786475 WAY786475 WKU786475 WUQ786475 C852011 IE852011 SA852011 ABW852011 ALS852011 AVO852011 BFK852011 BPG852011 BZC852011 CIY852011 CSU852011 DCQ852011 DMM852011 DWI852011 EGE852011 EQA852011 EZW852011 FJS852011 FTO852011 GDK852011 GNG852011 GXC852011 HGY852011 HQU852011 IAQ852011 IKM852011 IUI852011 JEE852011 JOA852011 JXW852011 KHS852011 KRO852011 LBK852011 LLG852011 LVC852011 MEY852011 MOU852011 MYQ852011 NIM852011 NSI852011 OCE852011 OMA852011 OVW852011 PFS852011 PPO852011 PZK852011 QJG852011 QTC852011 RCY852011 RMU852011 RWQ852011 SGM852011 SQI852011 TAE852011 TKA852011 TTW852011 UDS852011 UNO852011 UXK852011 VHG852011 VRC852011 WAY852011 WKU852011 WUQ852011 C917547 IE917547 SA917547 ABW917547 ALS917547 AVO917547 BFK917547 BPG917547 BZC917547 CIY917547 CSU917547 DCQ917547 DMM917547 DWI917547 EGE917547 EQA917547 EZW917547 FJS917547 FTO917547 GDK917547 GNG917547 GXC917547 HGY917547 HQU917547 IAQ917547 IKM917547 IUI917547 JEE917547 JOA917547 JXW917547 KHS917547 KRO917547 LBK917547 LLG917547 LVC917547 MEY917547 MOU917547 MYQ917547 NIM917547 NSI917547 OCE917547 OMA917547 OVW917547 PFS917547 PPO917547 PZK917547 QJG917547 QTC917547 RCY917547 RMU917547 RWQ917547 SGM917547 SQI917547 TAE917547 TKA917547 TTW917547 UDS917547 UNO917547 UXK917547 VHG917547 VRC917547 WAY917547 WKU917547 WUQ917547 C983083 IE983083 SA983083 ABW983083 ALS983083 AVO983083 BFK983083 BPG983083 BZC983083 CIY983083 CSU983083 DCQ983083 DMM983083 DWI983083 EGE983083 EQA983083 EZW983083 FJS983083 FTO983083 GDK983083 GNG983083 GXC983083 HGY983083 HQU983083 IAQ983083 IKM983083 IUI983083 JEE983083 JOA983083 JXW983083 KHS983083 KRO983083 LBK983083 LLG983083 LVC983083 MEY983083 MOU983083 MYQ983083 NIM983083 NSI983083 OCE983083 OMA983083 OVW983083 PFS983083 PPO983083 PZK983083 QJG983083 QTC983083 RCY983083 RMU983083 RWQ983083 SGM983083 SQI983083 TAE983083 TKA983083 TTW983083 UDS983083 UNO983083 UXK983083 VHG983083 VRC983083 WAY983083 WKU983083 WUQ983083 IE52:IE53 SA52:SA53 ABW52:ABW53 ALS52:ALS53 AVO52:AVO53 BFK52:BFK53 BPG52:BPG53 BZC52:BZC53 CIY52:CIY53 CSU52:CSU53 DCQ52:DCQ53 DMM52:DMM53 DWI52:DWI53 EGE52:EGE53 EQA52:EQA53 EZW52:EZW53 FJS52:FJS53 FTO52:FTO53 GDK52:GDK53 GNG52:GNG53 GXC52:GXC53 HGY52:HGY53 HQU52:HQU53 IAQ52:IAQ53 IKM52:IKM53 IUI52:IUI53 JEE52:JEE53 JOA52:JOA53 JXW52:JXW53 KHS52:KHS53 KRO52:KRO53 LBK52:LBK53 LLG52:LLG53 LVC52:LVC53 MEY52:MEY53 MOU52:MOU53 MYQ52:MYQ53 NIM52:NIM53 NSI52:NSI53 OCE52:OCE53 OMA52:OMA53 OVW52:OVW53 PFS52:PFS53 PPO52:PPO53 PZK52:PZK53 QJG52:QJG53 QTC52:QTC53 RCY52:RCY53 RMU52:RMU53 RWQ52:RWQ53 SGM52:SGM53 SQI52:SQI53 TAE52:TAE53 TKA52:TKA53 TTW52:TTW53 UDS52:UDS53 UNO52:UNO53 UXK52:UXK53 VHG52:VHG53 VRC52:VRC53 WAY52:WAY53 WKU52:WKU53 WUQ52:WUQ53 WUQ983063:WUQ983064 C65584 IE65584 SA65584 ABW65584 ALS65584 AVO65584 BFK65584 BPG65584 BZC65584 CIY65584 CSU65584 DCQ65584 DMM65584 DWI65584 EGE65584 EQA65584 EZW65584 FJS65584 FTO65584 GDK65584 GNG65584 GXC65584 HGY65584 HQU65584 IAQ65584 IKM65584 IUI65584 JEE65584 JOA65584 JXW65584 KHS65584 KRO65584 LBK65584 LLG65584 LVC65584 MEY65584 MOU65584 MYQ65584 NIM65584 NSI65584 OCE65584 OMA65584 OVW65584 PFS65584 PPO65584 PZK65584 QJG65584 QTC65584 RCY65584 RMU65584 RWQ65584 SGM65584 SQI65584 TAE65584 TKA65584 TTW65584 UDS65584 UNO65584 UXK65584 VHG65584 VRC65584 WAY65584 WKU65584 WUQ65584 C131120 IE131120 SA131120 ABW131120 ALS131120 AVO131120 BFK131120 BPG131120 BZC131120 CIY131120 CSU131120 DCQ131120 DMM131120 DWI131120 EGE131120 EQA131120 EZW131120 FJS131120 FTO131120 GDK131120 GNG131120 GXC131120 HGY131120 HQU131120 IAQ131120 IKM131120 IUI131120 JEE131120 JOA131120 JXW131120 KHS131120 KRO131120 LBK131120 LLG131120 LVC131120 MEY131120 MOU131120 MYQ131120 NIM131120 NSI131120 OCE131120 OMA131120 OVW131120 PFS131120 PPO131120 PZK131120 QJG131120 QTC131120 RCY131120 RMU131120 RWQ131120 SGM131120 SQI131120 TAE131120 TKA131120 TTW131120 UDS131120 UNO131120 UXK131120 VHG131120 VRC131120 WAY131120 WKU131120 WUQ131120 C196656 IE196656 SA196656 ABW196656 ALS196656 AVO196656 BFK196656 BPG196656 BZC196656 CIY196656 CSU196656 DCQ196656 DMM196656 DWI196656 EGE196656 EQA196656 EZW196656 FJS196656 FTO196656 GDK196656 GNG196656 GXC196656 HGY196656 HQU196656 IAQ196656 IKM196656 IUI196656 JEE196656 JOA196656 JXW196656 KHS196656 KRO196656 LBK196656 LLG196656 LVC196656 MEY196656 MOU196656 MYQ196656 NIM196656 NSI196656 OCE196656 OMA196656 OVW196656 PFS196656 PPO196656 PZK196656 QJG196656 QTC196656 RCY196656 RMU196656 RWQ196656 SGM196656 SQI196656 TAE196656 TKA196656 TTW196656 UDS196656 UNO196656 UXK196656 VHG196656 VRC196656 WAY196656 WKU196656 WUQ196656 C262192 IE262192 SA262192 ABW262192 ALS262192 AVO262192 BFK262192 BPG262192 BZC262192 CIY262192 CSU262192 DCQ262192 DMM262192 DWI262192 EGE262192 EQA262192 EZW262192 FJS262192 FTO262192 GDK262192 GNG262192 GXC262192 HGY262192 HQU262192 IAQ262192 IKM262192 IUI262192 JEE262192 JOA262192 JXW262192 KHS262192 KRO262192 LBK262192 LLG262192 LVC262192 MEY262192 MOU262192 MYQ262192 NIM262192 NSI262192 OCE262192 OMA262192 OVW262192 PFS262192 PPO262192 PZK262192 QJG262192 QTC262192 RCY262192 RMU262192 RWQ262192 SGM262192 SQI262192 TAE262192 TKA262192 TTW262192 UDS262192 UNO262192 UXK262192 VHG262192 VRC262192 WAY262192 WKU262192 WUQ262192 C327728 IE327728 SA327728 ABW327728 ALS327728 AVO327728 BFK327728 BPG327728 BZC327728 CIY327728 CSU327728 DCQ327728 DMM327728 DWI327728 EGE327728 EQA327728 EZW327728 FJS327728 FTO327728 GDK327728 GNG327728 GXC327728 HGY327728 HQU327728 IAQ327728 IKM327728 IUI327728 JEE327728 JOA327728 JXW327728 KHS327728 KRO327728 LBK327728 LLG327728 LVC327728 MEY327728 MOU327728 MYQ327728 NIM327728 NSI327728 OCE327728 OMA327728 OVW327728 PFS327728 PPO327728 PZK327728 QJG327728 QTC327728 RCY327728 RMU327728 RWQ327728 SGM327728 SQI327728 TAE327728 TKA327728 TTW327728 UDS327728 UNO327728 UXK327728 VHG327728 VRC327728 WAY327728 WKU327728 WUQ327728 C393264 IE393264 SA393264 ABW393264 ALS393264 AVO393264 BFK393264 BPG393264 BZC393264 CIY393264 CSU393264 DCQ393264 DMM393264 DWI393264 EGE393264 EQA393264 EZW393264 FJS393264 FTO393264 GDK393264 GNG393264 GXC393264 HGY393264 HQU393264 IAQ393264 IKM393264 IUI393264 JEE393264 JOA393264 JXW393264 KHS393264 KRO393264 LBK393264 LLG393264 LVC393264 MEY393264 MOU393264 MYQ393264 NIM393264 NSI393264 OCE393264 OMA393264 OVW393264 PFS393264 PPO393264 PZK393264 QJG393264 QTC393264 RCY393264 RMU393264 RWQ393264 SGM393264 SQI393264 TAE393264 TKA393264 TTW393264 UDS393264 UNO393264 UXK393264 VHG393264 VRC393264 WAY393264 WKU393264 WUQ393264 C458800 IE458800 SA458800 ABW458800 ALS458800 AVO458800 BFK458800 BPG458800 BZC458800 CIY458800 CSU458800 DCQ458800 DMM458800 DWI458800 EGE458800 EQA458800 EZW458800 FJS458800 FTO458800 GDK458800 GNG458800 GXC458800 HGY458800 HQU458800 IAQ458800 IKM458800 IUI458800 JEE458800 JOA458800 JXW458800 KHS458800 KRO458800 LBK458800 LLG458800 LVC458800 MEY458800 MOU458800 MYQ458800 NIM458800 NSI458800 OCE458800 OMA458800 OVW458800 PFS458800 PPO458800 PZK458800 QJG458800 QTC458800 RCY458800 RMU458800 RWQ458800 SGM458800 SQI458800 TAE458800 TKA458800 TTW458800 UDS458800 UNO458800 UXK458800 VHG458800 VRC458800 WAY458800 WKU458800 WUQ458800 C524336 IE524336 SA524336 ABW524336 ALS524336 AVO524336 BFK524336 BPG524336 BZC524336 CIY524336 CSU524336 DCQ524336 DMM524336 DWI524336 EGE524336 EQA524336 EZW524336 FJS524336 FTO524336 GDK524336 GNG524336 GXC524336 HGY524336 HQU524336 IAQ524336 IKM524336 IUI524336 JEE524336 JOA524336 JXW524336 KHS524336 KRO524336 LBK524336 LLG524336 LVC524336 MEY524336 MOU524336 MYQ524336 NIM524336 NSI524336 OCE524336 OMA524336 OVW524336 PFS524336 PPO524336 PZK524336 QJG524336 QTC524336 RCY524336 RMU524336 RWQ524336 SGM524336 SQI524336 TAE524336 TKA524336 TTW524336 UDS524336 UNO524336 UXK524336 VHG524336 VRC524336 WAY524336 WKU524336 WUQ524336 C589872 IE589872 SA589872 ABW589872 ALS589872 AVO589872 BFK589872 BPG589872 BZC589872 CIY589872 CSU589872 DCQ589872 DMM589872 DWI589872 EGE589872 EQA589872 EZW589872 FJS589872 FTO589872 GDK589872 GNG589872 GXC589872 HGY589872 HQU589872 IAQ589872 IKM589872 IUI589872 JEE589872 JOA589872 JXW589872 KHS589872 KRO589872 LBK589872 LLG589872 LVC589872 MEY589872 MOU589872 MYQ589872 NIM589872 NSI589872 OCE589872 OMA589872 OVW589872 PFS589872 PPO589872 PZK589872 QJG589872 QTC589872 RCY589872 RMU589872 RWQ589872 SGM589872 SQI589872 TAE589872 TKA589872 TTW589872 UDS589872 UNO589872 UXK589872 VHG589872 VRC589872 WAY589872 WKU589872 WUQ589872 C655408 IE655408 SA655408 ABW655408 ALS655408 AVO655408 BFK655408 BPG655408 BZC655408 CIY655408 CSU655408 DCQ655408 DMM655408 DWI655408 EGE655408 EQA655408 EZW655408 FJS655408 FTO655408 GDK655408 GNG655408 GXC655408 HGY655408 HQU655408 IAQ655408 IKM655408 IUI655408 JEE655408 JOA655408 JXW655408 KHS655408 KRO655408 LBK655408 LLG655408 LVC655408 MEY655408 MOU655408 MYQ655408 NIM655408 NSI655408 OCE655408 OMA655408 OVW655408 PFS655408 PPO655408 PZK655408 QJG655408 QTC655408 RCY655408 RMU655408 RWQ655408 SGM655408 SQI655408 TAE655408 TKA655408 TTW655408 UDS655408 UNO655408 UXK655408 VHG655408 VRC655408 WAY655408 WKU655408 WUQ655408 C720944 IE720944 SA720944 ABW720944 ALS720944 AVO720944 BFK720944 BPG720944 BZC720944 CIY720944 CSU720944 DCQ720944 DMM720944 DWI720944 EGE720944 EQA720944 EZW720944 FJS720944 FTO720944 GDK720944 GNG720944 GXC720944 HGY720944 HQU720944 IAQ720944 IKM720944 IUI720944 JEE720944 JOA720944 JXW720944 KHS720944 KRO720944 LBK720944 LLG720944 LVC720944 MEY720944 MOU720944 MYQ720944 NIM720944 NSI720944 OCE720944 OMA720944 OVW720944 PFS720944 PPO720944 PZK720944 QJG720944 QTC720944 RCY720944 RMU720944 RWQ720944 SGM720944 SQI720944 TAE720944 TKA720944 TTW720944 UDS720944 UNO720944 UXK720944 VHG720944 VRC720944 WAY720944 WKU720944 WUQ720944 C786480 IE786480 SA786480 ABW786480 ALS786480 AVO786480 BFK786480 BPG786480 BZC786480 CIY786480 CSU786480 DCQ786480 DMM786480 DWI786480 EGE786480 EQA786480 EZW786480 FJS786480 FTO786480 GDK786480 GNG786480 GXC786480 HGY786480 HQU786480 IAQ786480 IKM786480 IUI786480 JEE786480 JOA786480 JXW786480 KHS786480 KRO786480 LBK786480 LLG786480 LVC786480 MEY786480 MOU786480 MYQ786480 NIM786480 NSI786480 OCE786480 OMA786480 OVW786480 PFS786480 PPO786480 PZK786480 QJG786480 QTC786480 RCY786480 RMU786480 RWQ786480 SGM786480 SQI786480 TAE786480 TKA786480 TTW786480 UDS786480 UNO786480 UXK786480 VHG786480 VRC786480 WAY786480 WKU786480 WUQ786480 C852016 IE852016 SA852016 ABW852016 ALS852016 AVO852016 BFK852016 BPG852016 BZC852016 CIY852016 CSU852016 DCQ852016 DMM852016 DWI852016 EGE852016 EQA852016 EZW852016 FJS852016 FTO852016 GDK852016 GNG852016 GXC852016 HGY852016 HQU852016 IAQ852016 IKM852016 IUI852016 JEE852016 JOA852016 JXW852016 KHS852016 KRO852016 LBK852016 LLG852016 LVC852016 MEY852016 MOU852016 MYQ852016 NIM852016 NSI852016 OCE852016 OMA852016 OVW852016 PFS852016 PPO852016 PZK852016 QJG852016 QTC852016 RCY852016 RMU852016 RWQ852016 SGM852016 SQI852016 TAE852016 TKA852016 TTW852016 UDS852016 UNO852016 UXK852016 VHG852016 VRC852016 WAY852016 WKU852016 WUQ852016 C917552 IE917552 SA917552 ABW917552 ALS917552 AVO917552 BFK917552 BPG917552 BZC917552 CIY917552 CSU917552 DCQ917552 DMM917552 DWI917552 EGE917552 EQA917552 EZW917552 FJS917552 FTO917552 GDK917552 GNG917552 GXC917552 HGY917552 HQU917552 IAQ917552 IKM917552 IUI917552 JEE917552 JOA917552 JXW917552 KHS917552 KRO917552 LBK917552 LLG917552 LVC917552 MEY917552 MOU917552 MYQ917552 NIM917552 NSI917552 OCE917552 OMA917552 OVW917552 PFS917552 PPO917552 PZK917552 QJG917552 QTC917552 RCY917552 RMU917552 RWQ917552 SGM917552 SQI917552 TAE917552 TKA917552 TTW917552 UDS917552 UNO917552 UXK917552 VHG917552 VRC917552 WAY917552 WKU917552 WUQ917552 C983088 IE983088 SA983088 ABW983088 ALS983088 AVO983088 BFK983088 BPG983088 BZC983088 CIY983088 CSU983088 DCQ983088 DMM983088 DWI983088 EGE983088 EQA983088 EZW983088 FJS983088 FTO983088 GDK983088 GNG983088 GXC983088 HGY983088 HQU983088 IAQ983088 IKM983088 IUI983088 JEE983088 JOA983088 JXW983088 KHS983088 KRO983088 LBK983088 LLG983088 LVC983088 MEY983088 MOU983088 MYQ983088 NIM983088 NSI983088 OCE983088 OMA983088 OVW983088 PFS983088 PPO983088 PZK983088 QJG983088 QTC983088 RCY983088 RMU983088 RWQ983088 SGM983088 SQI983088 TAE983088 TKA983088 TTW983088 UDS983088 UNO983088 UXK983088 VHG983088 VRC983088 WAY983088 WKU983088 WUQ983088 IE15:IE22 IE38:IE43 SA38:SA43 ABW38:ABW43 ALS38:ALS43 AVO38:AVO43 BFK38:BFK43 BPG38:BPG43 BZC38:BZC43 CIY38:CIY43 CSU38:CSU43 DCQ38:DCQ43 DMM38:DMM43 DWI38:DWI43 EGE38:EGE43 EQA38:EQA43 EZW38:EZW43 FJS38:FJS43 FTO38:FTO43 GDK38:GDK43 GNG38:GNG43 GXC38:GXC43 HGY38:HGY43 HQU38:HQU43 IAQ38:IAQ43 IKM38:IKM43 IUI38:IUI43 JEE38:JEE43 JOA38:JOA43 JXW38:JXW43 KHS38:KHS43 KRO38:KRO43 LBK38:LBK43 LLG38:LLG43 LVC38:LVC43 MEY38:MEY43 MOU38:MOU43 MYQ38:MYQ43 NIM38:NIM43 NSI38:NSI43 OCE38:OCE43 OMA38:OMA43 OVW38:OVW43 PFS38:PFS43 PPO38:PPO43 PZK38:PZK43 QJG38:QJG43 QTC38:QTC43 RCY38:RCY43 RMU38:RMU43 RWQ38:RWQ43 SGM38:SGM43 SQI38:SQI43 TAE38:TAE43 TKA38:TKA43 TTW38:TTW43 UDS38:UDS43 UNO38:UNO43 UXK38:UXK43 VHG38:VHG43 VRC38:VRC43 WAY38:WAY43 WKU38:WKU43 WUQ38:WUQ43 C65559:C65560 IE65559:IE65560 SA65559:SA65560 ABW65559:ABW65560 ALS65559:ALS65560 AVO65559:AVO65560 BFK65559:BFK65560 BPG65559:BPG65560 BZC65559:BZC65560 CIY65559:CIY65560 CSU65559:CSU65560 DCQ65559:DCQ65560 DMM65559:DMM65560 DWI65559:DWI65560 EGE65559:EGE65560 EQA65559:EQA65560 EZW65559:EZW65560 FJS65559:FJS65560 FTO65559:FTO65560 GDK65559:GDK65560 GNG65559:GNG65560 GXC65559:GXC65560 HGY65559:HGY65560 HQU65559:HQU65560 IAQ65559:IAQ65560 IKM65559:IKM65560 IUI65559:IUI65560 JEE65559:JEE65560 JOA65559:JOA65560 JXW65559:JXW65560 KHS65559:KHS65560 KRO65559:KRO65560 LBK65559:LBK65560 LLG65559:LLG65560 LVC65559:LVC65560 MEY65559:MEY65560 MOU65559:MOU65560 MYQ65559:MYQ65560 NIM65559:NIM65560 NSI65559:NSI65560 OCE65559:OCE65560 OMA65559:OMA65560 OVW65559:OVW65560 PFS65559:PFS65560 PPO65559:PPO65560 PZK65559:PZK65560 QJG65559:QJG65560 QTC65559:QTC65560 RCY65559:RCY65560 RMU65559:RMU65560 RWQ65559:RWQ65560 SGM65559:SGM65560 SQI65559:SQI65560 TAE65559:TAE65560 TKA65559:TKA65560 TTW65559:TTW65560 UDS65559:UDS65560 UNO65559:UNO65560 UXK65559:UXK65560 VHG65559:VHG65560 VRC65559:VRC65560 WAY65559:WAY65560 WKU65559:WKU65560 WUQ65559:WUQ65560 C131095:C131096 IE131095:IE131096 SA131095:SA131096 ABW131095:ABW131096 ALS131095:ALS131096 AVO131095:AVO131096 BFK131095:BFK131096 BPG131095:BPG131096 BZC131095:BZC131096 CIY131095:CIY131096 CSU131095:CSU131096 DCQ131095:DCQ131096 DMM131095:DMM131096 DWI131095:DWI131096 EGE131095:EGE131096 EQA131095:EQA131096 EZW131095:EZW131096 FJS131095:FJS131096 FTO131095:FTO131096 GDK131095:GDK131096 GNG131095:GNG131096 GXC131095:GXC131096 HGY131095:HGY131096 HQU131095:HQU131096 IAQ131095:IAQ131096 IKM131095:IKM131096 IUI131095:IUI131096 JEE131095:JEE131096 JOA131095:JOA131096 JXW131095:JXW131096 KHS131095:KHS131096 KRO131095:KRO131096 LBK131095:LBK131096 LLG131095:LLG131096 LVC131095:LVC131096 MEY131095:MEY131096 MOU131095:MOU131096 MYQ131095:MYQ131096 NIM131095:NIM131096 NSI131095:NSI131096 OCE131095:OCE131096 OMA131095:OMA131096 OVW131095:OVW131096 PFS131095:PFS131096 PPO131095:PPO131096 PZK131095:PZK131096 QJG131095:QJG131096 QTC131095:QTC131096 RCY131095:RCY131096 RMU131095:RMU131096 RWQ131095:RWQ131096 SGM131095:SGM131096 SQI131095:SQI131096 TAE131095:TAE131096 TKA131095:TKA131096 TTW131095:TTW131096 UDS131095:UDS131096 UNO131095:UNO131096 UXK131095:UXK131096 VHG131095:VHG131096 VRC131095:VRC131096 WAY131095:WAY131096 WKU131095:WKU131096 WUQ131095:WUQ131096 C196631:C196632 IE196631:IE196632 SA196631:SA196632 ABW196631:ABW196632 ALS196631:ALS196632 AVO196631:AVO196632 BFK196631:BFK196632 BPG196631:BPG196632 BZC196631:BZC196632 CIY196631:CIY196632 CSU196631:CSU196632 DCQ196631:DCQ196632 DMM196631:DMM196632 DWI196631:DWI196632 EGE196631:EGE196632 EQA196631:EQA196632 EZW196631:EZW196632 FJS196631:FJS196632 FTO196631:FTO196632 GDK196631:GDK196632 GNG196631:GNG196632 GXC196631:GXC196632 HGY196631:HGY196632 HQU196631:HQU196632 IAQ196631:IAQ196632 IKM196631:IKM196632 IUI196631:IUI196632 JEE196631:JEE196632 JOA196631:JOA196632 JXW196631:JXW196632 KHS196631:KHS196632 KRO196631:KRO196632 LBK196631:LBK196632 LLG196631:LLG196632 LVC196631:LVC196632 MEY196631:MEY196632 MOU196631:MOU196632 MYQ196631:MYQ196632 NIM196631:NIM196632 NSI196631:NSI196632 OCE196631:OCE196632 OMA196631:OMA196632 OVW196631:OVW196632 PFS196631:PFS196632 PPO196631:PPO196632 PZK196631:PZK196632 QJG196631:QJG196632 QTC196631:QTC196632 RCY196631:RCY196632 RMU196631:RMU196632 RWQ196631:RWQ196632 SGM196631:SGM196632 SQI196631:SQI196632 TAE196631:TAE196632 TKA196631:TKA196632 TTW196631:TTW196632 UDS196631:UDS196632 UNO196631:UNO196632 UXK196631:UXK196632 VHG196631:VHG196632 VRC196631:VRC196632 WAY196631:WAY196632 WKU196631:WKU196632 WUQ196631:WUQ196632 C262167:C262168 IE262167:IE262168 SA262167:SA262168 ABW262167:ABW262168 ALS262167:ALS262168 AVO262167:AVO262168 BFK262167:BFK262168 BPG262167:BPG262168 BZC262167:BZC262168 CIY262167:CIY262168 CSU262167:CSU262168 DCQ262167:DCQ262168 DMM262167:DMM262168 DWI262167:DWI262168 EGE262167:EGE262168 EQA262167:EQA262168 EZW262167:EZW262168 FJS262167:FJS262168 FTO262167:FTO262168 GDK262167:GDK262168 GNG262167:GNG262168 GXC262167:GXC262168 HGY262167:HGY262168 HQU262167:HQU262168 IAQ262167:IAQ262168 IKM262167:IKM262168 IUI262167:IUI262168 JEE262167:JEE262168 JOA262167:JOA262168 JXW262167:JXW262168 KHS262167:KHS262168 KRO262167:KRO262168 LBK262167:LBK262168 LLG262167:LLG262168 LVC262167:LVC262168 MEY262167:MEY262168 MOU262167:MOU262168 MYQ262167:MYQ262168 NIM262167:NIM262168 NSI262167:NSI262168 OCE262167:OCE262168 OMA262167:OMA262168 OVW262167:OVW262168 PFS262167:PFS262168 PPO262167:PPO262168 PZK262167:PZK262168 QJG262167:QJG262168 QTC262167:QTC262168 RCY262167:RCY262168 RMU262167:RMU262168 RWQ262167:RWQ262168 SGM262167:SGM262168 SQI262167:SQI262168 TAE262167:TAE262168 TKA262167:TKA262168 TTW262167:TTW262168 UDS262167:UDS262168 UNO262167:UNO262168 UXK262167:UXK262168 VHG262167:VHG262168 VRC262167:VRC262168 WAY262167:WAY262168 WKU262167:WKU262168 WUQ262167:WUQ262168 C327703:C327704 IE327703:IE327704 SA327703:SA327704 ABW327703:ABW327704 ALS327703:ALS327704 AVO327703:AVO327704 BFK327703:BFK327704 BPG327703:BPG327704 BZC327703:BZC327704 CIY327703:CIY327704 CSU327703:CSU327704 DCQ327703:DCQ327704 DMM327703:DMM327704 DWI327703:DWI327704 EGE327703:EGE327704 EQA327703:EQA327704 EZW327703:EZW327704 FJS327703:FJS327704 FTO327703:FTO327704 GDK327703:GDK327704 GNG327703:GNG327704 GXC327703:GXC327704 HGY327703:HGY327704 HQU327703:HQU327704 IAQ327703:IAQ327704 IKM327703:IKM327704 IUI327703:IUI327704 JEE327703:JEE327704 JOA327703:JOA327704 JXW327703:JXW327704 KHS327703:KHS327704 KRO327703:KRO327704 LBK327703:LBK327704 LLG327703:LLG327704 LVC327703:LVC327704 MEY327703:MEY327704 MOU327703:MOU327704 MYQ327703:MYQ327704 NIM327703:NIM327704 NSI327703:NSI327704 OCE327703:OCE327704 OMA327703:OMA327704 OVW327703:OVW327704 PFS327703:PFS327704 PPO327703:PPO327704 PZK327703:PZK327704 QJG327703:QJG327704 QTC327703:QTC327704 RCY327703:RCY327704 RMU327703:RMU327704 RWQ327703:RWQ327704 SGM327703:SGM327704 SQI327703:SQI327704 TAE327703:TAE327704 TKA327703:TKA327704 TTW327703:TTW327704 UDS327703:UDS327704 UNO327703:UNO327704 UXK327703:UXK327704 VHG327703:VHG327704 VRC327703:VRC327704 WAY327703:WAY327704 WKU327703:WKU327704 WUQ327703:WUQ327704 C393239:C393240 IE393239:IE393240 SA393239:SA393240 ABW393239:ABW393240 ALS393239:ALS393240 AVO393239:AVO393240 BFK393239:BFK393240 BPG393239:BPG393240 BZC393239:BZC393240 CIY393239:CIY393240 CSU393239:CSU393240 DCQ393239:DCQ393240 DMM393239:DMM393240 DWI393239:DWI393240 EGE393239:EGE393240 EQA393239:EQA393240 EZW393239:EZW393240 FJS393239:FJS393240 FTO393239:FTO393240 GDK393239:GDK393240 GNG393239:GNG393240 GXC393239:GXC393240 HGY393239:HGY393240 HQU393239:HQU393240 IAQ393239:IAQ393240 IKM393239:IKM393240 IUI393239:IUI393240 JEE393239:JEE393240 JOA393239:JOA393240 JXW393239:JXW393240 KHS393239:KHS393240 KRO393239:KRO393240 LBK393239:LBK393240 LLG393239:LLG393240 LVC393239:LVC393240 MEY393239:MEY393240 MOU393239:MOU393240 MYQ393239:MYQ393240 NIM393239:NIM393240 NSI393239:NSI393240 OCE393239:OCE393240 OMA393239:OMA393240 OVW393239:OVW393240 PFS393239:PFS393240 PPO393239:PPO393240 PZK393239:PZK393240 QJG393239:QJG393240 QTC393239:QTC393240 RCY393239:RCY393240 RMU393239:RMU393240 RWQ393239:RWQ393240 SGM393239:SGM393240 SQI393239:SQI393240 TAE393239:TAE393240 TKA393239:TKA393240 TTW393239:TTW393240 UDS393239:UDS393240 UNO393239:UNO393240 UXK393239:UXK393240 VHG393239:VHG393240 VRC393239:VRC393240 WAY393239:WAY393240 WKU393239:WKU393240 WUQ393239:WUQ393240 C458775:C458776 IE458775:IE458776 SA458775:SA458776 ABW458775:ABW458776 ALS458775:ALS458776 AVO458775:AVO458776 BFK458775:BFK458776 BPG458775:BPG458776 BZC458775:BZC458776 CIY458775:CIY458776 CSU458775:CSU458776 DCQ458775:DCQ458776 DMM458775:DMM458776 DWI458775:DWI458776 EGE458775:EGE458776 EQA458775:EQA458776 EZW458775:EZW458776 FJS458775:FJS458776 FTO458775:FTO458776 GDK458775:GDK458776 GNG458775:GNG458776 GXC458775:GXC458776 HGY458775:HGY458776 HQU458775:HQU458776 IAQ458775:IAQ458776 IKM458775:IKM458776 IUI458775:IUI458776 JEE458775:JEE458776 JOA458775:JOA458776 JXW458775:JXW458776 KHS458775:KHS458776 KRO458775:KRO458776 LBK458775:LBK458776 LLG458775:LLG458776 LVC458775:LVC458776 MEY458775:MEY458776 MOU458775:MOU458776 MYQ458775:MYQ458776 NIM458775:NIM458776 NSI458775:NSI458776 OCE458775:OCE458776 OMA458775:OMA458776 OVW458775:OVW458776 PFS458775:PFS458776 PPO458775:PPO458776 PZK458775:PZK458776 QJG458775:QJG458776 QTC458775:QTC458776 RCY458775:RCY458776 RMU458775:RMU458776 RWQ458775:RWQ458776 SGM458775:SGM458776 SQI458775:SQI458776 TAE458775:TAE458776 TKA458775:TKA458776 TTW458775:TTW458776 UDS458775:UDS458776 UNO458775:UNO458776 UXK458775:UXK458776 VHG458775:VHG458776 VRC458775:VRC458776 WAY458775:WAY458776 WKU458775:WKU458776 WUQ458775:WUQ458776 C524311:C524312 IE524311:IE524312 SA524311:SA524312 ABW524311:ABW524312 ALS524311:ALS524312 AVO524311:AVO524312 BFK524311:BFK524312 BPG524311:BPG524312 BZC524311:BZC524312 CIY524311:CIY524312 CSU524311:CSU524312 DCQ524311:DCQ524312 DMM524311:DMM524312 DWI524311:DWI524312 EGE524311:EGE524312 EQA524311:EQA524312 EZW524311:EZW524312 FJS524311:FJS524312 FTO524311:FTO524312 GDK524311:GDK524312 GNG524311:GNG524312 GXC524311:GXC524312 HGY524311:HGY524312 HQU524311:HQU524312 IAQ524311:IAQ524312 IKM524311:IKM524312 IUI524311:IUI524312 JEE524311:JEE524312 JOA524311:JOA524312 JXW524311:JXW524312 KHS524311:KHS524312 KRO524311:KRO524312 LBK524311:LBK524312 LLG524311:LLG524312 LVC524311:LVC524312 MEY524311:MEY524312 MOU524311:MOU524312 MYQ524311:MYQ524312 NIM524311:NIM524312 NSI524311:NSI524312 OCE524311:OCE524312 OMA524311:OMA524312 OVW524311:OVW524312 PFS524311:PFS524312 PPO524311:PPO524312 PZK524311:PZK524312 QJG524311:QJG524312 QTC524311:QTC524312 RCY524311:RCY524312 RMU524311:RMU524312 RWQ524311:RWQ524312 SGM524311:SGM524312 SQI524311:SQI524312 TAE524311:TAE524312 TKA524311:TKA524312 TTW524311:TTW524312 UDS524311:UDS524312 UNO524311:UNO524312 UXK524311:UXK524312 VHG524311:VHG524312 VRC524311:VRC524312 WAY524311:WAY524312 WKU524311:WKU524312 WUQ524311:WUQ524312 C589847:C589848 IE589847:IE589848 SA589847:SA589848 ABW589847:ABW589848 ALS589847:ALS589848 AVO589847:AVO589848 BFK589847:BFK589848 BPG589847:BPG589848 BZC589847:BZC589848 CIY589847:CIY589848 CSU589847:CSU589848 DCQ589847:DCQ589848 DMM589847:DMM589848 DWI589847:DWI589848 EGE589847:EGE589848 EQA589847:EQA589848 EZW589847:EZW589848 FJS589847:FJS589848 FTO589847:FTO589848 GDK589847:GDK589848 GNG589847:GNG589848 GXC589847:GXC589848 HGY589847:HGY589848 HQU589847:HQU589848 IAQ589847:IAQ589848 IKM589847:IKM589848 IUI589847:IUI589848 JEE589847:JEE589848 JOA589847:JOA589848 JXW589847:JXW589848 KHS589847:KHS589848 KRO589847:KRO589848 LBK589847:LBK589848 LLG589847:LLG589848 LVC589847:LVC589848 MEY589847:MEY589848 MOU589847:MOU589848 MYQ589847:MYQ589848 NIM589847:NIM589848 NSI589847:NSI589848 OCE589847:OCE589848 OMA589847:OMA589848 OVW589847:OVW589848 PFS589847:PFS589848 PPO589847:PPO589848 PZK589847:PZK589848 QJG589847:QJG589848 QTC589847:QTC589848 RCY589847:RCY589848 RMU589847:RMU589848 RWQ589847:RWQ589848 SGM589847:SGM589848 SQI589847:SQI589848 TAE589847:TAE589848 TKA589847:TKA589848 TTW589847:TTW589848 UDS589847:UDS589848 UNO589847:UNO589848 UXK589847:UXK589848 VHG589847:VHG589848 VRC589847:VRC589848 WAY589847:WAY589848 WKU589847:WKU589848 WUQ589847:WUQ589848 C655383:C655384 IE655383:IE655384 SA655383:SA655384 ABW655383:ABW655384 ALS655383:ALS655384 AVO655383:AVO655384 BFK655383:BFK655384 BPG655383:BPG655384 BZC655383:BZC655384 CIY655383:CIY655384 CSU655383:CSU655384 DCQ655383:DCQ655384 DMM655383:DMM655384 DWI655383:DWI655384 EGE655383:EGE655384 EQA655383:EQA655384 EZW655383:EZW655384 FJS655383:FJS655384 FTO655383:FTO655384 GDK655383:GDK655384 GNG655383:GNG655384 GXC655383:GXC655384 HGY655383:HGY655384 HQU655383:HQU655384 IAQ655383:IAQ655384 IKM655383:IKM655384 IUI655383:IUI655384 JEE655383:JEE655384 JOA655383:JOA655384 JXW655383:JXW655384 KHS655383:KHS655384 KRO655383:KRO655384 LBK655383:LBK655384 LLG655383:LLG655384 LVC655383:LVC655384 MEY655383:MEY655384 MOU655383:MOU655384 MYQ655383:MYQ655384 NIM655383:NIM655384 NSI655383:NSI655384 OCE655383:OCE655384 OMA655383:OMA655384 OVW655383:OVW655384 PFS655383:PFS655384 PPO655383:PPO655384 PZK655383:PZK655384 QJG655383:QJG655384 QTC655383:QTC655384 RCY655383:RCY655384 RMU655383:RMU655384 RWQ655383:RWQ655384 SGM655383:SGM655384 SQI655383:SQI655384 TAE655383:TAE655384 TKA655383:TKA655384 TTW655383:TTW655384 UDS655383:UDS655384 UNO655383:UNO655384 UXK655383:UXK655384 VHG655383:VHG655384 VRC655383:VRC655384 WAY655383:WAY655384 WKU655383:WKU655384 WUQ655383:WUQ655384 C720919:C720920 IE720919:IE720920 SA720919:SA720920 ABW720919:ABW720920 ALS720919:ALS720920 AVO720919:AVO720920 BFK720919:BFK720920 BPG720919:BPG720920 BZC720919:BZC720920 CIY720919:CIY720920 CSU720919:CSU720920 DCQ720919:DCQ720920 DMM720919:DMM720920 DWI720919:DWI720920 EGE720919:EGE720920 EQA720919:EQA720920 EZW720919:EZW720920 FJS720919:FJS720920 FTO720919:FTO720920 GDK720919:GDK720920 GNG720919:GNG720920 GXC720919:GXC720920 HGY720919:HGY720920 HQU720919:HQU720920 IAQ720919:IAQ720920 IKM720919:IKM720920 IUI720919:IUI720920 JEE720919:JEE720920 JOA720919:JOA720920 JXW720919:JXW720920 KHS720919:KHS720920 KRO720919:KRO720920 LBK720919:LBK720920 LLG720919:LLG720920 LVC720919:LVC720920 MEY720919:MEY720920 MOU720919:MOU720920 MYQ720919:MYQ720920 NIM720919:NIM720920 NSI720919:NSI720920 OCE720919:OCE720920 OMA720919:OMA720920 OVW720919:OVW720920 PFS720919:PFS720920 PPO720919:PPO720920 PZK720919:PZK720920 QJG720919:QJG720920 QTC720919:QTC720920 RCY720919:RCY720920 RMU720919:RMU720920 RWQ720919:RWQ720920 SGM720919:SGM720920 SQI720919:SQI720920 TAE720919:TAE720920 TKA720919:TKA720920 TTW720919:TTW720920 UDS720919:UDS720920 UNO720919:UNO720920 UXK720919:UXK720920 VHG720919:VHG720920 VRC720919:VRC720920 WAY720919:WAY720920 WKU720919:WKU720920 WUQ720919:WUQ720920 C786455:C786456 IE786455:IE786456 SA786455:SA786456 ABW786455:ABW786456 ALS786455:ALS786456 AVO786455:AVO786456 BFK786455:BFK786456 BPG786455:BPG786456 BZC786455:BZC786456 CIY786455:CIY786456 CSU786455:CSU786456 DCQ786455:DCQ786456 DMM786455:DMM786456 DWI786455:DWI786456 EGE786455:EGE786456 EQA786455:EQA786456 EZW786455:EZW786456 FJS786455:FJS786456 FTO786455:FTO786456 GDK786455:GDK786456 GNG786455:GNG786456 GXC786455:GXC786456 HGY786455:HGY786456 HQU786455:HQU786456 IAQ786455:IAQ786456 IKM786455:IKM786456 IUI786455:IUI786456 JEE786455:JEE786456 JOA786455:JOA786456 JXW786455:JXW786456 KHS786455:KHS786456 KRO786455:KRO786456 LBK786455:LBK786456 LLG786455:LLG786456 LVC786455:LVC786456 MEY786455:MEY786456 MOU786455:MOU786456 MYQ786455:MYQ786456 NIM786455:NIM786456 NSI786455:NSI786456 OCE786455:OCE786456 OMA786455:OMA786456 OVW786455:OVW786456 PFS786455:PFS786456 PPO786455:PPO786456 PZK786455:PZK786456 QJG786455:QJG786456 QTC786455:QTC786456 RCY786455:RCY786456 RMU786455:RMU786456 RWQ786455:RWQ786456 SGM786455:SGM786456 SQI786455:SQI786456 TAE786455:TAE786456 TKA786455:TKA786456 TTW786455:TTW786456 UDS786455:UDS786456 UNO786455:UNO786456 UXK786455:UXK786456 VHG786455:VHG786456 VRC786455:VRC786456 WAY786455:WAY786456 WKU786455:WKU786456 WUQ786455:WUQ786456 C851991:C851992 IE851991:IE851992 SA851991:SA851992 ABW851991:ABW851992 ALS851991:ALS851992 AVO851991:AVO851992 BFK851991:BFK851992 BPG851991:BPG851992 BZC851991:BZC851992 CIY851991:CIY851992 CSU851991:CSU851992 DCQ851991:DCQ851992 DMM851991:DMM851992 DWI851991:DWI851992 EGE851991:EGE851992 EQA851991:EQA851992 EZW851991:EZW851992 FJS851991:FJS851992 FTO851991:FTO851992 GDK851991:GDK851992 GNG851991:GNG851992 GXC851991:GXC851992 HGY851991:HGY851992 HQU851991:HQU851992 IAQ851991:IAQ851992 IKM851991:IKM851992 IUI851991:IUI851992 JEE851991:JEE851992 JOA851991:JOA851992 JXW851991:JXW851992 KHS851991:KHS851992 KRO851991:KRO851992 LBK851991:LBK851992 LLG851991:LLG851992 LVC851991:LVC851992 MEY851991:MEY851992 MOU851991:MOU851992 MYQ851991:MYQ851992 NIM851991:NIM851992 NSI851991:NSI851992 OCE851991:OCE851992 OMA851991:OMA851992 OVW851991:OVW851992 PFS851991:PFS851992 PPO851991:PPO851992 PZK851991:PZK851992 QJG851991:QJG851992 QTC851991:QTC851992 RCY851991:RCY851992 RMU851991:RMU851992 RWQ851991:RWQ851992 SGM851991:SGM851992 SQI851991:SQI851992 TAE851991:TAE851992 TKA851991:TKA851992 TTW851991:TTW851992 UDS851991:UDS851992 UNO851991:UNO851992 UXK851991:UXK851992 VHG851991:VHG851992 VRC851991:VRC851992 WAY851991:WAY851992 WKU851991:WKU851992 WUQ851991:WUQ851992 C917527:C917528 IE917527:IE917528 SA917527:SA917528 ABW917527:ABW917528 ALS917527:ALS917528 AVO917527:AVO917528 BFK917527:BFK917528 BPG917527:BPG917528 BZC917527:BZC917528 CIY917527:CIY917528 CSU917527:CSU917528 DCQ917527:DCQ917528 DMM917527:DMM917528 DWI917527:DWI917528 EGE917527:EGE917528 EQA917527:EQA917528 EZW917527:EZW917528 FJS917527:FJS917528 FTO917527:FTO917528 GDK917527:GDK917528 GNG917527:GNG917528 GXC917527:GXC917528 HGY917527:HGY917528 HQU917527:HQU917528 IAQ917527:IAQ917528 IKM917527:IKM917528 IUI917527:IUI917528 JEE917527:JEE917528 JOA917527:JOA917528 JXW917527:JXW917528 KHS917527:KHS917528 KRO917527:KRO917528 LBK917527:LBK917528 LLG917527:LLG917528 LVC917527:LVC917528 MEY917527:MEY917528 MOU917527:MOU917528 MYQ917527:MYQ917528 NIM917527:NIM917528 NSI917527:NSI917528 OCE917527:OCE917528 OMA917527:OMA917528 OVW917527:OVW917528 PFS917527:PFS917528 PPO917527:PPO917528 PZK917527:PZK917528 QJG917527:QJG917528 QTC917527:QTC917528 RCY917527:RCY917528 RMU917527:RMU917528 RWQ917527:RWQ917528 SGM917527:SGM917528 SQI917527:SQI917528 TAE917527:TAE917528 TKA917527:TKA917528 TTW917527:TTW917528 UDS917527:UDS917528 UNO917527:UNO917528 UXK917527:UXK917528 VHG917527:VHG917528 VRC917527:VRC917528 WAY917527:WAY917528 WKU917527:WKU917528 WUQ917527:WUQ917528 C983063:C983064 IE983063:IE983064 SA983063:SA983064 ABW983063:ABW983064 ALS983063:ALS983064 AVO983063:AVO983064 BFK983063:BFK983064 BPG983063:BPG983064 BZC983063:BZC983064 CIY983063:CIY983064 CSU983063:CSU983064 DCQ983063:DCQ983064 DMM983063:DMM983064 DWI983063:DWI983064 EGE983063:EGE983064 EQA983063:EQA983064 EZW983063:EZW983064 FJS983063:FJS983064 FTO983063:FTO983064 GDK983063:GDK983064 GNG983063:GNG983064 GXC983063:GXC983064 HGY983063:HGY983064 HQU983063:HQU983064 IAQ983063:IAQ983064 IKM983063:IKM983064 IUI983063:IUI983064 JEE983063:JEE983064 JOA983063:JOA983064 JXW983063:JXW983064 KHS983063:KHS983064 KRO983063:KRO983064 LBK983063:LBK983064 LLG983063:LLG983064 LVC983063:LVC983064 MEY983063:MEY983064 MOU983063:MOU983064 MYQ983063:MYQ983064 NIM983063:NIM983064 NSI983063:NSI983064 OCE983063:OCE983064 OMA983063:OMA983064 OVW983063:OVW983064 PFS983063:PFS983064 PPO983063:PPO983064 PZK983063:PZK983064 QJG983063:QJG983064 QTC983063:QTC983064 RCY983063:RCY983064 RMU983063:RMU983064 RWQ983063:RWQ983064 SGM983063:SGM983064 SQI983063:SQI983064 TAE983063:TAE983064 TKA983063:TKA983064 TTW983063:TTW983064 UDS983063:UDS983064 UNO983063:UNO983064 UXK983063:UXK983064 VHG983063:VHG983064 VRC983063:VRC983064 WAY983063:WAY983064 WKU983063:WKU983064 SA15:SA22 WVB983022:WVB983032 WLF983022:WLF983032 WBJ983022:WBJ983032 VRN983022:VRN983032 VHR983022:VHR983032 UXV983022:UXV983032 UNZ983022:UNZ983032 UED983022:UED983032 TUH983022:TUH983032 TKL983022:TKL983032 TAP983022:TAP983032 SQT983022:SQT983032 SGX983022:SGX983032 RXB983022:RXB983032 RNF983022:RNF983032 RDJ983022:RDJ983032 QTN983022:QTN983032 QJR983022:QJR983032 PZV983022:PZV983032 PPZ983022:PPZ983032 PGD983022:PGD983032 OWH983022:OWH983032 OML983022:OML983032 OCP983022:OCP983032 NST983022:NST983032 NIX983022:NIX983032 MZB983022:MZB983032 MPF983022:MPF983032 MFJ983022:MFJ983032 LVN983022:LVN983032 LLR983022:LLR983032 LBV983022:LBV983032 KRZ983022:KRZ983032 KID983022:KID983032 JYH983022:JYH983032 JOL983022:JOL983032 JEP983022:JEP983032 IUT983022:IUT983032 IKX983022:IKX983032 IBB983022:IBB983032 HRF983022:HRF983032 HHJ983022:HHJ983032 GXN983022:GXN983032 GNR983022:GNR983032 GDV983022:GDV983032 FTZ983022:FTZ983032 FKD983022:FKD983032 FAH983022:FAH983032 EQL983022:EQL983032 EGP983022:EGP983032 DWT983022:DWT983032 DMX983022:DMX983032 DDB983022:DDB983032 CTF983022:CTF983032 CJJ983022:CJJ983032 BZN983022:BZN983032 BPR983022:BPR983032 BFV983022:BFV983032 AVZ983022:AVZ983032 AMD983022:AMD983032 ACH983022:ACH983032 SL983022:SL983032 IP983022:IP983032 WVB917486:WVB917496 WLF917486:WLF917496 WBJ917486:WBJ917496 VRN917486:VRN917496 VHR917486:VHR917496 UXV917486:UXV917496 UNZ917486:UNZ917496 UED917486:UED917496 TUH917486:TUH917496 TKL917486:TKL917496 TAP917486:TAP917496 SQT917486:SQT917496 SGX917486:SGX917496 RXB917486:RXB917496 RNF917486:RNF917496 RDJ917486:RDJ917496 QTN917486:QTN917496 QJR917486:QJR917496 PZV917486:PZV917496 PPZ917486:PPZ917496 PGD917486:PGD917496 OWH917486:OWH917496 OML917486:OML917496 OCP917486:OCP917496 NST917486:NST917496 NIX917486:NIX917496 MZB917486:MZB917496 MPF917486:MPF917496 MFJ917486:MFJ917496 LVN917486:LVN917496 LLR917486:LLR917496 LBV917486:LBV917496 KRZ917486:KRZ917496 KID917486:KID917496 JYH917486:JYH917496 JOL917486:JOL917496 JEP917486:JEP917496 IUT917486:IUT917496 IKX917486:IKX917496 IBB917486:IBB917496 HRF917486:HRF917496 HHJ917486:HHJ917496 GXN917486:GXN917496 GNR917486:GNR917496 GDV917486:GDV917496 FTZ917486:FTZ917496 FKD917486:FKD917496 FAH917486:FAH917496 EQL917486:EQL917496 EGP917486:EGP917496 DWT917486:DWT917496 DMX917486:DMX917496 DDB917486:DDB917496 CTF917486:CTF917496 CJJ917486:CJJ917496 BZN917486:BZN917496 BPR917486:BPR917496 BFV917486:BFV917496 AVZ917486:AVZ917496 AMD917486:AMD917496 ACH917486:ACH917496 SL917486:SL917496 IP917486:IP917496 WVB851950:WVB851960 WLF851950:WLF851960 WBJ851950:WBJ851960 VRN851950:VRN851960 VHR851950:VHR851960 UXV851950:UXV851960 UNZ851950:UNZ851960 UED851950:UED851960 TUH851950:TUH851960 TKL851950:TKL851960 TAP851950:TAP851960 SQT851950:SQT851960 SGX851950:SGX851960 RXB851950:RXB851960 RNF851950:RNF851960 RDJ851950:RDJ851960 QTN851950:QTN851960 QJR851950:QJR851960 PZV851950:PZV851960 PPZ851950:PPZ851960 PGD851950:PGD851960 OWH851950:OWH851960 OML851950:OML851960 OCP851950:OCP851960 NST851950:NST851960 NIX851950:NIX851960 MZB851950:MZB851960 MPF851950:MPF851960 MFJ851950:MFJ851960 LVN851950:LVN851960 LLR851950:LLR851960 LBV851950:LBV851960 KRZ851950:KRZ851960 KID851950:KID851960 JYH851950:JYH851960 JOL851950:JOL851960 JEP851950:JEP851960 IUT851950:IUT851960 IKX851950:IKX851960 IBB851950:IBB851960 HRF851950:HRF851960 HHJ851950:HHJ851960 GXN851950:GXN851960 GNR851950:GNR851960 GDV851950:GDV851960 FTZ851950:FTZ851960 FKD851950:FKD851960 FAH851950:FAH851960 EQL851950:EQL851960 EGP851950:EGP851960 DWT851950:DWT851960 DMX851950:DMX851960 DDB851950:DDB851960 CTF851950:CTF851960 CJJ851950:CJJ851960 BZN851950:BZN851960 BPR851950:BPR851960 BFV851950:BFV851960 AVZ851950:AVZ851960 AMD851950:AMD851960 ACH851950:ACH851960 SL851950:SL851960 IP851950:IP851960 WVB786414:WVB786424 WLF786414:WLF786424 WBJ786414:WBJ786424 VRN786414:VRN786424 VHR786414:VHR786424 UXV786414:UXV786424 UNZ786414:UNZ786424 UED786414:UED786424 TUH786414:TUH786424 TKL786414:TKL786424 TAP786414:TAP786424 SQT786414:SQT786424 SGX786414:SGX786424 RXB786414:RXB786424 RNF786414:RNF786424 RDJ786414:RDJ786424 QTN786414:QTN786424 QJR786414:QJR786424 PZV786414:PZV786424 PPZ786414:PPZ786424 PGD786414:PGD786424 OWH786414:OWH786424 OML786414:OML786424 OCP786414:OCP786424 NST786414:NST786424 NIX786414:NIX786424 MZB786414:MZB786424 MPF786414:MPF786424 MFJ786414:MFJ786424 LVN786414:LVN786424 LLR786414:LLR786424 LBV786414:LBV786424 KRZ786414:KRZ786424 KID786414:KID786424 JYH786414:JYH786424 JOL786414:JOL786424 JEP786414:JEP786424 IUT786414:IUT786424 IKX786414:IKX786424 IBB786414:IBB786424 HRF786414:HRF786424 HHJ786414:HHJ786424 GXN786414:GXN786424 GNR786414:GNR786424 GDV786414:GDV786424 FTZ786414:FTZ786424 FKD786414:FKD786424 FAH786414:FAH786424 EQL786414:EQL786424 EGP786414:EGP786424 DWT786414:DWT786424 DMX786414:DMX786424 DDB786414:DDB786424 CTF786414:CTF786424 CJJ786414:CJJ786424 BZN786414:BZN786424 BPR786414:BPR786424 BFV786414:BFV786424 AVZ786414:AVZ786424 AMD786414:AMD786424 ACH786414:ACH786424 SL786414:SL786424 IP786414:IP786424 WVB720878:WVB720888 WLF720878:WLF720888 WBJ720878:WBJ720888 VRN720878:VRN720888 VHR720878:VHR720888 UXV720878:UXV720888 UNZ720878:UNZ720888 UED720878:UED720888 TUH720878:TUH720888 TKL720878:TKL720888 TAP720878:TAP720888 SQT720878:SQT720888 SGX720878:SGX720888 RXB720878:RXB720888 RNF720878:RNF720888 RDJ720878:RDJ720888 QTN720878:QTN720888 QJR720878:QJR720888 PZV720878:PZV720888 PPZ720878:PPZ720888 PGD720878:PGD720888 OWH720878:OWH720888 OML720878:OML720888 OCP720878:OCP720888 NST720878:NST720888 NIX720878:NIX720888 MZB720878:MZB720888 MPF720878:MPF720888 MFJ720878:MFJ720888 LVN720878:LVN720888 LLR720878:LLR720888 LBV720878:LBV720888 KRZ720878:KRZ720888 KID720878:KID720888 JYH720878:JYH720888 JOL720878:JOL720888 JEP720878:JEP720888 IUT720878:IUT720888 IKX720878:IKX720888 IBB720878:IBB720888 HRF720878:HRF720888 HHJ720878:HHJ720888 GXN720878:GXN720888 GNR720878:GNR720888 GDV720878:GDV720888 FTZ720878:FTZ720888 FKD720878:FKD720888 FAH720878:FAH720888 EQL720878:EQL720888 EGP720878:EGP720888 DWT720878:DWT720888 DMX720878:DMX720888 DDB720878:DDB720888 CTF720878:CTF720888 CJJ720878:CJJ720888 BZN720878:BZN720888 BPR720878:BPR720888 BFV720878:BFV720888 AVZ720878:AVZ720888 AMD720878:AMD720888 ACH720878:ACH720888 SL720878:SL720888 IP720878:IP720888 WVB655342:WVB655352 WLF655342:WLF655352 WBJ655342:WBJ655352 VRN655342:VRN655352 VHR655342:VHR655352 UXV655342:UXV655352 UNZ655342:UNZ655352 UED655342:UED655352 TUH655342:TUH655352 TKL655342:TKL655352 TAP655342:TAP655352 SQT655342:SQT655352 SGX655342:SGX655352 RXB655342:RXB655352 RNF655342:RNF655352 RDJ655342:RDJ655352 QTN655342:QTN655352 QJR655342:QJR655352 PZV655342:PZV655352 PPZ655342:PPZ655352 PGD655342:PGD655352 OWH655342:OWH655352 OML655342:OML655352 OCP655342:OCP655352 NST655342:NST655352 NIX655342:NIX655352 MZB655342:MZB655352 MPF655342:MPF655352 MFJ655342:MFJ655352 LVN655342:LVN655352 LLR655342:LLR655352 LBV655342:LBV655352 KRZ655342:KRZ655352 KID655342:KID655352 JYH655342:JYH655352 JOL655342:JOL655352 JEP655342:JEP655352 IUT655342:IUT655352 IKX655342:IKX655352 IBB655342:IBB655352 HRF655342:HRF655352 HHJ655342:HHJ655352 GXN655342:GXN655352 GNR655342:GNR655352 GDV655342:GDV655352 FTZ655342:FTZ655352 FKD655342:FKD655352 FAH655342:FAH655352 EQL655342:EQL655352 EGP655342:EGP655352 DWT655342:DWT655352 DMX655342:DMX655352 DDB655342:DDB655352 CTF655342:CTF655352 CJJ655342:CJJ655352 BZN655342:BZN655352 BPR655342:BPR655352 BFV655342:BFV655352 AVZ655342:AVZ655352 AMD655342:AMD655352 ACH655342:ACH655352 SL655342:SL655352 IP655342:IP655352 WVB589806:WVB589816 WLF589806:WLF589816 WBJ589806:WBJ589816 VRN589806:VRN589816 VHR589806:VHR589816 UXV589806:UXV589816 UNZ589806:UNZ589816 UED589806:UED589816 TUH589806:TUH589816 TKL589806:TKL589816 TAP589806:TAP589816 SQT589806:SQT589816 SGX589806:SGX589816 RXB589806:RXB589816 RNF589806:RNF589816 RDJ589806:RDJ589816 QTN589806:QTN589816 QJR589806:QJR589816 PZV589806:PZV589816 PPZ589806:PPZ589816 PGD589806:PGD589816 OWH589806:OWH589816 OML589806:OML589816 OCP589806:OCP589816 NST589806:NST589816 NIX589806:NIX589816 MZB589806:MZB589816 MPF589806:MPF589816 MFJ589806:MFJ589816 LVN589806:LVN589816 LLR589806:LLR589816 LBV589806:LBV589816 KRZ589806:KRZ589816 KID589806:KID589816 JYH589806:JYH589816 JOL589806:JOL589816 JEP589806:JEP589816 IUT589806:IUT589816 IKX589806:IKX589816 IBB589806:IBB589816 HRF589806:HRF589816 HHJ589806:HHJ589816 GXN589806:GXN589816 GNR589806:GNR589816 GDV589806:GDV589816 FTZ589806:FTZ589816 FKD589806:FKD589816 FAH589806:FAH589816 EQL589806:EQL589816 EGP589806:EGP589816 DWT589806:DWT589816 DMX589806:DMX589816 DDB589806:DDB589816 CTF589806:CTF589816 CJJ589806:CJJ589816 BZN589806:BZN589816 BPR589806:BPR589816 BFV589806:BFV589816 AVZ589806:AVZ589816 AMD589806:AMD589816 ACH589806:ACH589816 SL589806:SL589816 IP589806:IP589816 WVB524270:WVB524280 WLF524270:WLF524280 WBJ524270:WBJ524280 VRN524270:VRN524280 VHR524270:VHR524280 UXV524270:UXV524280 UNZ524270:UNZ524280 UED524270:UED524280 TUH524270:TUH524280 TKL524270:TKL524280 TAP524270:TAP524280 SQT524270:SQT524280 SGX524270:SGX524280 RXB524270:RXB524280 RNF524270:RNF524280 RDJ524270:RDJ524280 QTN524270:QTN524280 QJR524270:QJR524280 PZV524270:PZV524280 PPZ524270:PPZ524280 PGD524270:PGD524280 OWH524270:OWH524280 OML524270:OML524280 OCP524270:OCP524280 NST524270:NST524280 NIX524270:NIX524280 MZB524270:MZB524280 MPF524270:MPF524280 MFJ524270:MFJ524280 LVN524270:LVN524280 LLR524270:LLR524280 LBV524270:LBV524280 KRZ524270:KRZ524280 KID524270:KID524280 JYH524270:JYH524280 JOL524270:JOL524280 JEP524270:JEP524280 IUT524270:IUT524280 IKX524270:IKX524280 IBB524270:IBB524280 HRF524270:HRF524280 HHJ524270:HHJ524280 GXN524270:GXN524280 GNR524270:GNR524280 GDV524270:GDV524280 FTZ524270:FTZ524280 FKD524270:FKD524280 FAH524270:FAH524280 EQL524270:EQL524280 EGP524270:EGP524280 DWT524270:DWT524280 DMX524270:DMX524280 DDB524270:DDB524280 CTF524270:CTF524280 CJJ524270:CJJ524280 BZN524270:BZN524280 BPR524270:BPR524280 BFV524270:BFV524280 AVZ524270:AVZ524280 AMD524270:AMD524280 ACH524270:ACH524280 SL524270:SL524280 IP524270:IP524280 WVB458734:WVB458744 WLF458734:WLF458744 WBJ458734:WBJ458744 VRN458734:VRN458744 VHR458734:VHR458744 UXV458734:UXV458744 UNZ458734:UNZ458744 UED458734:UED458744 TUH458734:TUH458744 TKL458734:TKL458744 TAP458734:TAP458744 SQT458734:SQT458744 SGX458734:SGX458744 RXB458734:RXB458744 RNF458734:RNF458744 RDJ458734:RDJ458744 QTN458734:QTN458744 QJR458734:QJR458744 PZV458734:PZV458744 PPZ458734:PPZ458744 PGD458734:PGD458744 OWH458734:OWH458744 OML458734:OML458744 OCP458734:OCP458744 NST458734:NST458744 NIX458734:NIX458744 MZB458734:MZB458744 MPF458734:MPF458744 MFJ458734:MFJ458744 LVN458734:LVN458744 LLR458734:LLR458744 LBV458734:LBV458744 KRZ458734:KRZ458744 KID458734:KID458744 JYH458734:JYH458744 JOL458734:JOL458744 JEP458734:JEP458744 IUT458734:IUT458744 IKX458734:IKX458744 IBB458734:IBB458744 HRF458734:HRF458744 HHJ458734:HHJ458744 GXN458734:GXN458744 GNR458734:GNR458744 GDV458734:GDV458744 FTZ458734:FTZ458744 FKD458734:FKD458744 FAH458734:FAH458744 EQL458734:EQL458744 EGP458734:EGP458744 DWT458734:DWT458744 DMX458734:DMX458744 DDB458734:DDB458744 CTF458734:CTF458744 CJJ458734:CJJ458744 BZN458734:BZN458744 BPR458734:BPR458744 BFV458734:BFV458744 AVZ458734:AVZ458744 AMD458734:AMD458744 ACH458734:ACH458744 SL458734:SL458744 IP458734:IP458744 WVB393198:WVB393208 WLF393198:WLF393208 WBJ393198:WBJ393208 VRN393198:VRN393208 VHR393198:VHR393208 UXV393198:UXV393208 UNZ393198:UNZ393208 UED393198:UED393208 TUH393198:TUH393208 TKL393198:TKL393208 TAP393198:TAP393208 SQT393198:SQT393208 SGX393198:SGX393208 RXB393198:RXB393208 RNF393198:RNF393208 RDJ393198:RDJ393208 QTN393198:QTN393208 QJR393198:QJR393208 PZV393198:PZV393208 PPZ393198:PPZ393208 PGD393198:PGD393208 OWH393198:OWH393208 OML393198:OML393208 OCP393198:OCP393208 NST393198:NST393208 NIX393198:NIX393208 MZB393198:MZB393208 MPF393198:MPF393208 MFJ393198:MFJ393208 LVN393198:LVN393208 LLR393198:LLR393208 LBV393198:LBV393208 KRZ393198:KRZ393208 KID393198:KID393208 JYH393198:JYH393208 JOL393198:JOL393208 JEP393198:JEP393208 IUT393198:IUT393208 IKX393198:IKX393208 IBB393198:IBB393208 HRF393198:HRF393208 HHJ393198:HHJ393208 GXN393198:GXN393208 GNR393198:GNR393208 GDV393198:GDV393208 FTZ393198:FTZ393208 FKD393198:FKD393208 FAH393198:FAH393208 EQL393198:EQL393208 EGP393198:EGP393208 DWT393198:DWT393208 DMX393198:DMX393208 DDB393198:DDB393208 CTF393198:CTF393208 CJJ393198:CJJ393208 BZN393198:BZN393208 BPR393198:BPR393208 BFV393198:BFV393208 AVZ393198:AVZ393208 AMD393198:AMD393208 ACH393198:ACH393208 SL393198:SL393208 IP393198:IP393208 WVB327662:WVB327672 WLF327662:WLF327672 WBJ327662:WBJ327672 VRN327662:VRN327672 VHR327662:VHR327672 UXV327662:UXV327672 UNZ327662:UNZ327672 UED327662:UED327672 TUH327662:TUH327672 TKL327662:TKL327672 TAP327662:TAP327672 SQT327662:SQT327672 SGX327662:SGX327672 RXB327662:RXB327672 RNF327662:RNF327672 RDJ327662:RDJ327672 QTN327662:QTN327672 QJR327662:QJR327672 PZV327662:PZV327672 PPZ327662:PPZ327672 PGD327662:PGD327672 OWH327662:OWH327672 OML327662:OML327672 OCP327662:OCP327672 NST327662:NST327672 NIX327662:NIX327672 MZB327662:MZB327672 MPF327662:MPF327672 MFJ327662:MFJ327672 LVN327662:LVN327672 LLR327662:LLR327672 LBV327662:LBV327672 KRZ327662:KRZ327672 KID327662:KID327672 JYH327662:JYH327672 JOL327662:JOL327672 JEP327662:JEP327672 IUT327662:IUT327672 IKX327662:IKX327672 IBB327662:IBB327672 HRF327662:HRF327672 HHJ327662:HHJ327672 GXN327662:GXN327672 GNR327662:GNR327672 GDV327662:GDV327672 FTZ327662:FTZ327672 FKD327662:FKD327672 FAH327662:FAH327672 EQL327662:EQL327672 EGP327662:EGP327672 DWT327662:DWT327672 DMX327662:DMX327672 DDB327662:DDB327672 CTF327662:CTF327672 CJJ327662:CJJ327672 BZN327662:BZN327672 BPR327662:BPR327672 BFV327662:BFV327672 AVZ327662:AVZ327672 AMD327662:AMD327672 ACH327662:ACH327672 SL327662:SL327672 IP327662:IP327672 WVB262126:WVB262136 WLF262126:WLF262136 WBJ262126:WBJ262136 VRN262126:VRN262136 VHR262126:VHR262136 UXV262126:UXV262136 UNZ262126:UNZ262136 UED262126:UED262136 TUH262126:TUH262136 TKL262126:TKL262136 TAP262126:TAP262136 SQT262126:SQT262136 SGX262126:SGX262136 RXB262126:RXB262136 RNF262126:RNF262136 RDJ262126:RDJ262136 QTN262126:QTN262136 QJR262126:QJR262136 PZV262126:PZV262136 PPZ262126:PPZ262136 PGD262126:PGD262136 OWH262126:OWH262136 OML262126:OML262136 OCP262126:OCP262136 NST262126:NST262136 NIX262126:NIX262136 MZB262126:MZB262136 MPF262126:MPF262136 MFJ262126:MFJ262136 LVN262126:LVN262136 LLR262126:LLR262136 LBV262126:LBV262136 KRZ262126:KRZ262136 KID262126:KID262136 JYH262126:JYH262136 JOL262126:JOL262136 JEP262126:JEP262136 IUT262126:IUT262136 IKX262126:IKX262136 IBB262126:IBB262136 HRF262126:HRF262136 HHJ262126:HHJ262136 GXN262126:GXN262136 GNR262126:GNR262136 GDV262126:GDV262136 FTZ262126:FTZ262136 FKD262126:FKD262136 FAH262126:FAH262136 EQL262126:EQL262136 EGP262126:EGP262136 DWT262126:DWT262136 DMX262126:DMX262136 DDB262126:DDB262136 CTF262126:CTF262136 CJJ262126:CJJ262136 BZN262126:BZN262136 BPR262126:BPR262136 BFV262126:BFV262136 AVZ262126:AVZ262136 AMD262126:AMD262136 ACH262126:ACH262136 SL262126:SL262136 IP262126:IP262136 WVB196590:WVB196600 WLF196590:WLF196600 WBJ196590:WBJ196600 VRN196590:VRN196600 VHR196590:VHR196600 UXV196590:UXV196600 UNZ196590:UNZ196600 UED196590:UED196600 TUH196590:TUH196600 TKL196590:TKL196600 TAP196590:TAP196600 SQT196590:SQT196600 SGX196590:SGX196600 RXB196590:RXB196600 RNF196590:RNF196600 RDJ196590:RDJ196600 QTN196590:QTN196600 QJR196590:QJR196600 PZV196590:PZV196600 PPZ196590:PPZ196600 PGD196590:PGD196600 OWH196590:OWH196600 OML196590:OML196600 OCP196590:OCP196600 NST196590:NST196600 NIX196590:NIX196600 MZB196590:MZB196600 MPF196590:MPF196600 MFJ196590:MFJ196600 LVN196590:LVN196600 LLR196590:LLR196600 LBV196590:LBV196600 KRZ196590:KRZ196600 KID196590:KID196600 JYH196590:JYH196600 JOL196590:JOL196600 JEP196590:JEP196600 IUT196590:IUT196600 IKX196590:IKX196600 IBB196590:IBB196600 HRF196590:HRF196600 HHJ196590:HHJ196600 GXN196590:GXN196600 GNR196590:GNR196600 GDV196590:GDV196600 FTZ196590:FTZ196600 FKD196590:FKD196600 FAH196590:FAH196600 EQL196590:EQL196600 EGP196590:EGP196600 DWT196590:DWT196600 DMX196590:DMX196600 DDB196590:DDB196600 CTF196590:CTF196600 CJJ196590:CJJ196600 BZN196590:BZN196600 BPR196590:BPR196600 BFV196590:BFV196600 AVZ196590:AVZ196600 AMD196590:AMD196600 ACH196590:ACH196600 SL196590:SL196600 IP196590:IP196600 WVB131054:WVB131064 WLF131054:WLF131064 WBJ131054:WBJ131064 VRN131054:VRN131064 VHR131054:VHR131064 UXV131054:UXV131064 UNZ131054:UNZ131064 UED131054:UED131064 TUH131054:TUH131064 TKL131054:TKL131064 TAP131054:TAP131064 SQT131054:SQT131064 SGX131054:SGX131064 RXB131054:RXB131064 RNF131054:RNF131064 RDJ131054:RDJ131064 QTN131054:QTN131064 QJR131054:QJR131064 PZV131054:PZV131064 PPZ131054:PPZ131064 PGD131054:PGD131064 OWH131054:OWH131064 OML131054:OML131064 OCP131054:OCP131064 NST131054:NST131064 NIX131054:NIX131064 MZB131054:MZB131064 MPF131054:MPF131064 MFJ131054:MFJ131064 LVN131054:LVN131064 LLR131054:LLR131064 LBV131054:LBV131064 KRZ131054:KRZ131064 KID131054:KID131064 JYH131054:JYH131064 JOL131054:JOL131064 JEP131054:JEP131064 IUT131054:IUT131064 IKX131054:IKX131064 IBB131054:IBB131064 HRF131054:HRF131064 HHJ131054:HHJ131064 GXN131054:GXN131064 GNR131054:GNR131064 GDV131054:GDV131064 FTZ131054:FTZ131064 FKD131054:FKD131064 FAH131054:FAH131064 EQL131054:EQL131064 EGP131054:EGP131064 DWT131054:DWT131064 DMX131054:DMX131064 DDB131054:DDB131064 CTF131054:CTF131064 CJJ131054:CJJ131064 BZN131054:BZN131064 BPR131054:BPR131064 BFV131054:BFV131064 AVZ131054:AVZ131064 AMD131054:AMD131064 ACH131054:ACH131064 SL131054:SL131064 IP131054:IP131064 WVB65518:WVB65528 WLF65518:WLF65528 WBJ65518:WBJ65528 VRN65518:VRN65528 VHR65518:VHR65528 UXV65518:UXV65528 UNZ65518:UNZ65528 UED65518:UED65528 TUH65518:TUH65528 TKL65518:TKL65528 TAP65518:TAP65528 SQT65518:SQT65528 SGX65518:SGX65528 RXB65518:RXB65528 RNF65518:RNF65528 RDJ65518:RDJ65528 QTN65518:QTN65528 QJR65518:QJR65528 PZV65518:PZV65528 PPZ65518:PPZ65528 PGD65518:PGD65528 OWH65518:OWH65528 OML65518:OML65528 OCP65518:OCP65528 NST65518:NST65528 NIX65518:NIX65528 MZB65518:MZB65528 MPF65518:MPF65528 MFJ65518:MFJ65528 LVN65518:LVN65528 LLR65518:LLR65528 LBV65518:LBV65528 KRZ65518:KRZ65528 KID65518:KID65528 JYH65518:JYH65528 JOL65518:JOL65528 JEP65518:JEP65528 IUT65518:IUT65528 IKX65518:IKX65528 IBB65518:IBB65528 HRF65518:HRF65528 HHJ65518:HHJ65528 GXN65518:GXN65528 GNR65518:GNR65528 GDV65518:GDV65528 FTZ65518:FTZ65528 FKD65518:FKD65528 FAH65518:FAH65528 EQL65518:EQL65528 EGP65518:EGP65528 DWT65518:DWT65528 DMX65518:DMX65528 DDB65518:DDB65528 CTF65518:CTF65528 CJJ65518:CJJ65528 BZN65518:BZN65528 BPR65518:BPR65528 BFV65518:BFV65528 AVZ65518:AVZ65528 AMD65518:AMD65528 ACH65518:ACH65528 SL65518:SL65528 IP65518:IP65528 WUQ983037:WUQ983045 WKU983037:WKU983045 WAY983037:WAY983045 VRC983037:VRC983045 VHG983037:VHG983045 UXK983037:UXK983045 UNO983037:UNO983045 UDS983037:UDS983045 TTW983037:TTW983045 TKA983037:TKA983045 TAE983037:TAE983045 SQI983037:SQI983045 SGM983037:SGM983045 RWQ983037:RWQ983045 RMU983037:RMU983045 RCY983037:RCY983045 QTC983037:QTC983045 QJG983037:QJG983045 PZK983037:PZK983045 PPO983037:PPO983045 PFS983037:PFS983045 OVW983037:OVW983045 OMA983037:OMA983045 OCE983037:OCE983045 NSI983037:NSI983045 NIM983037:NIM983045 MYQ983037:MYQ983045 MOU983037:MOU983045 MEY983037:MEY983045 LVC983037:LVC983045 LLG983037:LLG983045 LBK983037:LBK983045 KRO983037:KRO983045 KHS983037:KHS983045 JXW983037:JXW983045 JOA983037:JOA983045 JEE983037:JEE983045 IUI983037:IUI983045 IKM983037:IKM983045 IAQ983037:IAQ983045 HQU983037:HQU983045 HGY983037:HGY983045 GXC983037:GXC983045 GNG983037:GNG983045 GDK983037:GDK983045 FTO983037:FTO983045 FJS983037:FJS983045 EZW983037:EZW983045 EQA983037:EQA983045 EGE983037:EGE983045 DWI983037:DWI983045 DMM983037:DMM983045 DCQ983037:DCQ983045 CSU983037:CSU983045 CIY983037:CIY983045 BZC983037:BZC983045 BPG983037:BPG983045 BFK983037:BFK983045 AVO983037:AVO983045 ALS983037:ALS983045 ABW983037:ABW983045 SA983037:SA983045 IE983037:IE983045 C983037:C983045 WUQ917501:WUQ917509 WKU917501:WKU917509 WAY917501:WAY917509 VRC917501:VRC917509 VHG917501:VHG917509 UXK917501:UXK917509 UNO917501:UNO917509 UDS917501:UDS917509 TTW917501:TTW917509 TKA917501:TKA917509 TAE917501:TAE917509 SQI917501:SQI917509 SGM917501:SGM917509 RWQ917501:RWQ917509 RMU917501:RMU917509 RCY917501:RCY917509 QTC917501:QTC917509 QJG917501:QJG917509 PZK917501:PZK917509 PPO917501:PPO917509 PFS917501:PFS917509 OVW917501:OVW917509 OMA917501:OMA917509 OCE917501:OCE917509 NSI917501:NSI917509 NIM917501:NIM917509 MYQ917501:MYQ917509 MOU917501:MOU917509 MEY917501:MEY917509 LVC917501:LVC917509 LLG917501:LLG917509 LBK917501:LBK917509 KRO917501:KRO917509 KHS917501:KHS917509 JXW917501:JXW917509 JOA917501:JOA917509 JEE917501:JEE917509 IUI917501:IUI917509 IKM917501:IKM917509 IAQ917501:IAQ917509 HQU917501:HQU917509 HGY917501:HGY917509 GXC917501:GXC917509 GNG917501:GNG917509 GDK917501:GDK917509 FTO917501:FTO917509 FJS917501:FJS917509 EZW917501:EZW917509 EQA917501:EQA917509 EGE917501:EGE917509 DWI917501:DWI917509 DMM917501:DMM917509 DCQ917501:DCQ917509 CSU917501:CSU917509 CIY917501:CIY917509 BZC917501:BZC917509 BPG917501:BPG917509 BFK917501:BFK917509 AVO917501:AVO917509 ALS917501:ALS917509 ABW917501:ABW917509 SA917501:SA917509 IE917501:IE917509 C917501:C917509 WUQ851965:WUQ851973 WKU851965:WKU851973 WAY851965:WAY851973 VRC851965:VRC851973 VHG851965:VHG851973 UXK851965:UXK851973 UNO851965:UNO851973 UDS851965:UDS851973 TTW851965:TTW851973 TKA851965:TKA851973 TAE851965:TAE851973 SQI851965:SQI851973 SGM851965:SGM851973 RWQ851965:RWQ851973 RMU851965:RMU851973 RCY851965:RCY851973 QTC851965:QTC851973 QJG851965:QJG851973 PZK851965:PZK851973 PPO851965:PPO851973 PFS851965:PFS851973 OVW851965:OVW851973 OMA851965:OMA851973 OCE851965:OCE851973 NSI851965:NSI851973 NIM851965:NIM851973 MYQ851965:MYQ851973 MOU851965:MOU851973 MEY851965:MEY851973 LVC851965:LVC851973 LLG851965:LLG851973 LBK851965:LBK851973 KRO851965:KRO851973 KHS851965:KHS851973 JXW851965:JXW851973 JOA851965:JOA851973 JEE851965:JEE851973 IUI851965:IUI851973 IKM851965:IKM851973 IAQ851965:IAQ851973 HQU851965:HQU851973 HGY851965:HGY851973 GXC851965:GXC851973 GNG851965:GNG851973 GDK851965:GDK851973 FTO851965:FTO851973 FJS851965:FJS851973 EZW851965:EZW851973 EQA851965:EQA851973 EGE851965:EGE851973 DWI851965:DWI851973 DMM851965:DMM851973 DCQ851965:DCQ851973 CSU851965:CSU851973 CIY851965:CIY851973 BZC851965:BZC851973 BPG851965:BPG851973 BFK851965:BFK851973 AVO851965:AVO851973 ALS851965:ALS851973 ABW851965:ABW851973 SA851965:SA851973 IE851965:IE851973 C851965:C851973 WUQ786429:WUQ786437 WKU786429:WKU786437 WAY786429:WAY786437 VRC786429:VRC786437 VHG786429:VHG786437 UXK786429:UXK786437 UNO786429:UNO786437 UDS786429:UDS786437 TTW786429:TTW786437 TKA786429:TKA786437 TAE786429:TAE786437 SQI786429:SQI786437 SGM786429:SGM786437 RWQ786429:RWQ786437 RMU786429:RMU786437 RCY786429:RCY786437 QTC786429:QTC786437 QJG786429:QJG786437 PZK786429:PZK786437 PPO786429:PPO786437 PFS786429:PFS786437 OVW786429:OVW786437 OMA786429:OMA786437 OCE786429:OCE786437 NSI786429:NSI786437 NIM786429:NIM786437 MYQ786429:MYQ786437 MOU786429:MOU786437 MEY786429:MEY786437 LVC786429:LVC786437 LLG786429:LLG786437 LBK786429:LBK786437 KRO786429:KRO786437 KHS786429:KHS786437 JXW786429:JXW786437 JOA786429:JOA786437 JEE786429:JEE786437 IUI786429:IUI786437 IKM786429:IKM786437 IAQ786429:IAQ786437 HQU786429:HQU786437 HGY786429:HGY786437 GXC786429:GXC786437 GNG786429:GNG786437 GDK786429:GDK786437 FTO786429:FTO786437 FJS786429:FJS786437 EZW786429:EZW786437 EQA786429:EQA786437 EGE786429:EGE786437 DWI786429:DWI786437 DMM786429:DMM786437 DCQ786429:DCQ786437 CSU786429:CSU786437 CIY786429:CIY786437 BZC786429:BZC786437 BPG786429:BPG786437 BFK786429:BFK786437 AVO786429:AVO786437 ALS786429:ALS786437 ABW786429:ABW786437 SA786429:SA786437 IE786429:IE786437 C786429:C786437 WUQ720893:WUQ720901 WKU720893:WKU720901 WAY720893:WAY720901 VRC720893:VRC720901 VHG720893:VHG720901 UXK720893:UXK720901 UNO720893:UNO720901 UDS720893:UDS720901 TTW720893:TTW720901 TKA720893:TKA720901 TAE720893:TAE720901 SQI720893:SQI720901 SGM720893:SGM720901 RWQ720893:RWQ720901 RMU720893:RMU720901 RCY720893:RCY720901 QTC720893:QTC720901 QJG720893:QJG720901 PZK720893:PZK720901 PPO720893:PPO720901 PFS720893:PFS720901 OVW720893:OVW720901 OMA720893:OMA720901 OCE720893:OCE720901 NSI720893:NSI720901 NIM720893:NIM720901 MYQ720893:MYQ720901 MOU720893:MOU720901 MEY720893:MEY720901 LVC720893:LVC720901 LLG720893:LLG720901 LBK720893:LBK720901 KRO720893:KRO720901 KHS720893:KHS720901 JXW720893:JXW720901 JOA720893:JOA720901 JEE720893:JEE720901 IUI720893:IUI720901 IKM720893:IKM720901 IAQ720893:IAQ720901 HQU720893:HQU720901 HGY720893:HGY720901 GXC720893:GXC720901 GNG720893:GNG720901 GDK720893:GDK720901 FTO720893:FTO720901 FJS720893:FJS720901 EZW720893:EZW720901 EQA720893:EQA720901 EGE720893:EGE720901 DWI720893:DWI720901 DMM720893:DMM720901 DCQ720893:DCQ720901 CSU720893:CSU720901 CIY720893:CIY720901 BZC720893:BZC720901 BPG720893:BPG720901 BFK720893:BFK720901 AVO720893:AVO720901 ALS720893:ALS720901 ABW720893:ABW720901 SA720893:SA720901 IE720893:IE720901 C720893:C720901 WUQ655357:WUQ655365 WKU655357:WKU655365 WAY655357:WAY655365 VRC655357:VRC655365 VHG655357:VHG655365 UXK655357:UXK655365 UNO655357:UNO655365 UDS655357:UDS655365 TTW655357:TTW655365 TKA655357:TKA655365 TAE655357:TAE655365 SQI655357:SQI655365 SGM655357:SGM655365 RWQ655357:RWQ655365 RMU655357:RMU655365 RCY655357:RCY655365 QTC655357:QTC655365 QJG655357:QJG655365 PZK655357:PZK655365 PPO655357:PPO655365 PFS655357:PFS655365 OVW655357:OVW655365 OMA655357:OMA655365 OCE655357:OCE655365 NSI655357:NSI655365 NIM655357:NIM655365 MYQ655357:MYQ655365 MOU655357:MOU655365 MEY655357:MEY655365 LVC655357:LVC655365 LLG655357:LLG655365 LBK655357:LBK655365 KRO655357:KRO655365 KHS655357:KHS655365 JXW655357:JXW655365 JOA655357:JOA655365 JEE655357:JEE655365 IUI655357:IUI655365 IKM655357:IKM655365 IAQ655357:IAQ655365 HQU655357:HQU655365 HGY655357:HGY655365 GXC655357:GXC655365 GNG655357:GNG655365 GDK655357:GDK655365 FTO655357:FTO655365 FJS655357:FJS655365 EZW655357:EZW655365 EQA655357:EQA655365 EGE655357:EGE655365 DWI655357:DWI655365 DMM655357:DMM655365 DCQ655357:DCQ655365 CSU655357:CSU655365 CIY655357:CIY655365 BZC655357:BZC655365 BPG655357:BPG655365 BFK655357:BFK655365 AVO655357:AVO655365 ALS655357:ALS655365 ABW655357:ABW655365 SA655357:SA655365 IE655357:IE655365 C655357:C655365 WUQ589821:WUQ589829 WKU589821:WKU589829 WAY589821:WAY589829 VRC589821:VRC589829 VHG589821:VHG589829 UXK589821:UXK589829 UNO589821:UNO589829 UDS589821:UDS589829 TTW589821:TTW589829 TKA589821:TKA589829 TAE589821:TAE589829 SQI589821:SQI589829 SGM589821:SGM589829 RWQ589821:RWQ589829 RMU589821:RMU589829 RCY589821:RCY589829 QTC589821:QTC589829 QJG589821:QJG589829 PZK589821:PZK589829 PPO589821:PPO589829 PFS589821:PFS589829 OVW589821:OVW589829 OMA589821:OMA589829 OCE589821:OCE589829 NSI589821:NSI589829 NIM589821:NIM589829 MYQ589821:MYQ589829 MOU589821:MOU589829 MEY589821:MEY589829 LVC589821:LVC589829 LLG589821:LLG589829 LBK589821:LBK589829 KRO589821:KRO589829 KHS589821:KHS589829 JXW589821:JXW589829 JOA589821:JOA589829 JEE589821:JEE589829 IUI589821:IUI589829 IKM589821:IKM589829 IAQ589821:IAQ589829 HQU589821:HQU589829 HGY589821:HGY589829 GXC589821:GXC589829 GNG589821:GNG589829 GDK589821:GDK589829 FTO589821:FTO589829 FJS589821:FJS589829 EZW589821:EZW589829 EQA589821:EQA589829 EGE589821:EGE589829 DWI589821:DWI589829 DMM589821:DMM589829 DCQ589821:DCQ589829 CSU589821:CSU589829 CIY589821:CIY589829 BZC589821:BZC589829 BPG589821:BPG589829 BFK589821:BFK589829 AVO589821:AVO589829 ALS589821:ALS589829 ABW589821:ABW589829 SA589821:SA589829 IE589821:IE589829 C589821:C589829 WUQ524285:WUQ524293 WKU524285:WKU524293 WAY524285:WAY524293 VRC524285:VRC524293 VHG524285:VHG524293 UXK524285:UXK524293 UNO524285:UNO524293 UDS524285:UDS524293 TTW524285:TTW524293 TKA524285:TKA524293 TAE524285:TAE524293 SQI524285:SQI524293 SGM524285:SGM524293 RWQ524285:RWQ524293 RMU524285:RMU524293 RCY524285:RCY524293 QTC524285:QTC524293 QJG524285:QJG524293 PZK524285:PZK524293 PPO524285:PPO524293 PFS524285:PFS524293 OVW524285:OVW524293 OMA524285:OMA524293 OCE524285:OCE524293 NSI524285:NSI524293 NIM524285:NIM524293 MYQ524285:MYQ524293 MOU524285:MOU524293 MEY524285:MEY524293 LVC524285:LVC524293 LLG524285:LLG524293 LBK524285:LBK524293 KRO524285:KRO524293 KHS524285:KHS524293 JXW524285:JXW524293 JOA524285:JOA524293 JEE524285:JEE524293 IUI524285:IUI524293 IKM524285:IKM524293 IAQ524285:IAQ524293 HQU524285:HQU524293 HGY524285:HGY524293 GXC524285:GXC524293 GNG524285:GNG524293 GDK524285:GDK524293 FTO524285:FTO524293 FJS524285:FJS524293 EZW524285:EZW524293 EQA524285:EQA524293 EGE524285:EGE524293 DWI524285:DWI524293 DMM524285:DMM524293 DCQ524285:DCQ524293 CSU524285:CSU524293 CIY524285:CIY524293 BZC524285:BZC524293 BPG524285:BPG524293 BFK524285:BFK524293 AVO524285:AVO524293 ALS524285:ALS524293 ABW524285:ABW524293 SA524285:SA524293 IE524285:IE524293 C524285:C524293 WUQ458749:WUQ458757 WKU458749:WKU458757 WAY458749:WAY458757 VRC458749:VRC458757 VHG458749:VHG458757 UXK458749:UXK458757 UNO458749:UNO458757 UDS458749:UDS458757 TTW458749:TTW458757 TKA458749:TKA458757 TAE458749:TAE458757 SQI458749:SQI458757 SGM458749:SGM458757 RWQ458749:RWQ458757 RMU458749:RMU458757 RCY458749:RCY458757 QTC458749:QTC458757 QJG458749:QJG458757 PZK458749:PZK458757 PPO458749:PPO458757 PFS458749:PFS458757 OVW458749:OVW458757 OMA458749:OMA458757 OCE458749:OCE458757 NSI458749:NSI458757 NIM458749:NIM458757 MYQ458749:MYQ458757 MOU458749:MOU458757 MEY458749:MEY458757 LVC458749:LVC458757 LLG458749:LLG458757 LBK458749:LBK458757 KRO458749:KRO458757 KHS458749:KHS458757 JXW458749:JXW458757 JOA458749:JOA458757 JEE458749:JEE458757 IUI458749:IUI458757 IKM458749:IKM458757 IAQ458749:IAQ458757 HQU458749:HQU458757 HGY458749:HGY458757 GXC458749:GXC458757 GNG458749:GNG458757 GDK458749:GDK458757 FTO458749:FTO458757 FJS458749:FJS458757 EZW458749:EZW458757 EQA458749:EQA458757 EGE458749:EGE458757 DWI458749:DWI458757 DMM458749:DMM458757 DCQ458749:DCQ458757 CSU458749:CSU458757 CIY458749:CIY458757 BZC458749:BZC458757 BPG458749:BPG458757 BFK458749:BFK458757 AVO458749:AVO458757 ALS458749:ALS458757 ABW458749:ABW458757 SA458749:SA458757 IE458749:IE458757 C458749:C458757 WUQ393213:WUQ393221 WKU393213:WKU393221 WAY393213:WAY393221 VRC393213:VRC393221 VHG393213:VHG393221 UXK393213:UXK393221 UNO393213:UNO393221 UDS393213:UDS393221 TTW393213:TTW393221 TKA393213:TKA393221 TAE393213:TAE393221 SQI393213:SQI393221 SGM393213:SGM393221 RWQ393213:RWQ393221 RMU393213:RMU393221 RCY393213:RCY393221 QTC393213:QTC393221 QJG393213:QJG393221 PZK393213:PZK393221 PPO393213:PPO393221 PFS393213:PFS393221 OVW393213:OVW393221 OMA393213:OMA393221 OCE393213:OCE393221 NSI393213:NSI393221 NIM393213:NIM393221 MYQ393213:MYQ393221 MOU393213:MOU393221 MEY393213:MEY393221 LVC393213:LVC393221 LLG393213:LLG393221 LBK393213:LBK393221 KRO393213:KRO393221 KHS393213:KHS393221 JXW393213:JXW393221 JOA393213:JOA393221 JEE393213:JEE393221 IUI393213:IUI393221 IKM393213:IKM393221 IAQ393213:IAQ393221 HQU393213:HQU393221 HGY393213:HGY393221 GXC393213:GXC393221 GNG393213:GNG393221 GDK393213:GDK393221 FTO393213:FTO393221 FJS393213:FJS393221 EZW393213:EZW393221 EQA393213:EQA393221 EGE393213:EGE393221 DWI393213:DWI393221 DMM393213:DMM393221 DCQ393213:DCQ393221 CSU393213:CSU393221 CIY393213:CIY393221 BZC393213:BZC393221 BPG393213:BPG393221 BFK393213:BFK393221 AVO393213:AVO393221 ALS393213:ALS393221 ABW393213:ABW393221 SA393213:SA393221 IE393213:IE393221 C393213:C393221 WUQ327677:WUQ327685 WKU327677:WKU327685 WAY327677:WAY327685 VRC327677:VRC327685 VHG327677:VHG327685 UXK327677:UXK327685 UNO327677:UNO327685 UDS327677:UDS327685 TTW327677:TTW327685 TKA327677:TKA327685 TAE327677:TAE327685 SQI327677:SQI327685 SGM327677:SGM327685 RWQ327677:RWQ327685 RMU327677:RMU327685 RCY327677:RCY327685 QTC327677:QTC327685 QJG327677:QJG327685 PZK327677:PZK327685 PPO327677:PPO327685 PFS327677:PFS327685 OVW327677:OVW327685 OMA327677:OMA327685 OCE327677:OCE327685 NSI327677:NSI327685 NIM327677:NIM327685 MYQ327677:MYQ327685 MOU327677:MOU327685 MEY327677:MEY327685 LVC327677:LVC327685 LLG327677:LLG327685 LBK327677:LBK327685 KRO327677:KRO327685 KHS327677:KHS327685 JXW327677:JXW327685 JOA327677:JOA327685 JEE327677:JEE327685 IUI327677:IUI327685 IKM327677:IKM327685 IAQ327677:IAQ327685 HQU327677:HQU327685 HGY327677:HGY327685 GXC327677:GXC327685 GNG327677:GNG327685 GDK327677:GDK327685 FTO327677:FTO327685 FJS327677:FJS327685 EZW327677:EZW327685 EQA327677:EQA327685 EGE327677:EGE327685 DWI327677:DWI327685 DMM327677:DMM327685 DCQ327677:DCQ327685 CSU327677:CSU327685 CIY327677:CIY327685 BZC327677:BZC327685 BPG327677:BPG327685 BFK327677:BFK327685 AVO327677:AVO327685 ALS327677:ALS327685 ABW327677:ABW327685 SA327677:SA327685 IE327677:IE327685 C327677:C327685 WUQ262141:WUQ262149 WKU262141:WKU262149 WAY262141:WAY262149 VRC262141:VRC262149 VHG262141:VHG262149 UXK262141:UXK262149 UNO262141:UNO262149 UDS262141:UDS262149 TTW262141:TTW262149 TKA262141:TKA262149 TAE262141:TAE262149 SQI262141:SQI262149 SGM262141:SGM262149 RWQ262141:RWQ262149 RMU262141:RMU262149 RCY262141:RCY262149 QTC262141:QTC262149 QJG262141:QJG262149 PZK262141:PZK262149 PPO262141:PPO262149 PFS262141:PFS262149 OVW262141:OVW262149 OMA262141:OMA262149 OCE262141:OCE262149 NSI262141:NSI262149 NIM262141:NIM262149 MYQ262141:MYQ262149 MOU262141:MOU262149 MEY262141:MEY262149 LVC262141:LVC262149 LLG262141:LLG262149 LBK262141:LBK262149 KRO262141:KRO262149 KHS262141:KHS262149 JXW262141:JXW262149 JOA262141:JOA262149 JEE262141:JEE262149 IUI262141:IUI262149 IKM262141:IKM262149 IAQ262141:IAQ262149 HQU262141:HQU262149 HGY262141:HGY262149 GXC262141:GXC262149 GNG262141:GNG262149 GDK262141:GDK262149 FTO262141:FTO262149 FJS262141:FJS262149 EZW262141:EZW262149 EQA262141:EQA262149 EGE262141:EGE262149 DWI262141:DWI262149 DMM262141:DMM262149 DCQ262141:DCQ262149 CSU262141:CSU262149 CIY262141:CIY262149 BZC262141:BZC262149 BPG262141:BPG262149 BFK262141:BFK262149 AVO262141:AVO262149 ALS262141:ALS262149 ABW262141:ABW262149 SA262141:SA262149 IE262141:IE262149 C262141:C262149 WUQ196605:WUQ196613 WKU196605:WKU196613 WAY196605:WAY196613 VRC196605:VRC196613 VHG196605:VHG196613 UXK196605:UXK196613 UNO196605:UNO196613 UDS196605:UDS196613 TTW196605:TTW196613 TKA196605:TKA196613 TAE196605:TAE196613 SQI196605:SQI196613 SGM196605:SGM196613 RWQ196605:RWQ196613 RMU196605:RMU196613 RCY196605:RCY196613 QTC196605:QTC196613 QJG196605:QJG196613 PZK196605:PZK196613 PPO196605:PPO196613 PFS196605:PFS196613 OVW196605:OVW196613 OMA196605:OMA196613 OCE196605:OCE196613 NSI196605:NSI196613 NIM196605:NIM196613 MYQ196605:MYQ196613 MOU196605:MOU196613 MEY196605:MEY196613 LVC196605:LVC196613 LLG196605:LLG196613 LBK196605:LBK196613 KRO196605:KRO196613 KHS196605:KHS196613 JXW196605:JXW196613 JOA196605:JOA196613 JEE196605:JEE196613 IUI196605:IUI196613 IKM196605:IKM196613 IAQ196605:IAQ196613 HQU196605:HQU196613 HGY196605:HGY196613 GXC196605:GXC196613 GNG196605:GNG196613 GDK196605:GDK196613 FTO196605:FTO196613 FJS196605:FJS196613 EZW196605:EZW196613 EQA196605:EQA196613 EGE196605:EGE196613 DWI196605:DWI196613 DMM196605:DMM196613 DCQ196605:DCQ196613 CSU196605:CSU196613 CIY196605:CIY196613 BZC196605:BZC196613 BPG196605:BPG196613 BFK196605:BFK196613 AVO196605:AVO196613 ALS196605:ALS196613 ABW196605:ABW196613 SA196605:SA196613 IE196605:IE196613 C196605:C196613 WUQ131069:WUQ131077 WKU131069:WKU131077 WAY131069:WAY131077 VRC131069:VRC131077 VHG131069:VHG131077 UXK131069:UXK131077 UNO131069:UNO131077 UDS131069:UDS131077 TTW131069:TTW131077 TKA131069:TKA131077 TAE131069:TAE131077 SQI131069:SQI131077 SGM131069:SGM131077 RWQ131069:RWQ131077 RMU131069:RMU131077 RCY131069:RCY131077 QTC131069:QTC131077 QJG131069:QJG131077 PZK131069:PZK131077 PPO131069:PPO131077 PFS131069:PFS131077 OVW131069:OVW131077 OMA131069:OMA131077 OCE131069:OCE131077 NSI131069:NSI131077 NIM131069:NIM131077 MYQ131069:MYQ131077 MOU131069:MOU131077 MEY131069:MEY131077 LVC131069:LVC131077 LLG131069:LLG131077 LBK131069:LBK131077 KRO131069:KRO131077 KHS131069:KHS131077 JXW131069:JXW131077 JOA131069:JOA131077 JEE131069:JEE131077 IUI131069:IUI131077 IKM131069:IKM131077 IAQ131069:IAQ131077 HQU131069:HQU131077 HGY131069:HGY131077 GXC131069:GXC131077 GNG131069:GNG131077 GDK131069:GDK131077 FTO131069:FTO131077 FJS131069:FJS131077 EZW131069:EZW131077 EQA131069:EQA131077 EGE131069:EGE131077 DWI131069:DWI131077 DMM131069:DMM131077 DCQ131069:DCQ131077 CSU131069:CSU131077 CIY131069:CIY131077 BZC131069:BZC131077 BPG131069:BPG131077 BFK131069:BFK131077 AVO131069:AVO131077 ALS131069:ALS131077 ABW131069:ABW131077 SA131069:SA131077 IE131069:IE131077 C131069:C131077 WUQ65533:WUQ65541 WKU65533:WKU65541 WAY65533:WAY65541 VRC65533:VRC65541 VHG65533:VHG65541 UXK65533:UXK65541 UNO65533:UNO65541 UDS65533:UDS65541 TTW65533:TTW65541 TKA65533:TKA65541 TAE65533:TAE65541 SQI65533:SQI65541 SGM65533:SGM65541 RWQ65533:RWQ65541 RMU65533:RMU65541 RCY65533:RCY65541 QTC65533:QTC65541 QJG65533:QJG65541 PZK65533:PZK65541 PPO65533:PPO65541 PFS65533:PFS65541 OVW65533:OVW65541 OMA65533:OMA65541 OCE65533:OCE65541 NSI65533:NSI65541 NIM65533:NIM65541 MYQ65533:MYQ65541 MOU65533:MOU65541 MEY65533:MEY65541 LVC65533:LVC65541 LLG65533:LLG65541 LBK65533:LBK65541 KRO65533:KRO65541 KHS65533:KHS65541 JXW65533:JXW65541 JOA65533:JOA65541 JEE65533:JEE65541 IUI65533:IUI65541 IKM65533:IKM65541 IAQ65533:IAQ65541 HQU65533:HQU65541 HGY65533:HGY65541 GXC65533:GXC65541 GNG65533:GNG65541 GDK65533:GDK65541 FTO65533:FTO65541 FJS65533:FJS65541 EZW65533:EZW65541 EQA65533:EQA65541 EGE65533:EGE65541 DWI65533:DWI65541 DMM65533:DMM65541 DCQ65533:DCQ65541 CSU65533:CSU65541 CIY65533:CIY65541 BZC65533:BZC65541 BPG65533:BPG65541 BFK65533:BFK65541 AVO65533:AVO65541 ALS65533:ALS65541 ABW65533:ABW65541 SA65533:SA65541 IE65533:IE65541 C65533:C65541 WUQ15:WUQ22 WKU15:WKU22 WAY15:WAY22 VRC15:VRC22 VHG15:VHG22 UXK15:UXK22 UNO15:UNO22 UDS15:UDS22 TTW15:TTW22 TKA15:TKA22 TAE15:TAE22 SQI15:SQI22 SGM15:SGM22 RWQ15:RWQ22 RMU15:RMU22 RCY15:RCY22 QTC15:QTC22 QJG15:QJG22 PZK15:PZK22 PPO15:PPO22 PFS15:PFS22 OVW15:OVW22 OMA15:OMA22 OCE15:OCE22 NSI15:NSI22 NIM15:NIM22 MYQ15:MYQ22 MOU15:MOU22 MEY15:MEY22 LVC15:LVC22 LLG15:LLG22 LBK15:LBK22 KRO15:KRO22 KHS15:KHS22 JXW15:JXW22 JOA15:JOA22 JEE15:JEE22 IUI15:IUI22 IKM15:IKM22 IAQ15:IAQ22 HQU15:HQU22 HGY15:HGY22 GXC15:GXC22 GNG15:GNG22 GDK15:GDK22 FTO15:FTO22 FJS15:FJS22 EZW15:EZW22 EQA15:EQA22 EGE15:EGE22 DWI15:DWI22 DMM15:DMM22 DCQ15:DCQ22 CSU15:CSU22 CIY15:CIY22 BZC15:BZC22 BPG15:BPG22 BFK15:BFK22 AVO15:AVO22 ALS15:ALS22 ABW15:ABW22" xr:uid="{00000000-0002-0000-0C00-000000000000}">
      <formula1>#REF!</formula1>
    </dataValidation>
    <dataValidation type="list" allowBlank="1" showInputMessage="1" showErrorMessage="1" sqref="C13" xr:uid="{00000000-0002-0000-0C00-000001000000}">
      <formula1>"SELECT MODEL,INTERNAL,EXTERNAL"</formula1>
    </dataValidation>
    <dataValidation type="list" allowBlank="1" showInputMessage="1" showErrorMessage="1" sqref="C25" xr:uid="{00000000-0002-0000-0C00-000002000000}">
      <formula1>"SELECT CONTROLS,SMARTEC, REMOTE TOUCH SCREEN"</formula1>
    </dataValidation>
  </dataValidations>
  <printOptions horizontalCentered="1"/>
  <pageMargins left="0.78740157480314965" right="0.35433070866141736" top="0.39370078740157483" bottom="0.39370078740157483" header="0.31496062992125984" footer="0.11811023622047245"/>
  <pageSetup paperSize="9" scale="49" orientation="portrait" r:id="rId1"/>
  <headerFooter alignWithMargins="0">
    <oddFooter>&amp;L&amp;Z&amp;F</oddFooter>
  </headerFooter>
  <drawing r:id="rId2"/>
  <legacyDrawing r:id="rId3"/>
  <oleObjects>
    <mc:AlternateContent xmlns:mc="http://schemas.openxmlformats.org/markup-compatibility/2006">
      <mc:Choice Requires="x14">
        <oleObject progId="Acrobat Document" shapeId="21505" r:id="rId4">
          <objectPr defaultSize="0" r:id="rId5">
            <anchor moveWithCells="1">
              <from>
                <xdr:col>20</xdr:col>
                <xdr:colOff>0</xdr:colOff>
                <xdr:row>8</xdr:row>
                <xdr:rowOff>0</xdr:rowOff>
              </from>
              <to>
                <xdr:col>33</xdr:col>
                <xdr:colOff>101600</xdr:colOff>
                <xdr:row>70</xdr:row>
                <xdr:rowOff>101600</xdr:rowOff>
              </to>
            </anchor>
          </objectPr>
        </oleObject>
      </mc:Choice>
      <mc:Fallback>
        <oleObject progId="Acrobat Document" shapeId="21505" r:id="rId4"/>
      </mc:Fallback>
    </mc:AlternateContent>
  </oleObjects>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C00-000003000000}">
          <x14:formula1>
            <xm:f>'Base Costs'!$AP$6:$AP$16</xm:f>
          </x14:formula1>
          <xm:sqref>C15</xm:sqref>
        </x14:dataValidation>
        <x14:dataValidation type="list" allowBlank="1" showInputMessage="1" showErrorMessage="1" xr:uid="{00000000-0002-0000-0C00-000004000000}">
          <x14:formula1>
            <xm:f>'Base Costs'!$AP$20:$AP$30</xm:f>
          </x14:formula1>
          <xm:sqref>C16</xm:sqref>
        </x14:dataValidation>
        <x14:dataValidation type="list" allowBlank="1" showInputMessage="1" showErrorMessage="1" xr:uid="{00000000-0002-0000-0C00-000005000000}">
          <x14:formula1>
            <xm:f>'Base Costs'!$AP$33:$AP$43</xm:f>
          </x14:formula1>
          <xm:sqref>C17</xm:sqref>
        </x14:dataValidation>
        <x14:dataValidation type="list" allowBlank="1" showInputMessage="1" showErrorMessage="1" xr:uid="{00000000-0002-0000-0C00-000006000000}">
          <x14:formula1>
            <xm:f>'Base Costs'!$AP$46:$AP$56</xm:f>
          </x14:formula1>
          <xm:sqref>C18</xm:sqref>
        </x14:dataValidation>
        <x14:dataValidation type="list" allowBlank="1" showInputMessage="1" showErrorMessage="1" xr:uid="{00000000-0002-0000-0C00-000007000000}">
          <x14:formula1>
            <xm:f>'Base Costs'!$AP$59:$AP$69</xm:f>
          </x14:formula1>
          <xm:sqref>C19</xm:sqref>
        </x14:dataValidation>
        <x14:dataValidation type="list" allowBlank="1" showInputMessage="1" showErrorMessage="1" xr:uid="{00000000-0002-0000-0C00-000008000000}">
          <x14:formula1>
            <xm:f>'Base Costs'!$AP$72:$AP$82</xm:f>
          </x14:formula1>
          <xm:sqref>C20</xm:sqref>
        </x14:dataValidation>
        <x14:dataValidation type="list" allowBlank="1" showInputMessage="1" showErrorMessage="1" xr:uid="{00000000-0002-0000-0C00-000009000000}">
          <x14:formula1>
            <xm:f>'Base Costs'!$AP$85:$AP$95</xm:f>
          </x14:formula1>
          <xm:sqref>C21</xm:sqref>
        </x14:dataValidation>
        <x14:dataValidation type="list" allowBlank="1" showInputMessage="1" showErrorMessage="1" xr:uid="{00000000-0002-0000-0C00-00000A000000}">
          <x14:formula1>
            <xm:f>'Base Costs'!$AP$98:$AP$108</xm:f>
          </x14:formula1>
          <xm:sqref>C22</xm:sqref>
        </x14:dataValidation>
        <x14:dataValidation type="list" allowBlank="1" showInputMessage="1" showErrorMessage="1" xr:uid="{00000000-0002-0000-0C00-00000B000000}">
          <x14:formula1>
            <xm:f>'Base Costs'!$A$4:$A$16</xm:f>
          </x14:formula1>
          <xm:sqref>D53</xm:sqref>
        </x14:dataValidation>
        <x14:dataValidation type="list" allowBlank="1" showInputMessage="1" showErrorMessage="1" xr:uid="{00000000-0002-0000-0C00-00000C000000}">
          <x14:formula1>
            <xm:f>'Base Costs'!$E$4:$E$213</xm:f>
          </x14:formula1>
          <xm:sqref>D52</xm:sqref>
        </x14:dataValidation>
        <x14:dataValidation type="list" allowBlank="1" showInputMessage="1" showErrorMessage="1" xr:uid="{00000000-0002-0000-0C00-00000D000000}">
          <x14:formula1>
            <xm:f>'/Users/yazan/Library/Containers/com.microsoft.Excel/Data/Documents/\\hflserver\users\Samuel.Antunes\Desktop\New  folder\COST SHEET\[Pollustop Cost Sheet.xlsx]Base Costs'!#REF!</xm:f>
          </x14:formula1>
          <xm:sqref>B9</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theme="8" tint="0.79998168889431442"/>
    <pageSetUpPr fitToPage="1"/>
  </sheetPr>
  <dimension ref="B1:AH204"/>
  <sheetViews>
    <sheetView zoomScale="80" zoomScaleNormal="80" workbookViewId="0">
      <selection activeCell="P12" sqref="P12"/>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9.1640625" style="55"/>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9.1640625" style="55"/>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9.1640625" style="55"/>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9.1640625" style="55"/>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9.1640625" style="55"/>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9.1640625" style="55"/>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9.1640625" style="55"/>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9.1640625" style="55"/>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9.1640625" style="55"/>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9.1640625" style="55"/>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9.1640625" style="55"/>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9.1640625" style="55"/>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9.1640625" style="55"/>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9.1640625" style="55"/>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9.1640625" style="55"/>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9.1640625" style="55"/>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9.1640625" style="55"/>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9.1640625" style="55"/>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9.1640625" style="55"/>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9.1640625" style="55"/>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9.1640625" style="55"/>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9.1640625" style="55"/>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9.1640625" style="55"/>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9.1640625" style="55"/>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9.1640625" style="55"/>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9.1640625" style="55"/>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9.1640625" style="55"/>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9.1640625" style="55"/>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9.1640625" style="55"/>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9.1640625" style="55"/>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9.1640625" style="55"/>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9.1640625" style="55"/>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9.1640625" style="55"/>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9.1640625" style="55"/>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9.1640625" style="55"/>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9.1640625" style="55"/>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9.1640625" style="55"/>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9.1640625" style="55"/>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9.1640625" style="55"/>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9.1640625" style="55"/>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9.1640625" style="55"/>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9.1640625" style="55"/>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9.1640625" style="55"/>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9.1640625" style="55"/>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9.1640625" style="55"/>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9.1640625" style="55"/>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9.1640625" style="55"/>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9.1640625" style="55"/>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9.1640625" style="55"/>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9.1640625" style="55"/>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9.1640625" style="55"/>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9.1640625" style="55"/>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9.1640625" style="55"/>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9.1640625" style="55"/>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9.1640625" style="55"/>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9.1640625" style="55"/>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9.1640625" style="55"/>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9.1640625" style="55"/>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9.1640625" style="55"/>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9.1640625" style="55"/>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9.1640625" style="55"/>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9.1640625" style="55"/>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9.1640625" style="55"/>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9.1640625" style="55"/>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9.1640625" style="55"/>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9.1640625" style="55"/>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9.1640625" style="55"/>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9.1640625" style="55"/>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9.1640625" style="55"/>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9.1640625" style="55"/>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9.1640625" style="55"/>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9.1640625" style="55"/>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9.1640625" style="55"/>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9.1640625" style="55"/>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9.1640625" style="55"/>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9.1640625" style="55"/>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9.1640625" style="55"/>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9.1640625" style="55"/>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9.1640625" style="55"/>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9.1640625" style="55"/>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9.1640625" style="55"/>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9.1640625" style="55"/>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9.1640625" style="55"/>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9.1640625" style="55"/>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9.1640625" style="55"/>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9.1640625" style="55"/>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9.1640625" style="55"/>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9.1640625" style="55"/>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9.1640625" style="55"/>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9.1640625" style="55"/>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9.1640625" style="55"/>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9.1640625" style="55"/>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9.1640625" style="55"/>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9.1640625" style="55"/>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9.1640625" style="55"/>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9.1640625" style="55"/>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9.1640625" style="55"/>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9.1640625" style="55"/>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9.1640625" style="55"/>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9.1640625" style="55"/>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9.1640625" style="55"/>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9.1640625" style="55"/>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9.1640625" style="55"/>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9.1640625" style="55"/>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9.1640625" style="55"/>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9.1640625" style="55"/>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9.1640625" style="55"/>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9.1640625" style="55"/>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9.1640625" style="55"/>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9.1640625" style="55"/>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9.1640625" style="55"/>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9.1640625" style="55"/>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9.1640625" style="55"/>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9.1640625" style="55"/>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9.1640625" style="55"/>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9.1640625" style="55"/>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9.1640625" style="55"/>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9.1640625" style="55"/>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9.1640625" style="55"/>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9.1640625" style="55"/>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9.1640625" style="55"/>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9.1640625" style="55"/>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9.1640625" style="55"/>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9.1640625" style="55"/>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9.1640625" style="55"/>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9.1640625" style="55"/>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9.1640625" style="55"/>
  </cols>
  <sheetData>
    <row r="1" spans="2:34" s="40" customFormat="1" ht="15" customHeight="1" x14ac:dyDescent="0.15">
      <c r="B1" s="1168" t="s">
        <v>1507</v>
      </c>
      <c r="C1" s="1168"/>
      <c r="D1" s="156"/>
      <c r="E1" s="157"/>
      <c r="F1" s="158"/>
      <c r="G1" s="356"/>
      <c r="H1" s="356"/>
      <c r="I1" s="357"/>
      <c r="J1" s="356"/>
      <c r="K1" s="356"/>
      <c r="L1" s="989" t="s">
        <v>1501</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733</v>
      </c>
      <c r="C3" s="1083" t="e">
        <f>IF(#REF!="","",#REF!)</f>
        <v>#REF!</v>
      </c>
      <c r="D3" s="1083"/>
      <c r="E3" s="165"/>
      <c r="F3" s="177" t="s">
        <v>78</v>
      </c>
      <c r="G3" s="1083" t="e">
        <f>IF(#REF!="","",#REF!)</f>
        <v>#REF!</v>
      </c>
      <c r="H3" s="1083"/>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75</v>
      </c>
      <c r="C5" s="1169" t="e">
        <f>IF(#REF!="","",#REF!)</f>
        <v>#REF!</v>
      </c>
      <c r="D5" s="1169"/>
      <c r="E5" s="173"/>
      <c r="F5" s="177" t="s">
        <v>77</v>
      </c>
      <c r="G5" s="1083" t="e">
        <f>IF(#REF!="","",#REF!)</f>
        <v>#REF!</v>
      </c>
      <c r="H5" s="1083"/>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734</v>
      </c>
      <c r="C7" s="1169" t="e">
        <f>IF(#REF!="","",#REF!)</f>
        <v>#REF!</v>
      </c>
      <c r="D7" s="1169"/>
      <c r="E7" s="180"/>
      <c r="F7" s="181" t="s">
        <v>76</v>
      </c>
      <c r="G7" s="1086" t="e">
        <f>IF(#REF!="","",#REF!)</f>
        <v>#REF!</v>
      </c>
      <c r="H7" s="1086"/>
      <c r="I7" s="51"/>
      <c r="J7" s="361"/>
      <c r="K7" s="361" t="s">
        <v>79</v>
      </c>
      <c r="L7" s="576" t="e">
        <f>IF(#REF!="","",#REF!)</f>
        <v>#REF!</v>
      </c>
      <c r="M7" s="1094" t="s">
        <v>1408</v>
      </c>
      <c r="N7" s="1094"/>
      <c r="O7" s="1094"/>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353</v>
      </c>
      <c r="C9" s="964">
        <v>0</v>
      </c>
      <c r="D9" s="377">
        <f>IF(C9=0,0,(SUBTOTAL(9,J15:J62)/(1-C9))-J9)</f>
        <v>0</v>
      </c>
      <c r="E9" s="155"/>
      <c r="F9" s="155"/>
      <c r="H9" s="25">
        <f>SUBTOTAL(9,H11:H62)</f>
        <v>1368</v>
      </c>
      <c r="I9" s="981">
        <f>IF(L9=0,"-",L9/J9)</f>
        <v>0.33</v>
      </c>
      <c r="J9" s="25">
        <f>SUBTOTAL(9,J11:J62)</f>
        <v>2041.7910447761196</v>
      </c>
      <c r="K9" s="464">
        <f>SUBTOTAL(9,K11:K62)</f>
        <v>2041.7910447761196</v>
      </c>
      <c r="L9" s="25">
        <f>SUBTOTAL(9,L11:L62)</f>
        <v>673.79104477611952</v>
      </c>
      <c r="S9" s="48"/>
      <c r="V9" s="48"/>
      <c r="Y9" s="48"/>
      <c r="AH9" s="48"/>
    </row>
    <row r="10" spans="2:34" s="40" customFormat="1" ht="15" customHeight="1" x14ac:dyDescent="0.15">
      <c r="B10" s="317" t="s">
        <v>353</v>
      </c>
      <c r="C10" s="317" t="s">
        <v>542</v>
      </c>
      <c r="D10" s="317" t="s">
        <v>541</v>
      </c>
      <c r="E10" s="2"/>
      <c r="F10" s="2"/>
      <c r="G10" s="1" t="s">
        <v>209</v>
      </c>
      <c r="H10" s="2" t="s">
        <v>34</v>
      </c>
      <c r="I10" s="3" t="s">
        <v>146</v>
      </c>
      <c r="J10" s="4" t="s">
        <v>132</v>
      </c>
      <c r="K10" s="4" t="s">
        <v>210</v>
      </c>
      <c r="L10" s="5" t="s">
        <v>211</v>
      </c>
      <c r="P10" s="587"/>
      <c r="S10" s="48"/>
      <c r="V10" s="48"/>
      <c r="Y10" s="48"/>
      <c r="AH10" s="48"/>
    </row>
    <row r="11" spans="2:34" ht="15" customHeight="1" x14ac:dyDescent="0.15">
      <c r="D11" s="55"/>
    </row>
    <row r="12" spans="2:34" ht="15" customHeight="1" x14ac:dyDescent="0.15">
      <c r="B12" s="56" t="s">
        <v>1455</v>
      </c>
      <c r="D12" s="55"/>
      <c r="E12" s="155"/>
      <c r="F12" s="155"/>
    </row>
    <row r="13" spans="2:34" ht="15" customHeight="1" x14ac:dyDescent="0.15">
      <c r="B13" s="492" t="s">
        <v>1456</v>
      </c>
      <c r="C13" s="38" t="s">
        <v>217</v>
      </c>
      <c r="D13" s="58"/>
      <c r="E13" s="390" t="s">
        <v>146</v>
      </c>
      <c r="F13" s="391">
        <v>0.4</v>
      </c>
      <c r="G13" s="61"/>
      <c r="H13" s="61">
        <f>SUBTOTAL(9,H15:H50)</f>
        <v>0</v>
      </c>
      <c r="I13" s="39" t="str">
        <f>IF(H13=0,"-",L13/J13)</f>
        <v>-</v>
      </c>
      <c r="J13" s="61">
        <f>SUBTOTAL(9,J15:J50)</f>
        <v>0</v>
      </c>
      <c r="K13" s="465">
        <f>SUBTOTAL(9,K15:K50)</f>
        <v>0</v>
      </c>
      <c r="L13" s="61">
        <f>SUBTOTAL(9,L15:L50)</f>
        <v>0</v>
      </c>
    </row>
    <row r="14" spans="2:34" ht="15" customHeight="1" x14ac:dyDescent="0.15">
      <c r="B14" s="35" t="s">
        <v>0</v>
      </c>
      <c r="C14" s="54" t="s">
        <v>1</v>
      </c>
      <c r="D14" s="54" t="s">
        <v>2</v>
      </c>
      <c r="E14" s="246"/>
      <c r="F14" s="247"/>
      <c r="G14" s="248"/>
      <c r="H14" s="248"/>
      <c r="I14" s="249"/>
      <c r="J14" s="248"/>
      <c r="K14" s="248"/>
      <c r="L14" s="248"/>
    </row>
    <row r="15" spans="2:34"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4" ht="15" customHeight="1" x14ac:dyDescent="0.15">
      <c r="B16" s="269" t="s">
        <v>94</v>
      </c>
      <c r="C16" s="84" t="s">
        <v>80</v>
      </c>
      <c r="D16" s="87"/>
      <c r="E16" s="82"/>
      <c r="F16" s="82"/>
      <c r="G16" s="380">
        <f>IF(C13="external",VLOOKUP(C16,'Base Costs'!$AP$20:$AR$30,2,FALSE),VLOOKUP(C16,'Base Costs'!$AP$20:$AR$30,3,FALSE))</f>
        <v>0</v>
      </c>
      <c r="H16" s="378">
        <f t="shared" si="0"/>
        <v>0</v>
      </c>
      <c r="I16" s="463">
        <v>0.44</v>
      </c>
      <c r="J16" s="311">
        <f t="shared" ref="J16:J50" si="1">H16/(1-I16)*(1+$C$9)</f>
        <v>0</v>
      </c>
      <c r="K16" s="378">
        <f>J16*VLOOKUP($B$9,'Base Costs'!$A$32:$B$37,2,FALSE)</f>
        <v>0</v>
      </c>
      <c r="L16" s="379">
        <f t="shared" ref="L16:L37" si="2">K16-H16</f>
        <v>0</v>
      </c>
    </row>
    <row r="17" spans="2:13" ht="15" customHeight="1" x14ac:dyDescent="0.15">
      <c r="B17" s="269" t="s">
        <v>95</v>
      </c>
      <c r="C17" s="84" t="s">
        <v>80</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31</v>
      </c>
      <c r="C18" s="84" t="s">
        <v>80</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92</v>
      </c>
      <c r="C19" s="84" t="s">
        <v>80</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30</v>
      </c>
      <c r="C20" s="84" t="s">
        <v>80</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879</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1131</v>
      </c>
      <c r="C23" s="84" t="s">
        <v>80</v>
      </c>
      <c r="D23" s="87"/>
      <c r="E23" s="83"/>
      <c r="F23" s="83"/>
      <c r="G23" s="380">
        <f>IF(C14="external",VLOOKUP(C23,'Base Costs'!$AP$111:$AR$121,2,FALSE),VLOOKUP(C23,'Base Costs'!$AP$111:$AR$121,3,FALSE))</f>
        <v>0</v>
      </c>
      <c r="H23" s="378">
        <f t="shared" ref="H23" si="3">D23*G23</f>
        <v>0</v>
      </c>
      <c r="I23" s="463">
        <v>0.44</v>
      </c>
      <c r="J23" s="311">
        <f t="shared" ref="J23" si="4">H23/(1-I23)*(1+$C$9)</f>
        <v>0</v>
      </c>
      <c r="K23" s="378">
        <f>J23*VLOOKUP($B$9,'Base Costs'!$A$32:$B$37,2,FALSE)</f>
        <v>0</v>
      </c>
      <c r="L23" s="379">
        <f t="shared" ref="L23" si="5">K23-H23</f>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92" t="s">
        <v>1406</v>
      </c>
      <c r="C25" s="1032"/>
      <c r="D25" s="1033"/>
      <c r="E25" s="1034"/>
      <c r="F25" s="1034"/>
      <c r="G25" s="1036">
        <v>50</v>
      </c>
      <c r="H25" s="1010">
        <f t="shared" ref="H25" si="6">D25*G25</f>
        <v>0</v>
      </c>
      <c r="I25" s="1035">
        <v>0.44</v>
      </c>
      <c r="J25" s="1012">
        <f t="shared" ref="J25" si="7">H25/(1-I25)*(1+$C$9)</f>
        <v>0</v>
      </c>
      <c r="K25" s="1010">
        <f>J25*VLOOKUP($B$9,'Base Costs'!$A$32:$B$37,2,FALSE)</f>
        <v>0</v>
      </c>
      <c r="L25" s="1013">
        <f t="shared" ref="L25" si="8">K25-H25</f>
        <v>0</v>
      </c>
      <c r="M25" s="1037" t="s">
        <v>1398</v>
      </c>
    </row>
    <row r="26" spans="2:13" s="63" customFormat="1" ht="15" customHeight="1" x14ac:dyDescent="0.15">
      <c r="B26" s="269" t="s">
        <v>33</v>
      </c>
      <c r="C26" s="90"/>
      <c r="D26" s="87"/>
      <c r="E26" s="73"/>
      <c r="F26" s="73"/>
      <c r="G26" s="380"/>
      <c r="H26" s="378">
        <f t="shared" ref="H26:H30" si="9">D26*G26</f>
        <v>0</v>
      </c>
      <c r="I26" s="463">
        <v>0.44</v>
      </c>
      <c r="J26" s="311">
        <f t="shared" si="1"/>
        <v>0</v>
      </c>
      <c r="K26" s="378">
        <f>J26*VLOOKUP($B$9,'Base Costs'!$A$32:$B$37,2,FALSE)</f>
        <v>0</v>
      </c>
      <c r="L26" s="379">
        <f t="shared" si="2"/>
        <v>0</v>
      </c>
    </row>
    <row r="27" spans="2:13" s="63" customFormat="1" ht="15" customHeight="1" x14ac:dyDescent="0.15">
      <c r="B27" s="269"/>
      <c r="C27" s="92"/>
      <c r="D27" s="93">
        <v>0</v>
      </c>
      <c r="E27" s="473"/>
      <c r="F27" s="73"/>
      <c r="G27" s="380"/>
      <c r="H27" s="378">
        <f t="shared" si="9"/>
        <v>0</v>
      </c>
      <c r="I27" s="463">
        <v>0.44</v>
      </c>
      <c r="J27" s="311">
        <f t="shared" si="1"/>
        <v>0</v>
      </c>
      <c r="K27" s="378">
        <f>J27*VLOOKUP($B$9,'Base Costs'!$A$32:$B$37,2,FALSE)</f>
        <v>0</v>
      </c>
      <c r="L27" s="379">
        <f t="shared" si="2"/>
        <v>0</v>
      </c>
    </row>
    <row r="28" spans="2:13" s="63" customFormat="1" ht="15" customHeight="1" x14ac:dyDescent="0.15">
      <c r="B28" s="269" t="s">
        <v>811</v>
      </c>
      <c r="C28" s="474" t="s">
        <v>810</v>
      </c>
      <c r="D28" s="475"/>
      <c r="E28" s="83" t="s">
        <v>812</v>
      </c>
      <c r="F28" s="83"/>
      <c r="G28" s="380">
        <v>103</v>
      </c>
      <c r="H28" s="378">
        <f t="shared" si="9"/>
        <v>0</v>
      </c>
      <c r="I28" s="463">
        <v>0.44</v>
      </c>
      <c r="J28" s="311">
        <f t="shared" si="1"/>
        <v>0</v>
      </c>
      <c r="K28" s="378">
        <f>J28*VLOOKUP($B$9,'Base Costs'!$A$32:$B$37,2,FALSE)</f>
        <v>0</v>
      </c>
      <c r="L28" s="379">
        <f t="shared" si="2"/>
        <v>0</v>
      </c>
    </row>
    <row r="29" spans="2:13" s="63" customFormat="1" ht="15" customHeight="1" x14ac:dyDescent="0.15">
      <c r="B29" s="269" t="s">
        <v>811</v>
      </c>
      <c r="C29" s="476" t="s">
        <v>809</v>
      </c>
      <c r="D29" s="475"/>
      <c r="E29" s="83" t="s">
        <v>812</v>
      </c>
      <c r="F29" s="83"/>
      <c r="G29" s="380">
        <v>135</v>
      </c>
      <c r="H29" s="378">
        <f t="shared" si="9"/>
        <v>0</v>
      </c>
      <c r="I29" s="463">
        <v>0.44</v>
      </c>
      <c r="J29" s="311">
        <f t="shared" si="1"/>
        <v>0</v>
      </c>
      <c r="K29" s="378">
        <f>J29*VLOOKUP($B$9,'Base Costs'!$A$32:$B$37,2,FALSE)</f>
        <v>0</v>
      </c>
      <c r="L29" s="379">
        <f t="shared" si="2"/>
        <v>0</v>
      </c>
    </row>
    <row r="30" spans="2:13" s="63" customFormat="1" ht="15" customHeight="1" x14ac:dyDescent="0.15">
      <c r="B30" s="269"/>
      <c r="C30" s="81"/>
      <c r="D30" s="91">
        <v>0</v>
      </c>
      <c r="E30" s="83"/>
      <c r="F30" s="83"/>
      <c r="G30" s="380"/>
      <c r="H30" s="378">
        <f t="shared" si="9"/>
        <v>0</v>
      </c>
      <c r="I30" s="463">
        <v>0.44</v>
      </c>
      <c r="J30" s="311">
        <f t="shared" si="1"/>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1"/>
        <v>0</v>
      </c>
      <c r="K31" s="378">
        <f>J31*VLOOKUP($B$9,'Base Costs'!$A$32:$B$37,2,FALSE)</f>
        <v>0</v>
      </c>
      <c r="L31" s="379">
        <f t="shared" si="2"/>
        <v>0</v>
      </c>
    </row>
    <row r="32" spans="2:13" s="63" customFormat="1" ht="15" hidden="1" customHeight="1" x14ac:dyDescent="0.15">
      <c r="B32" s="308" t="s">
        <v>604</v>
      </c>
      <c r="C32" s="459"/>
      <c r="D32" s="87">
        <v>1</v>
      </c>
      <c r="E32" s="83"/>
      <c r="F32" s="83"/>
      <c r="G32" s="380">
        <f>C32</f>
        <v>0</v>
      </c>
      <c r="H32" s="378">
        <f>D32*G32</f>
        <v>0</v>
      </c>
      <c r="I32" s="463">
        <v>0.44</v>
      </c>
      <c r="J32" s="311">
        <f t="shared" si="1"/>
        <v>0</v>
      </c>
      <c r="K32" s="378">
        <f>J32*VLOOKUP($B$9,'Base Costs'!$A$32:$B$37,2,FALSE)</f>
        <v>0</v>
      </c>
      <c r="L32" s="379">
        <f t="shared" si="2"/>
        <v>0</v>
      </c>
    </row>
    <row r="33" spans="2:20" s="63" customFormat="1" ht="15" hidden="1" customHeight="1" x14ac:dyDescent="0.15">
      <c r="B33" s="308" t="s">
        <v>605</v>
      </c>
      <c r="C33" s="459"/>
      <c r="D33" s="477">
        <v>1</v>
      </c>
      <c r="E33" s="83"/>
      <c r="F33" s="83"/>
      <c r="G33" s="380">
        <f>C33</f>
        <v>0</v>
      </c>
      <c r="H33" s="378">
        <f>D33*G33</f>
        <v>0</v>
      </c>
      <c r="I33" s="463">
        <v>0.44</v>
      </c>
      <c r="J33" s="311">
        <f t="shared" si="1"/>
        <v>0</v>
      </c>
      <c r="K33" s="378">
        <f>J33*VLOOKUP($B$9,'Base Costs'!$A$32:$B$37,2,FALSE)</f>
        <v>0</v>
      </c>
      <c r="L33" s="379">
        <f t="shared" si="2"/>
        <v>0</v>
      </c>
    </row>
    <row r="34" spans="2:20" s="63" customFormat="1" ht="15" customHeight="1" x14ac:dyDescent="0.15">
      <c r="B34" s="476" t="s">
        <v>628</v>
      </c>
      <c r="C34" s="478" t="s">
        <v>629</v>
      </c>
      <c r="D34" s="478"/>
      <c r="E34" s="476"/>
      <c r="F34" s="478"/>
      <c r="G34" s="380">
        <f>SUM(H15:H23)*0.25</f>
        <v>0</v>
      </c>
      <c r="H34" s="378">
        <f>D34*G34</f>
        <v>0</v>
      </c>
      <c r="I34" s="463">
        <v>0.44</v>
      </c>
      <c r="J34" s="311">
        <f t="shared" si="1"/>
        <v>0</v>
      </c>
      <c r="K34" s="378">
        <f>J34*VLOOKUP($B$9,'Base Costs'!$A$32:$B$37,2,FALSE)</f>
        <v>0</v>
      </c>
      <c r="L34" s="379">
        <f t="shared" si="2"/>
        <v>0</v>
      </c>
    </row>
    <row r="35" spans="2:20" s="63" customFormat="1" ht="15" customHeight="1" x14ac:dyDescent="0.15">
      <c r="B35" s="476" t="s">
        <v>630</v>
      </c>
      <c r="C35" s="478"/>
      <c r="D35" s="478"/>
      <c r="E35" s="476"/>
      <c r="F35" s="478"/>
      <c r="G35" s="380">
        <v>107</v>
      </c>
      <c r="H35" s="378">
        <f>D35*G35</f>
        <v>0</v>
      </c>
      <c r="I35" s="463">
        <v>0.44</v>
      </c>
      <c r="J35" s="311">
        <f t="shared" si="1"/>
        <v>0</v>
      </c>
      <c r="K35" s="378">
        <f>J35*VLOOKUP($B$9,'Base Costs'!$A$32:$B$37,2,FALSE)</f>
        <v>0</v>
      </c>
      <c r="L35" s="379">
        <f t="shared" si="2"/>
        <v>0</v>
      </c>
    </row>
    <row r="36" spans="2:20" s="63" customFormat="1" ht="15" customHeight="1" x14ac:dyDescent="0.15">
      <c r="B36" s="476" t="s">
        <v>632</v>
      </c>
      <c r="C36" s="478"/>
      <c r="D36" s="478"/>
      <c r="E36" s="476"/>
      <c r="F36" s="478"/>
      <c r="G36" s="380">
        <v>30</v>
      </c>
      <c r="H36" s="378">
        <f>D36*G36</f>
        <v>0</v>
      </c>
      <c r="I36" s="463">
        <v>0.44</v>
      </c>
      <c r="J36" s="311">
        <f t="shared" si="1"/>
        <v>0</v>
      </c>
      <c r="K36" s="378">
        <f>J36*VLOOKUP($B$9,'Base Costs'!$A$32:$B$37,2,FALSE)</f>
        <v>0</v>
      </c>
      <c r="L36" s="379">
        <f t="shared" si="2"/>
        <v>0</v>
      </c>
    </row>
    <row r="37" spans="2:20" s="63" customFormat="1" ht="15" customHeight="1" x14ac:dyDescent="0.15">
      <c r="B37" s="476" t="s">
        <v>169</v>
      </c>
      <c r="C37" s="476"/>
      <c r="D37" s="478"/>
      <c r="E37" s="476"/>
      <c r="F37" s="478" t="s">
        <v>631</v>
      </c>
      <c r="G37" s="380">
        <v>0</v>
      </c>
      <c r="H37" s="378">
        <f t="shared" ref="H37" si="10">D37*G37</f>
        <v>0</v>
      </c>
      <c r="I37" s="463">
        <v>0.44</v>
      </c>
      <c r="J37" s="311">
        <f t="shared" si="1"/>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957</v>
      </c>
      <c r="C39" s="476" t="s">
        <v>956</v>
      </c>
      <c r="D39" s="480"/>
      <c r="E39" s="481"/>
      <c r="F39" s="802" t="s">
        <v>857</v>
      </c>
      <c r="G39" s="804">
        <v>1551</v>
      </c>
      <c r="H39" s="378">
        <f t="shared" ref="H39:H50" si="11">D39*G39</f>
        <v>0</v>
      </c>
      <c r="I39" s="463">
        <v>0.35</v>
      </c>
      <c r="J39" s="311">
        <f t="shared" si="1"/>
        <v>0</v>
      </c>
      <c r="K39" s="378">
        <f>J39*VLOOKUP($B$9,'Base Costs'!$A$32:$B$37,2,FALSE)</f>
        <v>0</v>
      </c>
      <c r="L39" s="379">
        <f t="shared" ref="L39:L50" si="12">K39-H39</f>
        <v>0</v>
      </c>
    </row>
    <row r="40" spans="2:20" s="63" customFormat="1" ht="15" customHeight="1" x14ac:dyDescent="0.15">
      <c r="B40" s="476" t="s">
        <v>988</v>
      </c>
      <c r="C40" s="476"/>
      <c r="D40" s="482"/>
      <c r="E40" s="483"/>
      <c r="F40" s="802" t="s">
        <v>857</v>
      </c>
      <c r="G40" s="804">
        <v>582</v>
      </c>
      <c r="H40" s="378">
        <f t="shared" si="11"/>
        <v>0</v>
      </c>
      <c r="I40" s="463">
        <v>0.35</v>
      </c>
      <c r="J40" s="311">
        <f t="shared" si="1"/>
        <v>0</v>
      </c>
      <c r="K40" s="378">
        <f>J40*VLOOKUP($B$9,'Base Costs'!$A$32:$B$37,2,FALSE)</f>
        <v>0</v>
      </c>
      <c r="L40" s="379">
        <f t="shared" si="12"/>
        <v>0</v>
      </c>
    </row>
    <row r="41" spans="2:20" s="63" customFormat="1" ht="15" customHeight="1" x14ac:dyDescent="0.15">
      <c r="B41" s="476"/>
      <c r="C41" s="476"/>
      <c r="D41" s="484"/>
      <c r="E41" s="483"/>
      <c r="F41" s="939"/>
      <c r="G41" s="805"/>
      <c r="H41" s="378">
        <f t="shared" si="11"/>
        <v>0</v>
      </c>
      <c r="I41" s="463">
        <v>0</v>
      </c>
      <c r="J41" s="311">
        <f t="shared" si="1"/>
        <v>0</v>
      </c>
      <c r="K41" s="378">
        <f>J41*VLOOKUP($B$9,'Base Costs'!$A$32:$B$37,2,FALSE)</f>
        <v>0</v>
      </c>
      <c r="L41" s="379">
        <f t="shared" si="12"/>
        <v>0</v>
      </c>
      <c r="O41" s="879"/>
      <c r="T41" s="485"/>
    </row>
    <row r="42" spans="2:20" s="63" customFormat="1" ht="15" customHeight="1" x14ac:dyDescent="0.15">
      <c r="B42" s="476"/>
      <c r="C42" s="476"/>
      <c r="D42" s="484"/>
      <c r="E42" s="483"/>
      <c r="F42" s="939"/>
      <c r="G42" s="805"/>
      <c r="H42" s="378">
        <f t="shared" si="11"/>
        <v>0</v>
      </c>
      <c r="I42" s="463">
        <v>0</v>
      </c>
      <c r="J42" s="311">
        <f t="shared" si="1"/>
        <v>0</v>
      </c>
      <c r="K42" s="378">
        <f>J42*VLOOKUP($B$9,'Base Costs'!$A$32:$B$37,2,FALSE)</f>
        <v>0</v>
      </c>
      <c r="L42" s="379">
        <f t="shared" si="12"/>
        <v>0</v>
      </c>
    </row>
    <row r="43" spans="2:20" s="63" customFormat="1" ht="15" customHeight="1" x14ac:dyDescent="0.15">
      <c r="B43" s="476"/>
      <c r="C43" s="476"/>
      <c r="D43" s="484"/>
      <c r="E43" s="483"/>
      <c r="F43" s="939" t="s">
        <v>1071</v>
      </c>
      <c r="G43" s="488">
        <v>300</v>
      </c>
      <c r="H43" s="378">
        <f t="shared" si="11"/>
        <v>0</v>
      </c>
      <c r="I43" s="463">
        <v>0</v>
      </c>
      <c r="J43" s="311">
        <f t="shared" si="1"/>
        <v>0</v>
      </c>
      <c r="K43" s="378">
        <f>J43*VLOOKUP($B$9,'Base Costs'!$A$32:$B$37,2,FALSE)</f>
        <v>0</v>
      </c>
      <c r="L43" s="379">
        <f t="shared" si="12"/>
        <v>0</v>
      </c>
    </row>
    <row r="44" spans="2:20" s="63" customFormat="1" ht="15" customHeight="1" x14ac:dyDescent="0.15">
      <c r="B44" s="476" t="s">
        <v>1344</v>
      </c>
      <c r="C44" s="476" t="s">
        <v>1341</v>
      </c>
      <c r="D44" s="486"/>
      <c r="E44" s="487"/>
      <c r="F44" s="802"/>
      <c r="G44" s="800">
        <v>100</v>
      </c>
      <c r="H44" s="378">
        <f t="shared" si="11"/>
        <v>0</v>
      </c>
      <c r="I44" s="463">
        <v>0.35</v>
      </c>
      <c r="J44" s="311">
        <f t="shared" si="1"/>
        <v>0</v>
      </c>
      <c r="K44" s="378">
        <f>J44*VLOOKUP($B$9,'Base Costs'!$A$32:$B$37,2,FALSE)</f>
        <v>0</v>
      </c>
      <c r="L44" s="379">
        <f t="shared" si="12"/>
        <v>0</v>
      </c>
    </row>
    <row r="45" spans="2:20" s="63" customFormat="1" ht="15" customHeight="1" x14ac:dyDescent="0.15">
      <c r="B45" s="476" t="s">
        <v>1345</v>
      </c>
      <c r="C45" s="933" t="s">
        <v>1346</v>
      </c>
      <c r="D45" s="482"/>
      <c r="E45" s="483"/>
      <c r="F45" s="939" t="s">
        <v>1071</v>
      </c>
      <c r="G45" s="488">
        <v>100</v>
      </c>
      <c r="H45" s="489">
        <f t="shared" si="11"/>
        <v>0</v>
      </c>
      <c r="I45" s="463">
        <v>0.35</v>
      </c>
      <c r="J45" s="311">
        <f t="shared" si="1"/>
        <v>0</v>
      </c>
      <c r="K45" s="378">
        <f>J45*VLOOKUP($B$9,'Base Costs'!$A$32:$B$37,2,FALSE)</f>
        <v>0</v>
      </c>
      <c r="L45" s="379">
        <f t="shared" si="12"/>
        <v>0</v>
      </c>
    </row>
    <row r="46" spans="2:20" s="63" customFormat="1" ht="15" customHeight="1" x14ac:dyDescent="0.15">
      <c r="B46" s="801"/>
      <c r="C46" s="476"/>
      <c r="D46" s="482"/>
      <c r="E46" s="483"/>
      <c r="F46" s="802"/>
      <c r="G46" s="488"/>
      <c r="H46" s="489">
        <f t="shared" si="11"/>
        <v>0</v>
      </c>
      <c r="I46" s="463">
        <v>0.35</v>
      </c>
      <c r="J46" s="311">
        <f t="shared" si="1"/>
        <v>0</v>
      </c>
      <c r="K46" s="378">
        <f>J46*VLOOKUP($B$9,'Base Costs'!$A$32:$B$37,2,FALSE)</f>
        <v>0</v>
      </c>
      <c r="L46" s="379">
        <f t="shared" si="12"/>
        <v>0</v>
      </c>
    </row>
    <row r="47" spans="2:20" s="63" customFormat="1" ht="15" customHeight="1" x14ac:dyDescent="0.15">
      <c r="B47" s="801" t="s">
        <v>856</v>
      </c>
      <c r="C47" s="476"/>
      <c r="D47" s="482"/>
      <c r="E47" s="483"/>
      <c r="F47" s="802"/>
      <c r="G47" s="488">
        <v>110</v>
      </c>
      <c r="H47" s="489">
        <f t="shared" si="11"/>
        <v>0</v>
      </c>
      <c r="I47" s="463">
        <v>0.35</v>
      </c>
      <c r="J47" s="311">
        <f t="shared" si="1"/>
        <v>0</v>
      </c>
      <c r="K47" s="378">
        <f>J47*VLOOKUP($B$9,'Base Costs'!$A$32:$B$37,2,FALSE)</f>
        <v>0</v>
      </c>
      <c r="L47" s="379">
        <f t="shared" si="12"/>
        <v>0</v>
      </c>
    </row>
    <row r="48" spans="2:20" s="63" customFormat="1" ht="15" customHeight="1" x14ac:dyDescent="0.15">
      <c r="B48" s="476"/>
      <c r="C48" s="476"/>
      <c r="D48" s="482"/>
      <c r="E48" s="483"/>
      <c r="F48" s="802"/>
      <c r="G48" s="488"/>
      <c r="H48" s="489">
        <f t="shared" si="11"/>
        <v>0</v>
      </c>
      <c r="I48" s="463">
        <v>0.35</v>
      </c>
      <c r="J48" s="311">
        <f t="shared" si="1"/>
        <v>0</v>
      </c>
      <c r="K48" s="378">
        <f>J48*VLOOKUP($B$9,'Base Costs'!$A$32:$B$37,2,FALSE)</f>
        <v>0</v>
      </c>
      <c r="L48" s="379">
        <f t="shared" si="12"/>
        <v>0</v>
      </c>
    </row>
    <row r="49" spans="2:13" s="63" customFormat="1" ht="15" customHeight="1" x14ac:dyDescent="0.15">
      <c r="B49" s="799"/>
      <c r="C49" s="476"/>
      <c r="D49" s="482"/>
      <c r="E49" s="483"/>
      <c r="F49" s="483"/>
      <c r="G49" s="488"/>
      <c r="H49" s="489">
        <f t="shared" si="11"/>
        <v>0</v>
      </c>
      <c r="I49" s="463">
        <v>0.35</v>
      </c>
      <c r="J49" s="311">
        <f t="shared" si="1"/>
        <v>0</v>
      </c>
      <c r="K49" s="378">
        <f>J49*VLOOKUP($B$9,'Base Costs'!$A$32:$B$37,2,FALSE)</f>
        <v>0</v>
      </c>
      <c r="L49" s="379">
        <f t="shared" si="12"/>
        <v>0</v>
      </c>
    </row>
    <row r="50" spans="2:13" s="63" customFormat="1" ht="15" customHeight="1" x14ac:dyDescent="0.15">
      <c r="B50" s="799"/>
      <c r="C50" s="476"/>
      <c r="D50" s="482"/>
      <c r="E50" s="483"/>
      <c r="F50" s="483"/>
      <c r="G50" s="488"/>
      <c r="H50" s="489">
        <f t="shared" si="11"/>
        <v>0</v>
      </c>
      <c r="I50" s="463">
        <v>0.35</v>
      </c>
      <c r="J50" s="311">
        <f t="shared" si="1"/>
        <v>0</v>
      </c>
      <c r="K50" s="378">
        <f>J50*VLOOKUP($B$9,'Base Costs'!$A$32:$B$37,2,FALSE)</f>
        <v>0</v>
      </c>
      <c r="L50" s="379">
        <f t="shared" si="12"/>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51</v>
      </c>
      <c r="C52" s="85"/>
      <c r="D52" s="86"/>
      <c r="E52" s="85"/>
      <c r="F52" s="85"/>
      <c r="G52" s="61"/>
      <c r="H52" s="154">
        <f>SUBTOTAL(9,H53:H62)</f>
        <v>1368</v>
      </c>
      <c r="I52" s="15">
        <f>IF(H52=0,"-",L52/J52)</f>
        <v>0.33</v>
      </c>
      <c r="J52" s="154">
        <f>SUBTOTAL(9,J53:J63)</f>
        <v>2041.7910447761196</v>
      </c>
      <c r="K52" s="466">
        <f>SUBTOTAL(9,K53:K62)</f>
        <v>2041.7910447761196</v>
      </c>
      <c r="L52" s="154">
        <f>SUBTOTAL(9,L53:L62)</f>
        <v>673.79104477611952</v>
      </c>
    </row>
    <row r="53" spans="2:13" s="63" customFormat="1" ht="15" customHeight="1" x14ac:dyDescent="0.15">
      <c r="B53" s="308" t="s">
        <v>10</v>
      </c>
      <c r="C53" s="95"/>
      <c r="D53" s="289" t="s">
        <v>48</v>
      </c>
      <c r="E53" s="1180" t="s">
        <v>762</v>
      </c>
      <c r="F53" s="1181"/>
      <c r="G53" s="380">
        <v>750</v>
      </c>
      <c r="H53" s="378">
        <f t="shared" ref="H53:H62" si="13">C53*G53</f>
        <v>0</v>
      </c>
      <c r="I53" s="491">
        <v>0.33</v>
      </c>
      <c r="J53" s="311">
        <f t="shared" ref="J53:J62" si="14">H53/(1-I53)*(1+$C$9)</f>
        <v>0</v>
      </c>
      <c r="K53" s="378">
        <f>J53*VLOOKUP($B$9,'Base Costs'!$A$32:$B$37,2,FALSE)</f>
        <v>0</v>
      </c>
      <c r="L53" s="379">
        <f t="shared" ref="L53:L60" si="15">J53-H53</f>
        <v>0</v>
      </c>
    </row>
    <row r="54" spans="2:13" s="63" customFormat="1" ht="15" customHeight="1" x14ac:dyDescent="0.15">
      <c r="B54" s="308" t="s">
        <v>36</v>
      </c>
      <c r="C54" s="95"/>
      <c r="D54" s="289" t="s">
        <v>189</v>
      </c>
      <c r="E54" s="73"/>
      <c r="F54" s="73"/>
      <c r="G54" s="380">
        <v>250</v>
      </c>
      <c r="H54" s="378">
        <f t="shared" si="13"/>
        <v>0</v>
      </c>
      <c r="I54" s="491">
        <v>0.33</v>
      </c>
      <c r="J54" s="311">
        <f t="shared" si="14"/>
        <v>0</v>
      </c>
      <c r="K54" s="378">
        <f>J54*VLOOKUP($B$9,'Base Costs'!$A$32:$B$37,2,FALSE)</f>
        <v>0</v>
      </c>
      <c r="L54" s="379">
        <f t="shared" si="15"/>
        <v>0</v>
      </c>
    </row>
    <row r="55" spans="2:13" s="63" customFormat="1" ht="15" customHeight="1" x14ac:dyDescent="0.15">
      <c r="B55" s="1027" t="s">
        <v>1401</v>
      </c>
      <c r="C55" s="1028">
        <v>1</v>
      </c>
      <c r="D55" s="1029" t="s">
        <v>1402</v>
      </c>
      <c r="E55" s="1030"/>
      <c r="F55" s="1030"/>
      <c r="G55" s="1009">
        <v>160</v>
      </c>
      <c r="H55" s="1010">
        <f t="shared" si="13"/>
        <v>160</v>
      </c>
      <c r="I55" s="1031">
        <v>0.33</v>
      </c>
      <c r="J55" s="1012">
        <f t="shared" si="14"/>
        <v>238.80597014925377</v>
      </c>
      <c r="K55" s="1010">
        <f>J55*VLOOKUP($B$9,'Base Costs'!$A$32:$B$37,2,FALSE)</f>
        <v>238.80597014925377</v>
      </c>
      <c r="L55" s="1013">
        <f t="shared" si="15"/>
        <v>78.805970149253767</v>
      </c>
      <c r="M55" s="1038" t="s">
        <v>1398</v>
      </c>
    </row>
    <row r="56" spans="2:13" s="63" customFormat="1" ht="15" customHeight="1" x14ac:dyDescent="0.15">
      <c r="B56" s="28" t="s">
        <v>140</v>
      </c>
      <c r="C56" s="95"/>
      <c r="D56" s="28" t="s">
        <v>362</v>
      </c>
      <c r="E56" s="73"/>
      <c r="F56" s="73"/>
      <c r="G56" s="380">
        <v>610</v>
      </c>
      <c r="H56" s="378">
        <f t="shared" si="13"/>
        <v>0</v>
      </c>
      <c r="I56" s="491">
        <v>0.4</v>
      </c>
      <c r="J56" s="311">
        <f t="shared" si="14"/>
        <v>0</v>
      </c>
      <c r="K56" s="378">
        <f>J56*VLOOKUP($B$9,'Base Costs'!$A$32:$B$37,2,FALSE)</f>
        <v>0</v>
      </c>
      <c r="L56" s="379">
        <f t="shared" si="15"/>
        <v>0</v>
      </c>
    </row>
    <row r="57" spans="2:13" s="63" customFormat="1" ht="15" customHeight="1" x14ac:dyDescent="0.15">
      <c r="B57" s="28" t="s">
        <v>141</v>
      </c>
      <c r="C57" s="95"/>
      <c r="D57" s="28" t="s">
        <v>362</v>
      </c>
      <c r="E57" s="73"/>
      <c r="F57" s="73"/>
      <c r="G57" s="380">
        <v>1220</v>
      </c>
      <c r="H57" s="378">
        <f t="shared" si="13"/>
        <v>0</v>
      </c>
      <c r="I57" s="491">
        <v>0.4</v>
      </c>
      <c r="J57" s="311">
        <f t="shared" si="14"/>
        <v>0</v>
      </c>
      <c r="K57" s="378">
        <f>J57*VLOOKUP($B$9,'Base Costs'!$A$32:$B$37,2,FALSE)</f>
        <v>0</v>
      </c>
      <c r="L57" s="379">
        <f t="shared" si="15"/>
        <v>0</v>
      </c>
    </row>
    <row r="58" spans="2:13" s="63" customFormat="1" ht="15" customHeight="1" x14ac:dyDescent="0.15">
      <c r="B58" s="28" t="s">
        <v>139</v>
      </c>
      <c r="C58" s="95"/>
      <c r="D58" s="28" t="s">
        <v>144</v>
      </c>
      <c r="E58" s="73"/>
      <c r="F58" s="73"/>
      <c r="G58" s="380">
        <v>220</v>
      </c>
      <c r="H58" s="378">
        <f t="shared" si="13"/>
        <v>0</v>
      </c>
      <c r="I58" s="491">
        <v>0.33</v>
      </c>
      <c r="J58" s="311">
        <f t="shared" si="14"/>
        <v>0</v>
      </c>
      <c r="K58" s="378">
        <f>J58*VLOOKUP($B$9,'Base Costs'!$A$32:$B$37,2,FALSE)</f>
        <v>0</v>
      </c>
      <c r="L58" s="379">
        <f t="shared" si="15"/>
        <v>0</v>
      </c>
    </row>
    <row r="59" spans="2:13" s="63" customFormat="1" ht="15" customHeight="1" x14ac:dyDescent="0.15">
      <c r="B59" s="308" t="s">
        <v>544</v>
      </c>
      <c r="C59" s="95"/>
      <c r="D59" s="28" t="s">
        <v>144</v>
      </c>
      <c r="E59" s="73"/>
      <c r="F59" s="73"/>
      <c r="G59" s="380">
        <v>150</v>
      </c>
      <c r="H59" s="378">
        <f t="shared" si="13"/>
        <v>0</v>
      </c>
      <c r="I59" s="491">
        <v>0.33</v>
      </c>
      <c r="J59" s="311">
        <f t="shared" si="14"/>
        <v>0</v>
      </c>
      <c r="K59" s="378">
        <f>J59*VLOOKUP($B$9,'Base Costs'!$A$32:$B$37,2,FALSE)</f>
        <v>0</v>
      </c>
      <c r="L59" s="379">
        <f t="shared" si="15"/>
        <v>0</v>
      </c>
    </row>
    <row r="60" spans="2:13" s="63" customFormat="1" ht="15" customHeight="1" x14ac:dyDescent="0.15">
      <c r="B60" s="308" t="s">
        <v>13</v>
      </c>
      <c r="C60" s="95"/>
      <c r="D60" s="28" t="s">
        <v>545</v>
      </c>
      <c r="E60" s="73"/>
      <c r="F60" s="73"/>
      <c r="G60" s="380">
        <v>80</v>
      </c>
      <c r="H60" s="378">
        <f t="shared" si="13"/>
        <v>0</v>
      </c>
      <c r="I60" s="491">
        <v>0.33</v>
      </c>
      <c r="J60" s="311">
        <f t="shared" si="14"/>
        <v>0</v>
      </c>
      <c r="K60" s="378">
        <f>J60*VLOOKUP($B$9,'Base Costs'!$A$32:$B$37,2,FALSE)</f>
        <v>0</v>
      </c>
      <c r="L60" s="379">
        <f t="shared" si="15"/>
        <v>0</v>
      </c>
    </row>
    <row r="61" spans="2:13" s="63" customFormat="1" ht="15" customHeight="1" x14ac:dyDescent="0.15">
      <c r="B61" s="308" t="s">
        <v>1348</v>
      </c>
      <c r="C61" s="95">
        <v>2</v>
      </c>
      <c r="D61" s="1116" t="s">
        <v>1486</v>
      </c>
      <c r="E61" s="1178"/>
      <c r="F61" s="1178"/>
      <c r="G61" s="380">
        <v>604</v>
      </c>
      <c r="H61" s="378">
        <f t="shared" si="13"/>
        <v>1208</v>
      </c>
      <c r="I61" s="491">
        <v>0.33</v>
      </c>
      <c r="J61" s="311">
        <f t="shared" si="14"/>
        <v>1802.9850746268658</v>
      </c>
      <c r="K61" s="378">
        <f>J61*VLOOKUP($B$9,'Base Costs'!$A$32:$B$37,2,FALSE)</f>
        <v>1802.9850746268658</v>
      </c>
      <c r="L61" s="379">
        <f>J61-H61</f>
        <v>594.98507462686575</v>
      </c>
      <c r="M61" s="1038" t="s">
        <v>1398</v>
      </c>
    </row>
    <row r="62" spans="2:13" s="63" customFormat="1" ht="15" customHeight="1" x14ac:dyDescent="0.15">
      <c r="B62" s="28" t="s">
        <v>1039</v>
      </c>
      <c r="C62" s="250"/>
      <c r="D62" s="1110" t="s">
        <v>1040</v>
      </c>
      <c r="E62" s="1179"/>
      <c r="F62" s="1179"/>
      <c r="G62" s="380">
        <v>603</v>
      </c>
      <c r="H62" s="378">
        <f t="shared" si="13"/>
        <v>0</v>
      </c>
      <c r="I62" s="491">
        <v>0.33</v>
      </c>
      <c r="J62" s="311">
        <f t="shared" si="14"/>
        <v>0</v>
      </c>
      <c r="K62" s="378">
        <f>J62*VLOOKUP($B$9,'Base Costs'!$A$32:$B$37,2,FALSE)</f>
        <v>0</v>
      </c>
      <c r="L62" s="379">
        <f>J62-H62</f>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126</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protectedRanges>
    <protectedRange sqref="I51 B13 D13 B61:C61 G54:G62 B59:B60 C27:C33 D26:D33 C37 C34:D36 D37:D54 C39 B26:B39 C41:C60 B42:B55 B40:C40 G26:G50 B15:B23 D15:D23 G13:G23" name="Estimating_8"/>
    <protectedRange sqref="B14:D14 E10:F10" name="Estimating_3_1" securityDescriptor="O:WDG:WDD:(A;;CC;;;S-1-5-21-1993962763-879983540-839522115-1221)"/>
    <protectedRange sqref="F8:H8" name="Estimating_4_1" securityDescriptor="O:WDG:WDD:(A;;CC;;;S-1-5-21-1993962763-879983540-839522115-1221)"/>
    <protectedRange sqref="B2:B6 J7:K7 C2:E2 C8:E8" name="Estimating_1_3_1" securityDescriptor="O:WDG:WDD:(A;;CC;;;S-1-5-21-1993962763-879983540-839522115-1221)"/>
    <protectedRange sqref="L53:L62 T41 K38 L15:L50" name="Estimating_5_1" securityDescriptor="O:WDG:WDD:(A;;CC;;;S-1-5-21-1993962763-879983540-839522115-1221)"/>
    <protectedRange sqref="C62" name="Estimating_2_1" securityDescriptor="O:WDG:WDD:(A;;CC;;;S-1-5-21-1993962763-879983540-839522115-1221)"/>
    <protectedRange sqref="D55:D60" name="Estimating_6_1" securityDescriptor="O:WDG:WDD:(A;;CC;;;S-1-5-21-1993962763-879983540-839522115-1221)"/>
    <protectedRange sqref="L10" name="Estimating_7_1" securityDescriptor="O:WDG:WDD:(A;;CC;;;S-1-5-21-1993962763-879983540-839522115-1221)"/>
    <protectedRange sqref="F65:F70 B65:B69 K70:L70" name="Full_1" securityDescriptor="O:WDG:WDD:(A;;CC;;;S-1-5-21-1993962763-879983540-839522115-1156)"/>
    <protectedRange sqref="B70:C70"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3" name="Estimating_10"/>
    <protectedRange sqref="D61" name="Estimating_1"/>
    <protectedRange sqref="D62" name="Estimating_4_1_2" securityDescriptor="O:WDG:WDD:(A;;CC;;;S-1-5-21-1993962763-879983540-839522115-1221)"/>
    <protectedRange sqref="G53" name="Estimating_8_1"/>
  </protectedRanges>
  <mergeCells count="11">
    <mergeCell ref="M7:O7"/>
    <mergeCell ref="B1:C1"/>
    <mergeCell ref="D61:F61"/>
    <mergeCell ref="D62:F62"/>
    <mergeCell ref="C3:D3"/>
    <mergeCell ref="G3:H3"/>
    <mergeCell ref="C5:D5"/>
    <mergeCell ref="G5:H5"/>
    <mergeCell ref="C7:D7"/>
    <mergeCell ref="G7:H7"/>
    <mergeCell ref="E53:F53"/>
  </mergeCells>
  <conditionalFormatting sqref="B9">
    <cfRule type="containsText" dxfId="11238" priority="188" operator="containsText" text="SELECT">
      <formula>NOT(ISERROR(SEARCH("SELECT",B9)))</formula>
    </cfRule>
    <cfRule type="expression" dxfId="11237" priority="189">
      <formula>B9="CURRENCY"</formula>
    </cfRule>
  </conditionalFormatting>
  <conditionalFormatting sqref="B15:B30">
    <cfRule type="expression" dxfId="11236" priority="3">
      <formula>$D15&gt;0</formula>
    </cfRule>
  </conditionalFormatting>
  <conditionalFormatting sqref="B50 E50:F50">
    <cfRule type="expression" dxfId="11235" priority="5094">
      <formula>C41="select controls"</formula>
    </cfRule>
  </conditionalFormatting>
  <conditionalFormatting sqref="C13">
    <cfRule type="containsText" dxfId="11234" priority="194" operator="containsText" text="SELECT">
      <formula>NOT(ISERROR(SEARCH("SELECT",C13)))</formula>
    </cfRule>
  </conditionalFormatting>
  <conditionalFormatting sqref="C15:C23">
    <cfRule type="containsText" dxfId="11233" priority="9" operator="containsText" text="SIZE">
      <formula>NOT(ISERROR(SEARCH("SIZE",C15)))</formula>
    </cfRule>
  </conditionalFormatting>
  <conditionalFormatting sqref="C26">
    <cfRule type="containsText" dxfId="11232" priority="202" operator="containsText" text="SELECT CONTROLS">
      <formula>NOT(ISERROR(SEARCH("SELECT CONTROLS",C26)))</formula>
    </cfRule>
  </conditionalFormatting>
  <conditionalFormatting sqref="C27">
    <cfRule type="containsText" dxfId="11231" priority="196" operator="containsText" text="st/st">
      <formula>NOT(ISERROR(SEARCH("st/st",C27)))</formula>
    </cfRule>
    <cfRule type="expression" dxfId="11230" priority="197">
      <formula>$C$26="SMARTEC"</formula>
    </cfRule>
  </conditionalFormatting>
  <conditionalFormatting sqref="C32:C33">
    <cfRule type="cellIs" dxfId="11229" priority="175" operator="greaterThan">
      <formula>0</formula>
    </cfRule>
  </conditionalFormatting>
  <conditionalFormatting sqref="C53:C62">
    <cfRule type="cellIs" dxfId="11228" priority="192" operator="lessThan">
      <formula>1</formula>
    </cfRule>
  </conditionalFormatting>
  <conditionalFormatting sqref="C9:D9">
    <cfRule type="cellIs" dxfId="11227" priority="184" operator="lessThan">
      <formula>0</formula>
    </cfRule>
    <cfRule type="cellIs" dxfId="11226" priority="185" operator="greaterThan">
      <formula>0</formula>
    </cfRule>
  </conditionalFormatting>
  <conditionalFormatting sqref="C30:D30">
    <cfRule type="expression" dxfId="11225" priority="200">
      <formula>$C$26="SMARTEC"</formula>
    </cfRule>
    <cfRule type="expression" dxfId="11224" priority="201">
      <formula>$C$26="REMOTE TOUCH SCREEN"</formula>
    </cfRule>
  </conditionalFormatting>
  <conditionalFormatting sqref="D27">
    <cfRule type="expression" dxfId="11223" priority="195">
      <formula>C27="st/st enclosure"</formula>
    </cfRule>
    <cfRule type="expression" dxfId="11222" priority="198">
      <formula>C26="SMARTEC"</formula>
    </cfRule>
  </conditionalFormatting>
  <conditionalFormatting sqref="D30">
    <cfRule type="expression" dxfId="11221" priority="199">
      <formula>$C$26="SMARTEC"</formula>
    </cfRule>
  </conditionalFormatting>
  <conditionalFormatting sqref="D39">
    <cfRule type="expression" dxfId="11220" priority="213">
      <formula>C39="st/st enclosure"</formula>
    </cfRule>
    <cfRule type="expression" dxfId="11219" priority="214">
      <formula>#REF!="SMARTEC"</formula>
    </cfRule>
  </conditionalFormatting>
  <conditionalFormatting sqref="E40:E44">
    <cfRule type="expression" dxfId="11218" priority="212">
      <formula>#REF!="select controls"</formula>
    </cfRule>
  </conditionalFormatting>
  <conditionalFormatting sqref="E45 E46:F46 B46:B47 E47:E48 B49 E49:F49">
    <cfRule type="expression" dxfId="11217" priority="190">
      <formula>C39="select controls"</formula>
    </cfRule>
  </conditionalFormatting>
  <conditionalFormatting sqref="F41:F45">
    <cfRule type="expression" dxfId="11216" priority="1">
      <formula>G35="select controls"</formula>
    </cfRule>
  </conditionalFormatting>
  <conditionalFormatting sqref="G15:G37">
    <cfRule type="cellIs" dxfId="11215" priority="10" operator="greaterThan">
      <formula>0</formula>
    </cfRule>
  </conditionalFormatting>
  <conditionalFormatting sqref="G39:G50">
    <cfRule type="cellIs" dxfId="11214" priority="23" operator="greaterThan">
      <formula>0</formula>
    </cfRule>
  </conditionalFormatting>
  <conditionalFormatting sqref="G53:G62">
    <cfRule type="expression" dxfId="11213" priority="147">
      <formula>C53&gt;0</formula>
    </cfRule>
  </conditionalFormatting>
  <conditionalFormatting sqref="H13 J13 L13">
    <cfRule type="expression" dxfId="11212" priority="204">
      <formula>$B$9="EURO"</formula>
    </cfRule>
  </conditionalFormatting>
  <conditionalFormatting sqref="H23">
    <cfRule type="cellIs" dxfId="11211" priority="12" operator="greaterThan">
      <formula>0</formula>
    </cfRule>
  </conditionalFormatting>
  <conditionalFormatting sqref="H25:H62">
    <cfRule type="cellIs" dxfId="11210" priority="170" operator="greaterThan">
      <formula>0</formula>
    </cfRule>
  </conditionalFormatting>
  <conditionalFormatting sqref="H15:L22 L53:L62">
    <cfRule type="cellIs" dxfId="11209" priority="180" operator="greaterThan">
      <formula>0</formula>
    </cfRule>
  </conditionalFormatting>
  <conditionalFormatting sqref="I15:I37">
    <cfRule type="expression" dxfId="11208" priority="13">
      <formula>$C$9&gt;0</formula>
    </cfRule>
  </conditionalFormatting>
  <conditionalFormatting sqref="I23:I37">
    <cfRule type="expression" dxfId="11207" priority="14">
      <formula>$C$9&lt;0</formula>
    </cfRule>
  </conditionalFormatting>
  <conditionalFormatting sqref="I39:I50 I53:I62 I15:I22">
    <cfRule type="expression" dxfId="11206" priority="210">
      <formula>$C$9&lt;0</formula>
    </cfRule>
  </conditionalFormatting>
  <conditionalFormatting sqref="I39:I50 I53:I62">
    <cfRule type="expression" dxfId="11205" priority="209">
      <formula>$C$9&gt;0</formula>
    </cfRule>
  </conditionalFormatting>
  <conditionalFormatting sqref="J38">
    <cfRule type="expression" dxfId="11204" priority="205">
      <formula>$B$9="PLN"</formula>
    </cfRule>
    <cfRule type="expression" dxfId="11203" priority="206">
      <formula>$B$9="CZK"</formula>
    </cfRule>
    <cfRule type="expression" dxfId="11202" priority="207">
      <formula>$B$9="USD"</formula>
    </cfRule>
    <cfRule type="expression" dxfId="11201" priority="208">
      <formula>$B$9="EURO"</formula>
    </cfRule>
  </conditionalFormatting>
  <conditionalFormatting sqref="J64:J70">
    <cfRule type="expression" dxfId="11200" priority="211">
      <formula>#REF!="EURO"</formula>
    </cfRule>
  </conditionalFormatting>
  <conditionalFormatting sqref="K1:K37">
    <cfRule type="expression" dxfId="11199" priority="5">
      <formula>$B$9="EURO"</formula>
    </cfRule>
    <cfRule type="expression" dxfId="11198" priority="6">
      <formula>$B$9="USD"</formula>
    </cfRule>
    <cfRule type="expression" dxfId="11197" priority="7">
      <formula>$B$9="PLN"</formula>
    </cfRule>
  </conditionalFormatting>
  <conditionalFormatting sqref="K1:K1048576">
    <cfRule type="expression" dxfId="11196" priority="8">
      <formula>$B$9="CZK"</formula>
    </cfRule>
  </conditionalFormatting>
  <conditionalFormatting sqref="K15:K37">
    <cfRule type="cellIs" dxfId="11195" priority="4" operator="greaterThan">
      <formula>0</formula>
    </cfRule>
  </conditionalFormatting>
  <conditionalFormatting sqref="K39:K50">
    <cfRule type="cellIs" dxfId="11194" priority="154" operator="greaterThan">
      <formula>0</formula>
    </cfRule>
  </conditionalFormatting>
  <conditionalFormatting sqref="K39:K1048576">
    <cfRule type="expression" dxfId="11193" priority="150">
      <formula>$B$9="EURO"</formula>
    </cfRule>
    <cfRule type="expression" dxfId="11192" priority="151">
      <formula>$B$9="USD"</formula>
    </cfRule>
    <cfRule type="expression" dxfId="11191" priority="152">
      <formula>$B$9="PLN"</formula>
    </cfRule>
  </conditionalFormatting>
  <conditionalFormatting sqref="K51">
    <cfRule type="cellIs" dxfId="11190" priority="183" operator="greaterThan">
      <formula>0</formula>
    </cfRule>
  </conditionalFormatting>
  <conditionalFormatting sqref="K53:K62">
    <cfRule type="cellIs" dxfId="11189" priority="149" operator="greaterThan">
      <formula>0</formula>
    </cfRule>
  </conditionalFormatting>
  <conditionalFormatting sqref="L23:L37">
    <cfRule type="cellIs" dxfId="11188" priority="11" operator="greaterThan">
      <formula>0</formula>
    </cfRule>
  </conditionalFormatting>
  <conditionalFormatting sqref="L39:L50">
    <cfRule type="cellIs" dxfId="11187" priority="161" operator="greaterThan">
      <formula>0</formula>
    </cfRule>
  </conditionalFormatting>
  <conditionalFormatting sqref="T41">
    <cfRule type="cellIs" dxfId="11186" priority="160" operator="greaterThan">
      <formula>0</formula>
    </cfRule>
  </conditionalFormatting>
  <dataValidations count="3">
    <dataValidation type="list" allowBlank="1" showInputMessage="1" showErrorMessage="1" sqref="C26" xr:uid="{00000000-0002-0000-0D00-000000000000}">
      <formula1>"SELECT CONTROLS,SMARTEC, REMOTE TOUCH SCREEN"</formula1>
    </dataValidation>
    <dataValidation type="list" allowBlank="1" showInputMessage="1" showErrorMessage="1" sqref="C13" xr:uid="{00000000-0002-0000-0D00-000001000000}">
      <formula1>"SELECT MODEL,INTERNAL,EXTERNAL"</formula1>
    </dataValidation>
    <dataValidation type="list" allowBlank="1" showInputMessage="1" showErrorMessage="1" sqref="C65580 ID65580 RZ65580 ABV65580 ALR65580 AVN65580 BFJ65580 BPF65580 BZB65580 CIX65580 CST65580 DCP65580 DML65580 DWH65580 EGD65580 EPZ65580 EZV65580 FJR65580 FTN65580 GDJ65580 GNF65580 GXB65580 HGX65580 HQT65580 IAP65580 IKL65580 IUH65580 JED65580 JNZ65580 JXV65580 KHR65580 KRN65580 LBJ65580 LLF65580 LVB65580 MEX65580 MOT65580 MYP65580 NIL65580 NSH65580 OCD65580 OLZ65580 OVV65580 PFR65580 PPN65580 PZJ65580 QJF65580 QTB65580 RCX65580 RMT65580 RWP65580 SGL65580 SQH65580 TAD65580 TJZ65580 TTV65580 UDR65580 UNN65580 UXJ65580 VHF65580 VRB65580 WAX65580 WKT65580 WUP65580 C131116 ID131116 RZ131116 ABV131116 ALR131116 AVN131116 BFJ131116 BPF131116 BZB131116 CIX131116 CST131116 DCP131116 DML131116 DWH131116 EGD131116 EPZ131116 EZV131116 FJR131116 FTN131116 GDJ131116 GNF131116 GXB131116 HGX131116 HQT131116 IAP131116 IKL131116 IUH131116 JED131116 JNZ131116 JXV131116 KHR131116 KRN131116 LBJ131116 LLF131116 LVB131116 MEX131116 MOT131116 MYP131116 NIL131116 NSH131116 OCD131116 OLZ131116 OVV131116 PFR131116 PPN131116 PZJ131116 QJF131116 QTB131116 RCX131116 RMT131116 RWP131116 SGL131116 SQH131116 TAD131116 TJZ131116 TTV131116 UDR131116 UNN131116 UXJ131116 VHF131116 VRB131116 WAX131116 WKT131116 WUP131116 C196652 ID196652 RZ196652 ABV196652 ALR196652 AVN196652 BFJ196652 BPF196652 BZB196652 CIX196652 CST196652 DCP196652 DML196652 DWH196652 EGD196652 EPZ196652 EZV196652 FJR196652 FTN196652 GDJ196652 GNF196652 GXB196652 HGX196652 HQT196652 IAP196652 IKL196652 IUH196652 JED196652 JNZ196652 JXV196652 KHR196652 KRN196652 LBJ196652 LLF196652 LVB196652 MEX196652 MOT196652 MYP196652 NIL196652 NSH196652 OCD196652 OLZ196652 OVV196652 PFR196652 PPN196652 PZJ196652 QJF196652 QTB196652 RCX196652 RMT196652 RWP196652 SGL196652 SQH196652 TAD196652 TJZ196652 TTV196652 UDR196652 UNN196652 UXJ196652 VHF196652 VRB196652 WAX196652 WKT196652 WUP196652 C262188 ID262188 RZ262188 ABV262188 ALR262188 AVN262188 BFJ262188 BPF262188 BZB262188 CIX262188 CST262188 DCP262188 DML262188 DWH262188 EGD262188 EPZ262188 EZV262188 FJR262188 FTN262188 GDJ262188 GNF262188 GXB262188 HGX262188 HQT262188 IAP262188 IKL262188 IUH262188 JED262188 JNZ262188 JXV262188 KHR262188 KRN262188 LBJ262188 LLF262188 LVB262188 MEX262188 MOT262188 MYP262188 NIL262188 NSH262188 OCD262188 OLZ262188 OVV262188 PFR262188 PPN262188 PZJ262188 QJF262188 QTB262188 RCX262188 RMT262188 RWP262188 SGL262188 SQH262188 TAD262188 TJZ262188 TTV262188 UDR262188 UNN262188 UXJ262188 VHF262188 VRB262188 WAX262188 WKT262188 WUP262188 C327724 ID327724 RZ327724 ABV327724 ALR327724 AVN327724 BFJ327724 BPF327724 BZB327724 CIX327724 CST327724 DCP327724 DML327724 DWH327724 EGD327724 EPZ327724 EZV327724 FJR327724 FTN327724 GDJ327724 GNF327724 GXB327724 HGX327724 HQT327724 IAP327724 IKL327724 IUH327724 JED327724 JNZ327724 JXV327724 KHR327724 KRN327724 LBJ327724 LLF327724 LVB327724 MEX327724 MOT327724 MYP327724 NIL327724 NSH327724 OCD327724 OLZ327724 OVV327724 PFR327724 PPN327724 PZJ327724 QJF327724 QTB327724 RCX327724 RMT327724 RWP327724 SGL327724 SQH327724 TAD327724 TJZ327724 TTV327724 UDR327724 UNN327724 UXJ327724 VHF327724 VRB327724 WAX327724 WKT327724 WUP327724 C393260 ID393260 RZ393260 ABV393260 ALR393260 AVN393260 BFJ393260 BPF393260 BZB393260 CIX393260 CST393260 DCP393260 DML393260 DWH393260 EGD393260 EPZ393260 EZV393260 FJR393260 FTN393260 GDJ393260 GNF393260 GXB393260 HGX393260 HQT393260 IAP393260 IKL393260 IUH393260 JED393260 JNZ393260 JXV393260 KHR393260 KRN393260 LBJ393260 LLF393260 LVB393260 MEX393260 MOT393260 MYP393260 NIL393260 NSH393260 OCD393260 OLZ393260 OVV393260 PFR393260 PPN393260 PZJ393260 QJF393260 QTB393260 RCX393260 RMT393260 RWP393260 SGL393260 SQH393260 TAD393260 TJZ393260 TTV393260 UDR393260 UNN393260 UXJ393260 VHF393260 VRB393260 WAX393260 WKT393260 WUP393260 C458796 ID458796 RZ458796 ABV458796 ALR458796 AVN458796 BFJ458796 BPF458796 BZB458796 CIX458796 CST458796 DCP458796 DML458796 DWH458796 EGD458796 EPZ458796 EZV458796 FJR458796 FTN458796 GDJ458796 GNF458796 GXB458796 HGX458796 HQT458796 IAP458796 IKL458796 IUH458796 JED458796 JNZ458796 JXV458796 KHR458796 KRN458796 LBJ458796 LLF458796 LVB458796 MEX458796 MOT458796 MYP458796 NIL458796 NSH458796 OCD458796 OLZ458796 OVV458796 PFR458796 PPN458796 PZJ458796 QJF458796 QTB458796 RCX458796 RMT458796 RWP458796 SGL458796 SQH458796 TAD458796 TJZ458796 TTV458796 UDR458796 UNN458796 UXJ458796 VHF458796 VRB458796 WAX458796 WKT458796 WUP458796 C524332 ID524332 RZ524332 ABV524332 ALR524332 AVN524332 BFJ524332 BPF524332 BZB524332 CIX524332 CST524332 DCP524332 DML524332 DWH524332 EGD524332 EPZ524332 EZV524332 FJR524332 FTN524332 GDJ524332 GNF524332 GXB524332 HGX524332 HQT524332 IAP524332 IKL524332 IUH524332 JED524332 JNZ524332 JXV524332 KHR524332 KRN524332 LBJ524332 LLF524332 LVB524332 MEX524332 MOT524332 MYP524332 NIL524332 NSH524332 OCD524332 OLZ524332 OVV524332 PFR524332 PPN524332 PZJ524332 QJF524332 QTB524332 RCX524332 RMT524332 RWP524332 SGL524332 SQH524332 TAD524332 TJZ524332 TTV524332 UDR524332 UNN524332 UXJ524332 VHF524332 VRB524332 WAX524332 WKT524332 WUP524332 C589868 ID589868 RZ589868 ABV589868 ALR589868 AVN589868 BFJ589868 BPF589868 BZB589868 CIX589868 CST589868 DCP589868 DML589868 DWH589868 EGD589868 EPZ589868 EZV589868 FJR589868 FTN589868 GDJ589868 GNF589868 GXB589868 HGX589868 HQT589868 IAP589868 IKL589868 IUH589868 JED589868 JNZ589868 JXV589868 KHR589868 KRN589868 LBJ589868 LLF589868 LVB589868 MEX589868 MOT589868 MYP589868 NIL589868 NSH589868 OCD589868 OLZ589868 OVV589868 PFR589868 PPN589868 PZJ589868 QJF589868 QTB589868 RCX589868 RMT589868 RWP589868 SGL589868 SQH589868 TAD589868 TJZ589868 TTV589868 UDR589868 UNN589868 UXJ589868 VHF589868 VRB589868 WAX589868 WKT589868 WUP589868 C655404 ID655404 RZ655404 ABV655404 ALR655404 AVN655404 BFJ655404 BPF655404 BZB655404 CIX655404 CST655404 DCP655404 DML655404 DWH655404 EGD655404 EPZ655404 EZV655404 FJR655404 FTN655404 GDJ655404 GNF655404 GXB655404 HGX655404 HQT655404 IAP655404 IKL655404 IUH655404 JED655404 JNZ655404 JXV655404 KHR655404 KRN655404 LBJ655404 LLF655404 LVB655404 MEX655404 MOT655404 MYP655404 NIL655404 NSH655404 OCD655404 OLZ655404 OVV655404 PFR655404 PPN655404 PZJ655404 QJF655404 QTB655404 RCX655404 RMT655404 RWP655404 SGL655404 SQH655404 TAD655404 TJZ655404 TTV655404 UDR655404 UNN655404 UXJ655404 VHF655404 VRB655404 WAX655404 WKT655404 WUP655404 C720940 ID720940 RZ720940 ABV720940 ALR720940 AVN720940 BFJ720940 BPF720940 BZB720940 CIX720940 CST720940 DCP720940 DML720940 DWH720940 EGD720940 EPZ720940 EZV720940 FJR720940 FTN720940 GDJ720940 GNF720940 GXB720940 HGX720940 HQT720940 IAP720940 IKL720940 IUH720940 JED720940 JNZ720940 JXV720940 KHR720940 KRN720940 LBJ720940 LLF720940 LVB720940 MEX720940 MOT720940 MYP720940 NIL720940 NSH720940 OCD720940 OLZ720940 OVV720940 PFR720940 PPN720940 PZJ720940 QJF720940 QTB720940 RCX720940 RMT720940 RWP720940 SGL720940 SQH720940 TAD720940 TJZ720940 TTV720940 UDR720940 UNN720940 UXJ720940 VHF720940 VRB720940 WAX720940 WKT720940 WUP720940 C786476 ID786476 RZ786476 ABV786476 ALR786476 AVN786476 BFJ786476 BPF786476 BZB786476 CIX786476 CST786476 DCP786476 DML786476 DWH786476 EGD786476 EPZ786476 EZV786476 FJR786476 FTN786476 GDJ786476 GNF786476 GXB786476 HGX786476 HQT786476 IAP786476 IKL786476 IUH786476 JED786476 JNZ786476 JXV786476 KHR786476 KRN786476 LBJ786476 LLF786476 LVB786476 MEX786476 MOT786476 MYP786476 NIL786476 NSH786476 OCD786476 OLZ786476 OVV786476 PFR786476 PPN786476 PZJ786476 QJF786476 QTB786476 RCX786476 RMT786476 RWP786476 SGL786476 SQH786476 TAD786476 TJZ786476 TTV786476 UDR786476 UNN786476 UXJ786476 VHF786476 VRB786476 WAX786476 WKT786476 WUP786476 C852012 ID852012 RZ852012 ABV852012 ALR852012 AVN852012 BFJ852012 BPF852012 BZB852012 CIX852012 CST852012 DCP852012 DML852012 DWH852012 EGD852012 EPZ852012 EZV852012 FJR852012 FTN852012 GDJ852012 GNF852012 GXB852012 HGX852012 HQT852012 IAP852012 IKL852012 IUH852012 JED852012 JNZ852012 JXV852012 KHR852012 KRN852012 LBJ852012 LLF852012 LVB852012 MEX852012 MOT852012 MYP852012 NIL852012 NSH852012 OCD852012 OLZ852012 OVV852012 PFR852012 PPN852012 PZJ852012 QJF852012 QTB852012 RCX852012 RMT852012 RWP852012 SGL852012 SQH852012 TAD852012 TJZ852012 TTV852012 UDR852012 UNN852012 UXJ852012 VHF852012 VRB852012 WAX852012 WKT852012 WUP852012 C917548 ID917548 RZ917548 ABV917548 ALR917548 AVN917548 BFJ917548 BPF917548 BZB917548 CIX917548 CST917548 DCP917548 DML917548 DWH917548 EGD917548 EPZ917548 EZV917548 FJR917548 FTN917548 GDJ917548 GNF917548 GXB917548 HGX917548 HQT917548 IAP917548 IKL917548 IUH917548 JED917548 JNZ917548 JXV917548 KHR917548 KRN917548 LBJ917548 LLF917548 LVB917548 MEX917548 MOT917548 MYP917548 NIL917548 NSH917548 OCD917548 OLZ917548 OVV917548 PFR917548 PPN917548 PZJ917548 QJF917548 QTB917548 RCX917548 RMT917548 RWP917548 SGL917548 SQH917548 TAD917548 TJZ917548 TTV917548 UDR917548 UNN917548 UXJ917548 VHF917548 VRB917548 WAX917548 WKT917548 WUP917548 C983084 ID983084 RZ983084 ABV983084 ALR983084 AVN983084 BFJ983084 BPF983084 BZB983084 CIX983084 CST983084 DCP983084 DML983084 DWH983084 EGD983084 EPZ983084 EZV983084 FJR983084 FTN983084 GDJ983084 GNF983084 GXB983084 HGX983084 HQT983084 IAP983084 IKL983084 IUH983084 JED983084 JNZ983084 JXV983084 KHR983084 KRN983084 LBJ983084 LLF983084 LVB983084 MEX983084 MOT983084 MYP983084 NIL983084 NSH983084 OCD983084 OLZ983084 OVV983084 PFR983084 PPN983084 PZJ983084 QJF983084 QTB983084 RCX983084 RMT983084 RWP983084 SGL983084 SQH983084 TAD983084 TJZ983084 TTV983084 UDR983084 UNN983084 UXJ983084 VHF983084 VRB983084 WAX983084 WKT983084 WUP983084 ID53:ID54 RZ53:RZ54 ABV53:ABV54 ALR53:ALR54 AVN53:AVN54 BFJ53:BFJ54 BPF53:BPF54 BZB53:BZB54 CIX53:CIX54 CST53:CST54 DCP53:DCP54 DML53:DML54 DWH53:DWH54 EGD53:EGD54 EPZ53:EPZ54 EZV53:EZV54 FJR53:FJR54 FTN53:FTN54 GDJ53:GDJ54 GNF53:GNF54 GXB53:GXB54 HGX53:HGX54 HQT53:HQT54 IAP53:IAP54 IKL53:IKL54 IUH53:IUH54 JED53:JED54 JNZ53:JNZ54 JXV53:JXV54 KHR53:KHR54 KRN53:KRN54 LBJ53:LBJ54 LLF53:LLF54 LVB53:LVB54 MEX53:MEX54 MOT53:MOT54 MYP53:MYP54 NIL53:NIL54 NSH53:NSH54 OCD53:OCD54 OLZ53:OLZ54 OVV53:OVV54 PFR53:PFR54 PPN53:PPN54 PZJ53:PZJ54 QJF53:QJF54 QTB53:QTB54 RCX53:RCX54 RMT53:RMT54 RWP53:RWP54 SGL53:SGL54 SQH53:SQH54 TAD53:TAD54 TJZ53:TJZ54 TTV53:TTV54 UDR53:UDR54 UNN53:UNN54 UXJ53:UXJ54 VHF53:VHF54 VRB53:VRB54 WAX53:WAX54 WKT53:WKT54 WUP53:WUP54 WUP983064:WUP983065 C65585 ID65585 RZ65585 ABV65585 ALR65585 AVN65585 BFJ65585 BPF65585 BZB65585 CIX65585 CST65585 DCP65585 DML65585 DWH65585 EGD65585 EPZ65585 EZV65585 FJR65585 FTN65585 GDJ65585 GNF65585 GXB65585 HGX65585 HQT65585 IAP65585 IKL65585 IUH65585 JED65585 JNZ65585 JXV65585 KHR65585 KRN65585 LBJ65585 LLF65585 LVB65585 MEX65585 MOT65585 MYP65585 NIL65585 NSH65585 OCD65585 OLZ65585 OVV65585 PFR65585 PPN65585 PZJ65585 QJF65585 QTB65585 RCX65585 RMT65585 RWP65585 SGL65585 SQH65585 TAD65585 TJZ65585 TTV65585 UDR65585 UNN65585 UXJ65585 VHF65585 VRB65585 WAX65585 WKT65585 WUP65585 C131121 ID131121 RZ131121 ABV131121 ALR131121 AVN131121 BFJ131121 BPF131121 BZB131121 CIX131121 CST131121 DCP131121 DML131121 DWH131121 EGD131121 EPZ131121 EZV131121 FJR131121 FTN131121 GDJ131121 GNF131121 GXB131121 HGX131121 HQT131121 IAP131121 IKL131121 IUH131121 JED131121 JNZ131121 JXV131121 KHR131121 KRN131121 LBJ131121 LLF131121 LVB131121 MEX131121 MOT131121 MYP131121 NIL131121 NSH131121 OCD131121 OLZ131121 OVV131121 PFR131121 PPN131121 PZJ131121 QJF131121 QTB131121 RCX131121 RMT131121 RWP131121 SGL131121 SQH131121 TAD131121 TJZ131121 TTV131121 UDR131121 UNN131121 UXJ131121 VHF131121 VRB131121 WAX131121 WKT131121 WUP131121 C196657 ID196657 RZ196657 ABV196657 ALR196657 AVN196657 BFJ196657 BPF196657 BZB196657 CIX196657 CST196657 DCP196657 DML196657 DWH196657 EGD196657 EPZ196657 EZV196657 FJR196657 FTN196657 GDJ196657 GNF196657 GXB196657 HGX196657 HQT196657 IAP196657 IKL196657 IUH196657 JED196657 JNZ196657 JXV196657 KHR196657 KRN196657 LBJ196657 LLF196657 LVB196657 MEX196657 MOT196657 MYP196657 NIL196657 NSH196657 OCD196657 OLZ196657 OVV196657 PFR196657 PPN196657 PZJ196657 QJF196657 QTB196657 RCX196657 RMT196657 RWP196657 SGL196657 SQH196657 TAD196657 TJZ196657 TTV196657 UDR196657 UNN196657 UXJ196657 VHF196657 VRB196657 WAX196657 WKT196657 WUP196657 C262193 ID262193 RZ262193 ABV262193 ALR262193 AVN262193 BFJ262193 BPF262193 BZB262193 CIX262193 CST262193 DCP262193 DML262193 DWH262193 EGD262193 EPZ262193 EZV262193 FJR262193 FTN262193 GDJ262193 GNF262193 GXB262193 HGX262193 HQT262193 IAP262193 IKL262193 IUH262193 JED262193 JNZ262193 JXV262193 KHR262193 KRN262193 LBJ262193 LLF262193 LVB262193 MEX262193 MOT262193 MYP262193 NIL262193 NSH262193 OCD262193 OLZ262193 OVV262193 PFR262193 PPN262193 PZJ262193 QJF262193 QTB262193 RCX262193 RMT262193 RWP262193 SGL262193 SQH262193 TAD262193 TJZ262193 TTV262193 UDR262193 UNN262193 UXJ262193 VHF262193 VRB262193 WAX262193 WKT262193 WUP262193 C327729 ID327729 RZ327729 ABV327729 ALR327729 AVN327729 BFJ327729 BPF327729 BZB327729 CIX327729 CST327729 DCP327729 DML327729 DWH327729 EGD327729 EPZ327729 EZV327729 FJR327729 FTN327729 GDJ327729 GNF327729 GXB327729 HGX327729 HQT327729 IAP327729 IKL327729 IUH327729 JED327729 JNZ327729 JXV327729 KHR327729 KRN327729 LBJ327729 LLF327729 LVB327729 MEX327729 MOT327729 MYP327729 NIL327729 NSH327729 OCD327729 OLZ327729 OVV327729 PFR327729 PPN327729 PZJ327729 QJF327729 QTB327729 RCX327729 RMT327729 RWP327729 SGL327729 SQH327729 TAD327729 TJZ327729 TTV327729 UDR327729 UNN327729 UXJ327729 VHF327729 VRB327729 WAX327729 WKT327729 WUP327729 C393265 ID393265 RZ393265 ABV393265 ALR393265 AVN393265 BFJ393265 BPF393265 BZB393265 CIX393265 CST393265 DCP393265 DML393265 DWH393265 EGD393265 EPZ393265 EZV393265 FJR393265 FTN393265 GDJ393265 GNF393265 GXB393265 HGX393265 HQT393265 IAP393265 IKL393265 IUH393265 JED393265 JNZ393265 JXV393265 KHR393265 KRN393265 LBJ393265 LLF393265 LVB393265 MEX393265 MOT393265 MYP393265 NIL393265 NSH393265 OCD393265 OLZ393265 OVV393265 PFR393265 PPN393265 PZJ393265 QJF393265 QTB393265 RCX393265 RMT393265 RWP393265 SGL393265 SQH393265 TAD393265 TJZ393265 TTV393265 UDR393265 UNN393265 UXJ393265 VHF393265 VRB393265 WAX393265 WKT393265 WUP393265 C458801 ID458801 RZ458801 ABV458801 ALR458801 AVN458801 BFJ458801 BPF458801 BZB458801 CIX458801 CST458801 DCP458801 DML458801 DWH458801 EGD458801 EPZ458801 EZV458801 FJR458801 FTN458801 GDJ458801 GNF458801 GXB458801 HGX458801 HQT458801 IAP458801 IKL458801 IUH458801 JED458801 JNZ458801 JXV458801 KHR458801 KRN458801 LBJ458801 LLF458801 LVB458801 MEX458801 MOT458801 MYP458801 NIL458801 NSH458801 OCD458801 OLZ458801 OVV458801 PFR458801 PPN458801 PZJ458801 QJF458801 QTB458801 RCX458801 RMT458801 RWP458801 SGL458801 SQH458801 TAD458801 TJZ458801 TTV458801 UDR458801 UNN458801 UXJ458801 VHF458801 VRB458801 WAX458801 WKT458801 WUP458801 C524337 ID524337 RZ524337 ABV524337 ALR524337 AVN524337 BFJ524337 BPF524337 BZB524337 CIX524337 CST524337 DCP524337 DML524337 DWH524337 EGD524337 EPZ524337 EZV524337 FJR524337 FTN524337 GDJ524337 GNF524337 GXB524337 HGX524337 HQT524337 IAP524337 IKL524337 IUH524337 JED524337 JNZ524337 JXV524337 KHR524337 KRN524337 LBJ524337 LLF524337 LVB524337 MEX524337 MOT524337 MYP524337 NIL524337 NSH524337 OCD524337 OLZ524337 OVV524337 PFR524337 PPN524337 PZJ524337 QJF524337 QTB524337 RCX524337 RMT524337 RWP524337 SGL524337 SQH524337 TAD524337 TJZ524337 TTV524337 UDR524337 UNN524337 UXJ524337 VHF524337 VRB524337 WAX524337 WKT524337 WUP524337 C589873 ID589873 RZ589873 ABV589873 ALR589873 AVN589873 BFJ589873 BPF589873 BZB589873 CIX589873 CST589873 DCP589873 DML589873 DWH589873 EGD589873 EPZ589873 EZV589873 FJR589873 FTN589873 GDJ589873 GNF589873 GXB589873 HGX589873 HQT589873 IAP589873 IKL589873 IUH589873 JED589873 JNZ589873 JXV589873 KHR589873 KRN589873 LBJ589873 LLF589873 LVB589873 MEX589873 MOT589873 MYP589873 NIL589873 NSH589873 OCD589873 OLZ589873 OVV589873 PFR589873 PPN589873 PZJ589873 QJF589873 QTB589873 RCX589873 RMT589873 RWP589873 SGL589873 SQH589873 TAD589873 TJZ589873 TTV589873 UDR589873 UNN589873 UXJ589873 VHF589873 VRB589873 WAX589873 WKT589873 WUP589873 C655409 ID655409 RZ655409 ABV655409 ALR655409 AVN655409 BFJ655409 BPF655409 BZB655409 CIX655409 CST655409 DCP655409 DML655409 DWH655409 EGD655409 EPZ655409 EZV655409 FJR655409 FTN655409 GDJ655409 GNF655409 GXB655409 HGX655409 HQT655409 IAP655409 IKL655409 IUH655409 JED655409 JNZ655409 JXV655409 KHR655409 KRN655409 LBJ655409 LLF655409 LVB655409 MEX655409 MOT655409 MYP655409 NIL655409 NSH655409 OCD655409 OLZ655409 OVV655409 PFR655409 PPN655409 PZJ655409 QJF655409 QTB655409 RCX655409 RMT655409 RWP655409 SGL655409 SQH655409 TAD655409 TJZ655409 TTV655409 UDR655409 UNN655409 UXJ655409 VHF655409 VRB655409 WAX655409 WKT655409 WUP655409 C720945 ID720945 RZ720945 ABV720945 ALR720945 AVN720945 BFJ720945 BPF720945 BZB720945 CIX720945 CST720945 DCP720945 DML720945 DWH720945 EGD720945 EPZ720945 EZV720945 FJR720945 FTN720945 GDJ720945 GNF720945 GXB720945 HGX720945 HQT720945 IAP720945 IKL720945 IUH720945 JED720945 JNZ720945 JXV720945 KHR720945 KRN720945 LBJ720945 LLF720945 LVB720945 MEX720945 MOT720945 MYP720945 NIL720945 NSH720945 OCD720945 OLZ720945 OVV720945 PFR720945 PPN720945 PZJ720945 QJF720945 QTB720945 RCX720945 RMT720945 RWP720945 SGL720945 SQH720945 TAD720945 TJZ720945 TTV720945 UDR720945 UNN720945 UXJ720945 VHF720945 VRB720945 WAX720945 WKT720945 WUP720945 C786481 ID786481 RZ786481 ABV786481 ALR786481 AVN786481 BFJ786481 BPF786481 BZB786481 CIX786481 CST786481 DCP786481 DML786481 DWH786481 EGD786481 EPZ786481 EZV786481 FJR786481 FTN786481 GDJ786481 GNF786481 GXB786481 HGX786481 HQT786481 IAP786481 IKL786481 IUH786481 JED786481 JNZ786481 JXV786481 KHR786481 KRN786481 LBJ786481 LLF786481 LVB786481 MEX786481 MOT786481 MYP786481 NIL786481 NSH786481 OCD786481 OLZ786481 OVV786481 PFR786481 PPN786481 PZJ786481 QJF786481 QTB786481 RCX786481 RMT786481 RWP786481 SGL786481 SQH786481 TAD786481 TJZ786481 TTV786481 UDR786481 UNN786481 UXJ786481 VHF786481 VRB786481 WAX786481 WKT786481 WUP786481 C852017 ID852017 RZ852017 ABV852017 ALR852017 AVN852017 BFJ852017 BPF852017 BZB852017 CIX852017 CST852017 DCP852017 DML852017 DWH852017 EGD852017 EPZ852017 EZV852017 FJR852017 FTN852017 GDJ852017 GNF852017 GXB852017 HGX852017 HQT852017 IAP852017 IKL852017 IUH852017 JED852017 JNZ852017 JXV852017 KHR852017 KRN852017 LBJ852017 LLF852017 LVB852017 MEX852017 MOT852017 MYP852017 NIL852017 NSH852017 OCD852017 OLZ852017 OVV852017 PFR852017 PPN852017 PZJ852017 QJF852017 QTB852017 RCX852017 RMT852017 RWP852017 SGL852017 SQH852017 TAD852017 TJZ852017 TTV852017 UDR852017 UNN852017 UXJ852017 VHF852017 VRB852017 WAX852017 WKT852017 WUP852017 C917553 ID917553 RZ917553 ABV917553 ALR917553 AVN917553 BFJ917553 BPF917553 BZB917553 CIX917553 CST917553 DCP917553 DML917553 DWH917553 EGD917553 EPZ917553 EZV917553 FJR917553 FTN917553 GDJ917553 GNF917553 GXB917553 HGX917553 HQT917553 IAP917553 IKL917553 IUH917553 JED917553 JNZ917553 JXV917553 KHR917553 KRN917553 LBJ917553 LLF917553 LVB917553 MEX917553 MOT917553 MYP917553 NIL917553 NSH917553 OCD917553 OLZ917553 OVV917553 PFR917553 PPN917553 PZJ917553 QJF917553 QTB917553 RCX917553 RMT917553 RWP917553 SGL917553 SQH917553 TAD917553 TJZ917553 TTV917553 UDR917553 UNN917553 UXJ917553 VHF917553 VRB917553 WAX917553 WKT917553 WUP917553 C983089 ID983089 RZ983089 ABV983089 ALR983089 AVN983089 BFJ983089 BPF983089 BZB983089 CIX983089 CST983089 DCP983089 DML983089 DWH983089 EGD983089 EPZ983089 EZV983089 FJR983089 FTN983089 GDJ983089 GNF983089 GXB983089 HGX983089 HQT983089 IAP983089 IKL983089 IUH983089 JED983089 JNZ983089 JXV983089 KHR983089 KRN983089 LBJ983089 LLF983089 LVB983089 MEX983089 MOT983089 MYP983089 NIL983089 NSH983089 OCD983089 OLZ983089 OVV983089 PFR983089 PPN983089 PZJ983089 QJF983089 QTB983089 RCX983089 RMT983089 RWP983089 SGL983089 SQH983089 TAD983089 TJZ983089 TTV983089 UDR983089 UNN983089 UXJ983089 VHF983089 VRB983089 WAX983089 WKT983089 WUP983089 RZ15:RZ23 ID39:ID44 RZ39:RZ44 ABV39:ABV44 ALR39:ALR44 AVN39:AVN44 BFJ39:BFJ44 BPF39:BPF44 BZB39:BZB44 CIX39:CIX44 CST39:CST44 DCP39:DCP44 DML39:DML44 DWH39:DWH44 EGD39:EGD44 EPZ39:EPZ44 EZV39:EZV44 FJR39:FJR44 FTN39:FTN44 GDJ39:GDJ44 GNF39:GNF44 GXB39:GXB44 HGX39:HGX44 HQT39:HQT44 IAP39:IAP44 IKL39:IKL44 IUH39:IUH44 JED39:JED44 JNZ39:JNZ44 JXV39:JXV44 KHR39:KHR44 KRN39:KRN44 LBJ39:LBJ44 LLF39:LLF44 LVB39:LVB44 MEX39:MEX44 MOT39:MOT44 MYP39:MYP44 NIL39:NIL44 NSH39:NSH44 OCD39:OCD44 OLZ39:OLZ44 OVV39:OVV44 PFR39:PFR44 PPN39:PPN44 PZJ39:PZJ44 QJF39:QJF44 QTB39:QTB44 RCX39:RCX44 RMT39:RMT44 RWP39:RWP44 SGL39:SGL44 SQH39:SQH44 TAD39:TAD44 TJZ39:TJZ44 TTV39:TTV44 UDR39:UDR44 UNN39:UNN44 UXJ39:UXJ44 VHF39:VHF44 VRB39:VRB44 WAX39:WAX44 WKT39:WKT44 WUP39:WUP44 C65560:C65561 ID65560:ID65561 RZ65560:RZ65561 ABV65560:ABV65561 ALR65560:ALR65561 AVN65560:AVN65561 BFJ65560:BFJ65561 BPF65560:BPF65561 BZB65560:BZB65561 CIX65560:CIX65561 CST65560:CST65561 DCP65560:DCP65561 DML65560:DML65561 DWH65560:DWH65561 EGD65560:EGD65561 EPZ65560:EPZ65561 EZV65560:EZV65561 FJR65560:FJR65561 FTN65560:FTN65561 GDJ65560:GDJ65561 GNF65560:GNF65561 GXB65560:GXB65561 HGX65560:HGX65561 HQT65560:HQT65561 IAP65560:IAP65561 IKL65560:IKL65561 IUH65560:IUH65561 JED65560:JED65561 JNZ65560:JNZ65561 JXV65560:JXV65561 KHR65560:KHR65561 KRN65560:KRN65561 LBJ65560:LBJ65561 LLF65560:LLF65561 LVB65560:LVB65561 MEX65560:MEX65561 MOT65560:MOT65561 MYP65560:MYP65561 NIL65560:NIL65561 NSH65560:NSH65561 OCD65560:OCD65561 OLZ65560:OLZ65561 OVV65560:OVV65561 PFR65560:PFR65561 PPN65560:PPN65561 PZJ65560:PZJ65561 QJF65560:QJF65561 QTB65560:QTB65561 RCX65560:RCX65561 RMT65560:RMT65561 RWP65560:RWP65561 SGL65560:SGL65561 SQH65560:SQH65561 TAD65560:TAD65561 TJZ65560:TJZ65561 TTV65560:TTV65561 UDR65560:UDR65561 UNN65560:UNN65561 UXJ65560:UXJ65561 VHF65560:VHF65561 VRB65560:VRB65561 WAX65560:WAX65561 WKT65560:WKT65561 WUP65560:WUP65561 C131096:C131097 ID131096:ID131097 RZ131096:RZ131097 ABV131096:ABV131097 ALR131096:ALR131097 AVN131096:AVN131097 BFJ131096:BFJ131097 BPF131096:BPF131097 BZB131096:BZB131097 CIX131096:CIX131097 CST131096:CST131097 DCP131096:DCP131097 DML131096:DML131097 DWH131096:DWH131097 EGD131096:EGD131097 EPZ131096:EPZ131097 EZV131096:EZV131097 FJR131096:FJR131097 FTN131096:FTN131097 GDJ131096:GDJ131097 GNF131096:GNF131097 GXB131096:GXB131097 HGX131096:HGX131097 HQT131096:HQT131097 IAP131096:IAP131097 IKL131096:IKL131097 IUH131096:IUH131097 JED131096:JED131097 JNZ131096:JNZ131097 JXV131096:JXV131097 KHR131096:KHR131097 KRN131096:KRN131097 LBJ131096:LBJ131097 LLF131096:LLF131097 LVB131096:LVB131097 MEX131096:MEX131097 MOT131096:MOT131097 MYP131096:MYP131097 NIL131096:NIL131097 NSH131096:NSH131097 OCD131096:OCD131097 OLZ131096:OLZ131097 OVV131096:OVV131097 PFR131096:PFR131097 PPN131096:PPN131097 PZJ131096:PZJ131097 QJF131096:QJF131097 QTB131096:QTB131097 RCX131096:RCX131097 RMT131096:RMT131097 RWP131096:RWP131097 SGL131096:SGL131097 SQH131096:SQH131097 TAD131096:TAD131097 TJZ131096:TJZ131097 TTV131096:TTV131097 UDR131096:UDR131097 UNN131096:UNN131097 UXJ131096:UXJ131097 VHF131096:VHF131097 VRB131096:VRB131097 WAX131096:WAX131097 WKT131096:WKT131097 WUP131096:WUP131097 C196632:C196633 ID196632:ID196633 RZ196632:RZ196633 ABV196632:ABV196633 ALR196632:ALR196633 AVN196632:AVN196633 BFJ196632:BFJ196633 BPF196632:BPF196633 BZB196632:BZB196633 CIX196632:CIX196633 CST196632:CST196633 DCP196632:DCP196633 DML196632:DML196633 DWH196632:DWH196633 EGD196632:EGD196633 EPZ196632:EPZ196633 EZV196632:EZV196633 FJR196632:FJR196633 FTN196632:FTN196633 GDJ196632:GDJ196633 GNF196632:GNF196633 GXB196632:GXB196633 HGX196632:HGX196633 HQT196632:HQT196633 IAP196632:IAP196633 IKL196632:IKL196633 IUH196632:IUH196633 JED196632:JED196633 JNZ196632:JNZ196633 JXV196632:JXV196633 KHR196632:KHR196633 KRN196632:KRN196633 LBJ196632:LBJ196633 LLF196632:LLF196633 LVB196632:LVB196633 MEX196632:MEX196633 MOT196632:MOT196633 MYP196632:MYP196633 NIL196632:NIL196633 NSH196632:NSH196633 OCD196632:OCD196633 OLZ196632:OLZ196633 OVV196632:OVV196633 PFR196632:PFR196633 PPN196632:PPN196633 PZJ196632:PZJ196633 QJF196632:QJF196633 QTB196632:QTB196633 RCX196632:RCX196633 RMT196632:RMT196633 RWP196632:RWP196633 SGL196632:SGL196633 SQH196632:SQH196633 TAD196632:TAD196633 TJZ196632:TJZ196633 TTV196632:TTV196633 UDR196632:UDR196633 UNN196632:UNN196633 UXJ196632:UXJ196633 VHF196632:VHF196633 VRB196632:VRB196633 WAX196632:WAX196633 WKT196632:WKT196633 WUP196632:WUP196633 C262168:C262169 ID262168:ID262169 RZ262168:RZ262169 ABV262168:ABV262169 ALR262168:ALR262169 AVN262168:AVN262169 BFJ262168:BFJ262169 BPF262168:BPF262169 BZB262168:BZB262169 CIX262168:CIX262169 CST262168:CST262169 DCP262168:DCP262169 DML262168:DML262169 DWH262168:DWH262169 EGD262168:EGD262169 EPZ262168:EPZ262169 EZV262168:EZV262169 FJR262168:FJR262169 FTN262168:FTN262169 GDJ262168:GDJ262169 GNF262168:GNF262169 GXB262168:GXB262169 HGX262168:HGX262169 HQT262168:HQT262169 IAP262168:IAP262169 IKL262168:IKL262169 IUH262168:IUH262169 JED262168:JED262169 JNZ262168:JNZ262169 JXV262168:JXV262169 KHR262168:KHR262169 KRN262168:KRN262169 LBJ262168:LBJ262169 LLF262168:LLF262169 LVB262168:LVB262169 MEX262168:MEX262169 MOT262168:MOT262169 MYP262168:MYP262169 NIL262168:NIL262169 NSH262168:NSH262169 OCD262168:OCD262169 OLZ262168:OLZ262169 OVV262168:OVV262169 PFR262168:PFR262169 PPN262168:PPN262169 PZJ262168:PZJ262169 QJF262168:QJF262169 QTB262168:QTB262169 RCX262168:RCX262169 RMT262168:RMT262169 RWP262168:RWP262169 SGL262168:SGL262169 SQH262168:SQH262169 TAD262168:TAD262169 TJZ262168:TJZ262169 TTV262168:TTV262169 UDR262168:UDR262169 UNN262168:UNN262169 UXJ262168:UXJ262169 VHF262168:VHF262169 VRB262168:VRB262169 WAX262168:WAX262169 WKT262168:WKT262169 WUP262168:WUP262169 C327704:C327705 ID327704:ID327705 RZ327704:RZ327705 ABV327704:ABV327705 ALR327704:ALR327705 AVN327704:AVN327705 BFJ327704:BFJ327705 BPF327704:BPF327705 BZB327704:BZB327705 CIX327704:CIX327705 CST327704:CST327705 DCP327704:DCP327705 DML327704:DML327705 DWH327704:DWH327705 EGD327704:EGD327705 EPZ327704:EPZ327705 EZV327704:EZV327705 FJR327704:FJR327705 FTN327704:FTN327705 GDJ327704:GDJ327705 GNF327704:GNF327705 GXB327704:GXB327705 HGX327704:HGX327705 HQT327704:HQT327705 IAP327704:IAP327705 IKL327704:IKL327705 IUH327704:IUH327705 JED327704:JED327705 JNZ327704:JNZ327705 JXV327704:JXV327705 KHR327704:KHR327705 KRN327704:KRN327705 LBJ327704:LBJ327705 LLF327704:LLF327705 LVB327704:LVB327705 MEX327704:MEX327705 MOT327704:MOT327705 MYP327704:MYP327705 NIL327704:NIL327705 NSH327704:NSH327705 OCD327704:OCD327705 OLZ327704:OLZ327705 OVV327704:OVV327705 PFR327704:PFR327705 PPN327704:PPN327705 PZJ327704:PZJ327705 QJF327704:QJF327705 QTB327704:QTB327705 RCX327704:RCX327705 RMT327704:RMT327705 RWP327704:RWP327705 SGL327704:SGL327705 SQH327704:SQH327705 TAD327704:TAD327705 TJZ327704:TJZ327705 TTV327704:TTV327705 UDR327704:UDR327705 UNN327704:UNN327705 UXJ327704:UXJ327705 VHF327704:VHF327705 VRB327704:VRB327705 WAX327704:WAX327705 WKT327704:WKT327705 WUP327704:WUP327705 C393240:C393241 ID393240:ID393241 RZ393240:RZ393241 ABV393240:ABV393241 ALR393240:ALR393241 AVN393240:AVN393241 BFJ393240:BFJ393241 BPF393240:BPF393241 BZB393240:BZB393241 CIX393240:CIX393241 CST393240:CST393241 DCP393240:DCP393241 DML393240:DML393241 DWH393240:DWH393241 EGD393240:EGD393241 EPZ393240:EPZ393241 EZV393240:EZV393241 FJR393240:FJR393241 FTN393240:FTN393241 GDJ393240:GDJ393241 GNF393240:GNF393241 GXB393240:GXB393241 HGX393240:HGX393241 HQT393240:HQT393241 IAP393240:IAP393241 IKL393240:IKL393241 IUH393240:IUH393241 JED393240:JED393241 JNZ393240:JNZ393241 JXV393240:JXV393241 KHR393240:KHR393241 KRN393240:KRN393241 LBJ393240:LBJ393241 LLF393240:LLF393241 LVB393240:LVB393241 MEX393240:MEX393241 MOT393240:MOT393241 MYP393240:MYP393241 NIL393240:NIL393241 NSH393240:NSH393241 OCD393240:OCD393241 OLZ393240:OLZ393241 OVV393240:OVV393241 PFR393240:PFR393241 PPN393240:PPN393241 PZJ393240:PZJ393241 QJF393240:QJF393241 QTB393240:QTB393241 RCX393240:RCX393241 RMT393240:RMT393241 RWP393240:RWP393241 SGL393240:SGL393241 SQH393240:SQH393241 TAD393240:TAD393241 TJZ393240:TJZ393241 TTV393240:TTV393241 UDR393240:UDR393241 UNN393240:UNN393241 UXJ393240:UXJ393241 VHF393240:VHF393241 VRB393240:VRB393241 WAX393240:WAX393241 WKT393240:WKT393241 WUP393240:WUP393241 C458776:C458777 ID458776:ID458777 RZ458776:RZ458777 ABV458776:ABV458777 ALR458776:ALR458777 AVN458776:AVN458777 BFJ458776:BFJ458777 BPF458776:BPF458777 BZB458776:BZB458777 CIX458776:CIX458777 CST458776:CST458777 DCP458776:DCP458777 DML458776:DML458777 DWH458776:DWH458777 EGD458776:EGD458777 EPZ458776:EPZ458777 EZV458776:EZV458777 FJR458776:FJR458777 FTN458776:FTN458777 GDJ458776:GDJ458777 GNF458776:GNF458777 GXB458776:GXB458777 HGX458776:HGX458777 HQT458776:HQT458777 IAP458776:IAP458777 IKL458776:IKL458777 IUH458776:IUH458777 JED458776:JED458777 JNZ458776:JNZ458777 JXV458776:JXV458777 KHR458776:KHR458777 KRN458776:KRN458777 LBJ458776:LBJ458777 LLF458776:LLF458777 LVB458776:LVB458777 MEX458776:MEX458777 MOT458776:MOT458777 MYP458776:MYP458777 NIL458776:NIL458777 NSH458776:NSH458777 OCD458776:OCD458777 OLZ458776:OLZ458777 OVV458776:OVV458777 PFR458776:PFR458777 PPN458776:PPN458777 PZJ458776:PZJ458777 QJF458776:QJF458777 QTB458776:QTB458777 RCX458776:RCX458777 RMT458776:RMT458777 RWP458776:RWP458777 SGL458776:SGL458777 SQH458776:SQH458777 TAD458776:TAD458777 TJZ458776:TJZ458777 TTV458776:TTV458777 UDR458776:UDR458777 UNN458776:UNN458777 UXJ458776:UXJ458777 VHF458776:VHF458777 VRB458776:VRB458777 WAX458776:WAX458777 WKT458776:WKT458777 WUP458776:WUP458777 C524312:C524313 ID524312:ID524313 RZ524312:RZ524313 ABV524312:ABV524313 ALR524312:ALR524313 AVN524312:AVN524313 BFJ524312:BFJ524313 BPF524312:BPF524313 BZB524312:BZB524313 CIX524312:CIX524313 CST524312:CST524313 DCP524312:DCP524313 DML524312:DML524313 DWH524312:DWH524313 EGD524312:EGD524313 EPZ524312:EPZ524313 EZV524312:EZV524313 FJR524312:FJR524313 FTN524312:FTN524313 GDJ524312:GDJ524313 GNF524312:GNF524313 GXB524312:GXB524313 HGX524312:HGX524313 HQT524312:HQT524313 IAP524312:IAP524313 IKL524312:IKL524313 IUH524312:IUH524313 JED524312:JED524313 JNZ524312:JNZ524313 JXV524312:JXV524313 KHR524312:KHR524313 KRN524312:KRN524313 LBJ524312:LBJ524313 LLF524312:LLF524313 LVB524312:LVB524313 MEX524312:MEX524313 MOT524312:MOT524313 MYP524312:MYP524313 NIL524312:NIL524313 NSH524312:NSH524313 OCD524312:OCD524313 OLZ524312:OLZ524313 OVV524312:OVV524313 PFR524312:PFR524313 PPN524312:PPN524313 PZJ524312:PZJ524313 QJF524312:QJF524313 QTB524312:QTB524313 RCX524312:RCX524313 RMT524312:RMT524313 RWP524312:RWP524313 SGL524312:SGL524313 SQH524312:SQH524313 TAD524312:TAD524313 TJZ524312:TJZ524313 TTV524312:TTV524313 UDR524312:UDR524313 UNN524312:UNN524313 UXJ524312:UXJ524313 VHF524312:VHF524313 VRB524312:VRB524313 WAX524312:WAX524313 WKT524312:WKT524313 WUP524312:WUP524313 C589848:C589849 ID589848:ID589849 RZ589848:RZ589849 ABV589848:ABV589849 ALR589848:ALR589849 AVN589848:AVN589849 BFJ589848:BFJ589849 BPF589848:BPF589849 BZB589848:BZB589849 CIX589848:CIX589849 CST589848:CST589849 DCP589848:DCP589849 DML589848:DML589849 DWH589848:DWH589849 EGD589848:EGD589849 EPZ589848:EPZ589849 EZV589848:EZV589849 FJR589848:FJR589849 FTN589848:FTN589849 GDJ589848:GDJ589849 GNF589848:GNF589849 GXB589848:GXB589849 HGX589848:HGX589849 HQT589848:HQT589849 IAP589848:IAP589849 IKL589848:IKL589849 IUH589848:IUH589849 JED589848:JED589849 JNZ589848:JNZ589849 JXV589848:JXV589849 KHR589848:KHR589849 KRN589848:KRN589849 LBJ589848:LBJ589849 LLF589848:LLF589849 LVB589848:LVB589849 MEX589848:MEX589849 MOT589848:MOT589849 MYP589848:MYP589849 NIL589848:NIL589849 NSH589848:NSH589849 OCD589848:OCD589849 OLZ589848:OLZ589849 OVV589848:OVV589849 PFR589848:PFR589849 PPN589848:PPN589849 PZJ589848:PZJ589849 QJF589848:QJF589849 QTB589848:QTB589849 RCX589848:RCX589849 RMT589848:RMT589849 RWP589848:RWP589849 SGL589848:SGL589849 SQH589848:SQH589849 TAD589848:TAD589849 TJZ589848:TJZ589849 TTV589848:TTV589849 UDR589848:UDR589849 UNN589848:UNN589849 UXJ589848:UXJ589849 VHF589848:VHF589849 VRB589848:VRB589849 WAX589848:WAX589849 WKT589848:WKT589849 WUP589848:WUP589849 C655384:C655385 ID655384:ID655385 RZ655384:RZ655385 ABV655384:ABV655385 ALR655384:ALR655385 AVN655384:AVN655385 BFJ655384:BFJ655385 BPF655384:BPF655385 BZB655384:BZB655385 CIX655384:CIX655385 CST655384:CST655385 DCP655384:DCP655385 DML655384:DML655385 DWH655384:DWH655385 EGD655384:EGD655385 EPZ655384:EPZ655385 EZV655384:EZV655385 FJR655384:FJR655385 FTN655384:FTN655385 GDJ655384:GDJ655385 GNF655384:GNF655385 GXB655384:GXB655385 HGX655384:HGX655385 HQT655384:HQT655385 IAP655384:IAP655385 IKL655384:IKL655385 IUH655384:IUH655385 JED655384:JED655385 JNZ655384:JNZ655385 JXV655384:JXV655385 KHR655384:KHR655385 KRN655384:KRN655385 LBJ655384:LBJ655385 LLF655384:LLF655385 LVB655384:LVB655385 MEX655384:MEX655385 MOT655384:MOT655385 MYP655384:MYP655385 NIL655384:NIL655385 NSH655384:NSH655385 OCD655384:OCD655385 OLZ655384:OLZ655385 OVV655384:OVV655385 PFR655384:PFR655385 PPN655384:PPN655385 PZJ655384:PZJ655385 QJF655384:QJF655385 QTB655384:QTB655385 RCX655384:RCX655385 RMT655384:RMT655385 RWP655384:RWP655385 SGL655384:SGL655385 SQH655384:SQH655385 TAD655384:TAD655385 TJZ655384:TJZ655385 TTV655384:TTV655385 UDR655384:UDR655385 UNN655384:UNN655385 UXJ655384:UXJ655385 VHF655384:VHF655385 VRB655384:VRB655385 WAX655384:WAX655385 WKT655384:WKT655385 WUP655384:WUP655385 C720920:C720921 ID720920:ID720921 RZ720920:RZ720921 ABV720920:ABV720921 ALR720920:ALR720921 AVN720920:AVN720921 BFJ720920:BFJ720921 BPF720920:BPF720921 BZB720920:BZB720921 CIX720920:CIX720921 CST720920:CST720921 DCP720920:DCP720921 DML720920:DML720921 DWH720920:DWH720921 EGD720920:EGD720921 EPZ720920:EPZ720921 EZV720920:EZV720921 FJR720920:FJR720921 FTN720920:FTN720921 GDJ720920:GDJ720921 GNF720920:GNF720921 GXB720920:GXB720921 HGX720920:HGX720921 HQT720920:HQT720921 IAP720920:IAP720921 IKL720920:IKL720921 IUH720920:IUH720921 JED720920:JED720921 JNZ720920:JNZ720921 JXV720920:JXV720921 KHR720920:KHR720921 KRN720920:KRN720921 LBJ720920:LBJ720921 LLF720920:LLF720921 LVB720920:LVB720921 MEX720920:MEX720921 MOT720920:MOT720921 MYP720920:MYP720921 NIL720920:NIL720921 NSH720920:NSH720921 OCD720920:OCD720921 OLZ720920:OLZ720921 OVV720920:OVV720921 PFR720920:PFR720921 PPN720920:PPN720921 PZJ720920:PZJ720921 QJF720920:QJF720921 QTB720920:QTB720921 RCX720920:RCX720921 RMT720920:RMT720921 RWP720920:RWP720921 SGL720920:SGL720921 SQH720920:SQH720921 TAD720920:TAD720921 TJZ720920:TJZ720921 TTV720920:TTV720921 UDR720920:UDR720921 UNN720920:UNN720921 UXJ720920:UXJ720921 VHF720920:VHF720921 VRB720920:VRB720921 WAX720920:WAX720921 WKT720920:WKT720921 WUP720920:WUP720921 C786456:C786457 ID786456:ID786457 RZ786456:RZ786457 ABV786456:ABV786457 ALR786456:ALR786457 AVN786456:AVN786457 BFJ786456:BFJ786457 BPF786456:BPF786457 BZB786456:BZB786457 CIX786456:CIX786457 CST786456:CST786457 DCP786456:DCP786457 DML786456:DML786457 DWH786456:DWH786457 EGD786456:EGD786457 EPZ786456:EPZ786457 EZV786456:EZV786457 FJR786456:FJR786457 FTN786456:FTN786457 GDJ786456:GDJ786457 GNF786456:GNF786457 GXB786456:GXB786457 HGX786456:HGX786457 HQT786456:HQT786457 IAP786456:IAP786457 IKL786456:IKL786457 IUH786456:IUH786457 JED786456:JED786457 JNZ786456:JNZ786457 JXV786456:JXV786457 KHR786456:KHR786457 KRN786456:KRN786457 LBJ786456:LBJ786457 LLF786456:LLF786457 LVB786456:LVB786457 MEX786456:MEX786457 MOT786456:MOT786457 MYP786456:MYP786457 NIL786456:NIL786457 NSH786456:NSH786457 OCD786456:OCD786457 OLZ786456:OLZ786457 OVV786456:OVV786457 PFR786456:PFR786457 PPN786456:PPN786457 PZJ786456:PZJ786457 QJF786456:QJF786457 QTB786456:QTB786457 RCX786456:RCX786457 RMT786456:RMT786457 RWP786456:RWP786457 SGL786456:SGL786457 SQH786456:SQH786457 TAD786456:TAD786457 TJZ786456:TJZ786457 TTV786456:TTV786457 UDR786456:UDR786457 UNN786456:UNN786457 UXJ786456:UXJ786457 VHF786456:VHF786457 VRB786456:VRB786457 WAX786456:WAX786457 WKT786456:WKT786457 WUP786456:WUP786457 C851992:C851993 ID851992:ID851993 RZ851992:RZ851993 ABV851992:ABV851993 ALR851992:ALR851993 AVN851992:AVN851993 BFJ851992:BFJ851993 BPF851992:BPF851993 BZB851992:BZB851993 CIX851992:CIX851993 CST851992:CST851993 DCP851992:DCP851993 DML851992:DML851993 DWH851992:DWH851993 EGD851992:EGD851993 EPZ851992:EPZ851993 EZV851992:EZV851993 FJR851992:FJR851993 FTN851992:FTN851993 GDJ851992:GDJ851993 GNF851992:GNF851993 GXB851992:GXB851993 HGX851992:HGX851993 HQT851992:HQT851993 IAP851992:IAP851993 IKL851992:IKL851993 IUH851992:IUH851993 JED851992:JED851993 JNZ851992:JNZ851993 JXV851992:JXV851993 KHR851992:KHR851993 KRN851992:KRN851993 LBJ851992:LBJ851993 LLF851992:LLF851993 LVB851992:LVB851993 MEX851992:MEX851993 MOT851992:MOT851993 MYP851992:MYP851993 NIL851992:NIL851993 NSH851992:NSH851993 OCD851992:OCD851993 OLZ851992:OLZ851993 OVV851992:OVV851993 PFR851992:PFR851993 PPN851992:PPN851993 PZJ851992:PZJ851993 QJF851992:QJF851993 QTB851992:QTB851993 RCX851992:RCX851993 RMT851992:RMT851993 RWP851992:RWP851993 SGL851992:SGL851993 SQH851992:SQH851993 TAD851992:TAD851993 TJZ851992:TJZ851993 TTV851992:TTV851993 UDR851992:UDR851993 UNN851992:UNN851993 UXJ851992:UXJ851993 VHF851992:VHF851993 VRB851992:VRB851993 WAX851992:WAX851993 WKT851992:WKT851993 WUP851992:WUP851993 C917528:C917529 ID917528:ID917529 RZ917528:RZ917529 ABV917528:ABV917529 ALR917528:ALR917529 AVN917528:AVN917529 BFJ917528:BFJ917529 BPF917528:BPF917529 BZB917528:BZB917529 CIX917528:CIX917529 CST917528:CST917529 DCP917528:DCP917529 DML917528:DML917529 DWH917528:DWH917529 EGD917528:EGD917529 EPZ917528:EPZ917529 EZV917528:EZV917529 FJR917528:FJR917529 FTN917528:FTN917529 GDJ917528:GDJ917529 GNF917528:GNF917529 GXB917528:GXB917529 HGX917528:HGX917529 HQT917528:HQT917529 IAP917528:IAP917529 IKL917528:IKL917529 IUH917528:IUH917529 JED917528:JED917529 JNZ917528:JNZ917529 JXV917528:JXV917529 KHR917528:KHR917529 KRN917528:KRN917529 LBJ917528:LBJ917529 LLF917528:LLF917529 LVB917528:LVB917529 MEX917528:MEX917529 MOT917528:MOT917529 MYP917528:MYP917529 NIL917528:NIL917529 NSH917528:NSH917529 OCD917528:OCD917529 OLZ917528:OLZ917529 OVV917528:OVV917529 PFR917528:PFR917529 PPN917528:PPN917529 PZJ917528:PZJ917529 QJF917528:QJF917529 QTB917528:QTB917529 RCX917528:RCX917529 RMT917528:RMT917529 RWP917528:RWP917529 SGL917528:SGL917529 SQH917528:SQH917529 TAD917528:TAD917529 TJZ917528:TJZ917529 TTV917528:TTV917529 UDR917528:UDR917529 UNN917528:UNN917529 UXJ917528:UXJ917529 VHF917528:VHF917529 VRB917528:VRB917529 WAX917528:WAX917529 WKT917528:WKT917529 WUP917528:WUP917529 C983064:C983065 ID983064:ID983065 RZ983064:RZ983065 ABV983064:ABV983065 ALR983064:ALR983065 AVN983064:AVN983065 BFJ983064:BFJ983065 BPF983064:BPF983065 BZB983064:BZB983065 CIX983064:CIX983065 CST983064:CST983065 DCP983064:DCP983065 DML983064:DML983065 DWH983064:DWH983065 EGD983064:EGD983065 EPZ983064:EPZ983065 EZV983064:EZV983065 FJR983064:FJR983065 FTN983064:FTN983065 GDJ983064:GDJ983065 GNF983064:GNF983065 GXB983064:GXB983065 HGX983064:HGX983065 HQT983064:HQT983065 IAP983064:IAP983065 IKL983064:IKL983065 IUH983064:IUH983065 JED983064:JED983065 JNZ983064:JNZ983065 JXV983064:JXV983065 KHR983064:KHR983065 KRN983064:KRN983065 LBJ983064:LBJ983065 LLF983064:LLF983065 LVB983064:LVB983065 MEX983064:MEX983065 MOT983064:MOT983065 MYP983064:MYP983065 NIL983064:NIL983065 NSH983064:NSH983065 OCD983064:OCD983065 OLZ983064:OLZ983065 OVV983064:OVV983065 PFR983064:PFR983065 PPN983064:PPN983065 PZJ983064:PZJ983065 QJF983064:QJF983065 QTB983064:QTB983065 RCX983064:RCX983065 RMT983064:RMT983065 RWP983064:RWP983065 SGL983064:SGL983065 SQH983064:SQH983065 TAD983064:TAD983065 TJZ983064:TJZ983065 TTV983064:TTV983065 UDR983064:UDR983065 UNN983064:UNN983065 UXJ983064:UXJ983065 VHF983064:VHF983065 VRB983064:VRB983065 WAX983064:WAX983065 WKT983064:WKT983065 WUP15:WUP23 WVA983023:WVA983033 WLE983023:WLE983033 WBI983023:WBI983033 VRM983023:VRM983033 VHQ983023:VHQ983033 UXU983023:UXU983033 UNY983023:UNY983033 UEC983023:UEC983033 TUG983023:TUG983033 TKK983023:TKK983033 TAO983023:TAO983033 SQS983023:SQS983033 SGW983023:SGW983033 RXA983023:RXA983033 RNE983023:RNE983033 RDI983023:RDI983033 QTM983023:QTM983033 QJQ983023:QJQ983033 PZU983023:PZU983033 PPY983023:PPY983033 PGC983023:PGC983033 OWG983023:OWG983033 OMK983023:OMK983033 OCO983023:OCO983033 NSS983023:NSS983033 NIW983023:NIW983033 MZA983023:MZA983033 MPE983023:MPE983033 MFI983023:MFI983033 LVM983023:LVM983033 LLQ983023:LLQ983033 LBU983023:LBU983033 KRY983023:KRY983033 KIC983023:KIC983033 JYG983023:JYG983033 JOK983023:JOK983033 JEO983023:JEO983033 IUS983023:IUS983033 IKW983023:IKW983033 IBA983023:IBA983033 HRE983023:HRE983033 HHI983023:HHI983033 GXM983023:GXM983033 GNQ983023:GNQ983033 GDU983023:GDU983033 FTY983023:FTY983033 FKC983023:FKC983033 FAG983023:FAG983033 EQK983023:EQK983033 EGO983023:EGO983033 DWS983023:DWS983033 DMW983023:DMW983033 DDA983023:DDA983033 CTE983023:CTE983033 CJI983023:CJI983033 BZM983023:BZM983033 BPQ983023:BPQ983033 BFU983023:BFU983033 AVY983023:AVY983033 AMC983023:AMC983033 ACG983023:ACG983033 SK983023:SK983033 IO983023:IO983033 WVA917487:WVA917497 WLE917487:WLE917497 WBI917487:WBI917497 VRM917487:VRM917497 VHQ917487:VHQ917497 UXU917487:UXU917497 UNY917487:UNY917497 UEC917487:UEC917497 TUG917487:TUG917497 TKK917487:TKK917497 TAO917487:TAO917497 SQS917487:SQS917497 SGW917487:SGW917497 RXA917487:RXA917497 RNE917487:RNE917497 RDI917487:RDI917497 QTM917487:QTM917497 QJQ917487:QJQ917497 PZU917487:PZU917497 PPY917487:PPY917497 PGC917487:PGC917497 OWG917487:OWG917497 OMK917487:OMK917497 OCO917487:OCO917497 NSS917487:NSS917497 NIW917487:NIW917497 MZA917487:MZA917497 MPE917487:MPE917497 MFI917487:MFI917497 LVM917487:LVM917497 LLQ917487:LLQ917497 LBU917487:LBU917497 KRY917487:KRY917497 KIC917487:KIC917497 JYG917487:JYG917497 JOK917487:JOK917497 JEO917487:JEO917497 IUS917487:IUS917497 IKW917487:IKW917497 IBA917487:IBA917497 HRE917487:HRE917497 HHI917487:HHI917497 GXM917487:GXM917497 GNQ917487:GNQ917497 GDU917487:GDU917497 FTY917487:FTY917497 FKC917487:FKC917497 FAG917487:FAG917497 EQK917487:EQK917497 EGO917487:EGO917497 DWS917487:DWS917497 DMW917487:DMW917497 DDA917487:DDA917497 CTE917487:CTE917497 CJI917487:CJI917497 BZM917487:BZM917497 BPQ917487:BPQ917497 BFU917487:BFU917497 AVY917487:AVY917497 AMC917487:AMC917497 ACG917487:ACG917497 SK917487:SK917497 IO917487:IO917497 WVA851951:WVA851961 WLE851951:WLE851961 WBI851951:WBI851961 VRM851951:VRM851961 VHQ851951:VHQ851961 UXU851951:UXU851961 UNY851951:UNY851961 UEC851951:UEC851961 TUG851951:TUG851961 TKK851951:TKK851961 TAO851951:TAO851961 SQS851951:SQS851961 SGW851951:SGW851961 RXA851951:RXA851961 RNE851951:RNE851961 RDI851951:RDI851961 QTM851951:QTM851961 QJQ851951:QJQ851961 PZU851951:PZU851961 PPY851951:PPY851961 PGC851951:PGC851961 OWG851951:OWG851961 OMK851951:OMK851961 OCO851951:OCO851961 NSS851951:NSS851961 NIW851951:NIW851961 MZA851951:MZA851961 MPE851951:MPE851961 MFI851951:MFI851961 LVM851951:LVM851961 LLQ851951:LLQ851961 LBU851951:LBU851961 KRY851951:KRY851961 KIC851951:KIC851961 JYG851951:JYG851961 JOK851951:JOK851961 JEO851951:JEO851961 IUS851951:IUS851961 IKW851951:IKW851961 IBA851951:IBA851961 HRE851951:HRE851961 HHI851951:HHI851961 GXM851951:GXM851961 GNQ851951:GNQ851961 GDU851951:GDU851961 FTY851951:FTY851961 FKC851951:FKC851961 FAG851951:FAG851961 EQK851951:EQK851961 EGO851951:EGO851961 DWS851951:DWS851961 DMW851951:DMW851961 DDA851951:DDA851961 CTE851951:CTE851961 CJI851951:CJI851961 BZM851951:BZM851961 BPQ851951:BPQ851961 BFU851951:BFU851961 AVY851951:AVY851961 AMC851951:AMC851961 ACG851951:ACG851961 SK851951:SK851961 IO851951:IO851961 WVA786415:WVA786425 WLE786415:WLE786425 WBI786415:WBI786425 VRM786415:VRM786425 VHQ786415:VHQ786425 UXU786415:UXU786425 UNY786415:UNY786425 UEC786415:UEC786425 TUG786415:TUG786425 TKK786415:TKK786425 TAO786415:TAO786425 SQS786415:SQS786425 SGW786415:SGW786425 RXA786415:RXA786425 RNE786415:RNE786425 RDI786415:RDI786425 QTM786415:QTM786425 QJQ786415:QJQ786425 PZU786415:PZU786425 PPY786415:PPY786425 PGC786415:PGC786425 OWG786415:OWG786425 OMK786415:OMK786425 OCO786415:OCO786425 NSS786415:NSS786425 NIW786415:NIW786425 MZA786415:MZA786425 MPE786415:MPE786425 MFI786415:MFI786425 LVM786415:LVM786425 LLQ786415:LLQ786425 LBU786415:LBU786425 KRY786415:KRY786425 KIC786415:KIC786425 JYG786415:JYG786425 JOK786415:JOK786425 JEO786415:JEO786425 IUS786415:IUS786425 IKW786415:IKW786425 IBA786415:IBA786425 HRE786415:HRE786425 HHI786415:HHI786425 GXM786415:GXM786425 GNQ786415:GNQ786425 GDU786415:GDU786425 FTY786415:FTY786425 FKC786415:FKC786425 FAG786415:FAG786425 EQK786415:EQK786425 EGO786415:EGO786425 DWS786415:DWS786425 DMW786415:DMW786425 DDA786415:DDA786425 CTE786415:CTE786425 CJI786415:CJI786425 BZM786415:BZM786425 BPQ786415:BPQ786425 BFU786415:BFU786425 AVY786415:AVY786425 AMC786415:AMC786425 ACG786415:ACG786425 SK786415:SK786425 IO786415:IO786425 WVA720879:WVA720889 WLE720879:WLE720889 WBI720879:WBI720889 VRM720879:VRM720889 VHQ720879:VHQ720889 UXU720879:UXU720889 UNY720879:UNY720889 UEC720879:UEC720889 TUG720879:TUG720889 TKK720879:TKK720889 TAO720879:TAO720889 SQS720879:SQS720889 SGW720879:SGW720889 RXA720879:RXA720889 RNE720879:RNE720889 RDI720879:RDI720889 QTM720879:QTM720889 QJQ720879:QJQ720889 PZU720879:PZU720889 PPY720879:PPY720889 PGC720879:PGC720889 OWG720879:OWG720889 OMK720879:OMK720889 OCO720879:OCO720889 NSS720879:NSS720889 NIW720879:NIW720889 MZA720879:MZA720889 MPE720879:MPE720889 MFI720879:MFI720889 LVM720879:LVM720889 LLQ720879:LLQ720889 LBU720879:LBU720889 KRY720879:KRY720889 KIC720879:KIC720889 JYG720879:JYG720889 JOK720879:JOK720889 JEO720879:JEO720889 IUS720879:IUS720889 IKW720879:IKW720889 IBA720879:IBA720889 HRE720879:HRE720889 HHI720879:HHI720889 GXM720879:GXM720889 GNQ720879:GNQ720889 GDU720879:GDU720889 FTY720879:FTY720889 FKC720879:FKC720889 FAG720879:FAG720889 EQK720879:EQK720889 EGO720879:EGO720889 DWS720879:DWS720889 DMW720879:DMW720889 DDA720879:DDA720889 CTE720879:CTE720889 CJI720879:CJI720889 BZM720879:BZM720889 BPQ720879:BPQ720889 BFU720879:BFU720889 AVY720879:AVY720889 AMC720879:AMC720889 ACG720879:ACG720889 SK720879:SK720889 IO720879:IO720889 WVA655343:WVA655353 WLE655343:WLE655353 WBI655343:WBI655353 VRM655343:VRM655353 VHQ655343:VHQ655353 UXU655343:UXU655353 UNY655343:UNY655353 UEC655343:UEC655353 TUG655343:TUG655353 TKK655343:TKK655353 TAO655343:TAO655353 SQS655343:SQS655353 SGW655343:SGW655353 RXA655343:RXA655353 RNE655343:RNE655353 RDI655343:RDI655353 QTM655343:QTM655353 QJQ655343:QJQ655353 PZU655343:PZU655353 PPY655343:PPY655353 PGC655343:PGC655353 OWG655343:OWG655353 OMK655343:OMK655353 OCO655343:OCO655353 NSS655343:NSS655353 NIW655343:NIW655353 MZA655343:MZA655353 MPE655343:MPE655353 MFI655343:MFI655353 LVM655343:LVM655353 LLQ655343:LLQ655353 LBU655343:LBU655353 KRY655343:KRY655353 KIC655343:KIC655353 JYG655343:JYG655353 JOK655343:JOK655353 JEO655343:JEO655353 IUS655343:IUS655353 IKW655343:IKW655353 IBA655343:IBA655353 HRE655343:HRE655353 HHI655343:HHI655353 GXM655343:GXM655353 GNQ655343:GNQ655353 GDU655343:GDU655353 FTY655343:FTY655353 FKC655343:FKC655353 FAG655343:FAG655353 EQK655343:EQK655353 EGO655343:EGO655353 DWS655343:DWS655353 DMW655343:DMW655353 DDA655343:DDA655353 CTE655343:CTE655353 CJI655343:CJI655353 BZM655343:BZM655353 BPQ655343:BPQ655353 BFU655343:BFU655353 AVY655343:AVY655353 AMC655343:AMC655353 ACG655343:ACG655353 SK655343:SK655353 IO655343:IO655353 WVA589807:WVA589817 WLE589807:WLE589817 WBI589807:WBI589817 VRM589807:VRM589817 VHQ589807:VHQ589817 UXU589807:UXU589817 UNY589807:UNY589817 UEC589807:UEC589817 TUG589807:TUG589817 TKK589807:TKK589817 TAO589807:TAO589817 SQS589807:SQS589817 SGW589807:SGW589817 RXA589807:RXA589817 RNE589807:RNE589817 RDI589807:RDI589817 QTM589807:QTM589817 QJQ589807:QJQ589817 PZU589807:PZU589817 PPY589807:PPY589817 PGC589807:PGC589817 OWG589807:OWG589817 OMK589807:OMK589817 OCO589807:OCO589817 NSS589807:NSS589817 NIW589807:NIW589817 MZA589807:MZA589817 MPE589807:MPE589817 MFI589807:MFI589817 LVM589807:LVM589817 LLQ589807:LLQ589817 LBU589807:LBU589817 KRY589807:KRY589817 KIC589807:KIC589817 JYG589807:JYG589817 JOK589807:JOK589817 JEO589807:JEO589817 IUS589807:IUS589817 IKW589807:IKW589817 IBA589807:IBA589817 HRE589807:HRE589817 HHI589807:HHI589817 GXM589807:GXM589817 GNQ589807:GNQ589817 GDU589807:GDU589817 FTY589807:FTY589817 FKC589807:FKC589817 FAG589807:FAG589817 EQK589807:EQK589817 EGO589807:EGO589817 DWS589807:DWS589817 DMW589807:DMW589817 DDA589807:DDA589817 CTE589807:CTE589817 CJI589807:CJI589817 BZM589807:BZM589817 BPQ589807:BPQ589817 BFU589807:BFU589817 AVY589807:AVY589817 AMC589807:AMC589817 ACG589807:ACG589817 SK589807:SK589817 IO589807:IO589817 WVA524271:WVA524281 WLE524271:WLE524281 WBI524271:WBI524281 VRM524271:VRM524281 VHQ524271:VHQ524281 UXU524271:UXU524281 UNY524271:UNY524281 UEC524271:UEC524281 TUG524271:TUG524281 TKK524271:TKK524281 TAO524271:TAO524281 SQS524271:SQS524281 SGW524271:SGW524281 RXA524271:RXA524281 RNE524271:RNE524281 RDI524271:RDI524281 QTM524271:QTM524281 QJQ524271:QJQ524281 PZU524271:PZU524281 PPY524271:PPY524281 PGC524271:PGC524281 OWG524271:OWG524281 OMK524271:OMK524281 OCO524271:OCO524281 NSS524271:NSS524281 NIW524271:NIW524281 MZA524271:MZA524281 MPE524271:MPE524281 MFI524271:MFI524281 LVM524271:LVM524281 LLQ524271:LLQ524281 LBU524271:LBU524281 KRY524271:KRY524281 KIC524271:KIC524281 JYG524271:JYG524281 JOK524271:JOK524281 JEO524271:JEO524281 IUS524271:IUS524281 IKW524271:IKW524281 IBA524271:IBA524281 HRE524271:HRE524281 HHI524271:HHI524281 GXM524271:GXM524281 GNQ524271:GNQ524281 GDU524271:GDU524281 FTY524271:FTY524281 FKC524271:FKC524281 FAG524271:FAG524281 EQK524271:EQK524281 EGO524271:EGO524281 DWS524271:DWS524281 DMW524271:DMW524281 DDA524271:DDA524281 CTE524271:CTE524281 CJI524271:CJI524281 BZM524271:BZM524281 BPQ524271:BPQ524281 BFU524271:BFU524281 AVY524271:AVY524281 AMC524271:AMC524281 ACG524271:ACG524281 SK524271:SK524281 IO524271:IO524281 WVA458735:WVA458745 WLE458735:WLE458745 WBI458735:WBI458745 VRM458735:VRM458745 VHQ458735:VHQ458745 UXU458735:UXU458745 UNY458735:UNY458745 UEC458735:UEC458745 TUG458735:TUG458745 TKK458735:TKK458745 TAO458735:TAO458745 SQS458735:SQS458745 SGW458735:SGW458745 RXA458735:RXA458745 RNE458735:RNE458745 RDI458735:RDI458745 QTM458735:QTM458745 QJQ458735:QJQ458745 PZU458735:PZU458745 PPY458735:PPY458745 PGC458735:PGC458745 OWG458735:OWG458745 OMK458735:OMK458745 OCO458735:OCO458745 NSS458735:NSS458745 NIW458735:NIW458745 MZA458735:MZA458745 MPE458735:MPE458745 MFI458735:MFI458745 LVM458735:LVM458745 LLQ458735:LLQ458745 LBU458735:LBU458745 KRY458735:KRY458745 KIC458735:KIC458745 JYG458735:JYG458745 JOK458735:JOK458745 JEO458735:JEO458745 IUS458735:IUS458745 IKW458735:IKW458745 IBA458735:IBA458745 HRE458735:HRE458745 HHI458735:HHI458745 GXM458735:GXM458745 GNQ458735:GNQ458745 GDU458735:GDU458745 FTY458735:FTY458745 FKC458735:FKC458745 FAG458735:FAG458745 EQK458735:EQK458745 EGO458735:EGO458745 DWS458735:DWS458745 DMW458735:DMW458745 DDA458735:DDA458745 CTE458735:CTE458745 CJI458735:CJI458745 BZM458735:BZM458745 BPQ458735:BPQ458745 BFU458735:BFU458745 AVY458735:AVY458745 AMC458735:AMC458745 ACG458735:ACG458745 SK458735:SK458745 IO458735:IO458745 WVA393199:WVA393209 WLE393199:WLE393209 WBI393199:WBI393209 VRM393199:VRM393209 VHQ393199:VHQ393209 UXU393199:UXU393209 UNY393199:UNY393209 UEC393199:UEC393209 TUG393199:TUG393209 TKK393199:TKK393209 TAO393199:TAO393209 SQS393199:SQS393209 SGW393199:SGW393209 RXA393199:RXA393209 RNE393199:RNE393209 RDI393199:RDI393209 QTM393199:QTM393209 QJQ393199:QJQ393209 PZU393199:PZU393209 PPY393199:PPY393209 PGC393199:PGC393209 OWG393199:OWG393209 OMK393199:OMK393209 OCO393199:OCO393209 NSS393199:NSS393209 NIW393199:NIW393209 MZA393199:MZA393209 MPE393199:MPE393209 MFI393199:MFI393209 LVM393199:LVM393209 LLQ393199:LLQ393209 LBU393199:LBU393209 KRY393199:KRY393209 KIC393199:KIC393209 JYG393199:JYG393209 JOK393199:JOK393209 JEO393199:JEO393209 IUS393199:IUS393209 IKW393199:IKW393209 IBA393199:IBA393209 HRE393199:HRE393209 HHI393199:HHI393209 GXM393199:GXM393209 GNQ393199:GNQ393209 GDU393199:GDU393209 FTY393199:FTY393209 FKC393199:FKC393209 FAG393199:FAG393209 EQK393199:EQK393209 EGO393199:EGO393209 DWS393199:DWS393209 DMW393199:DMW393209 DDA393199:DDA393209 CTE393199:CTE393209 CJI393199:CJI393209 BZM393199:BZM393209 BPQ393199:BPQ393209 BFU393199:BFU393209 AVY393199:AVY393209 AMC393199:AMC393209 ACG393199:ACG393209 SK393199:SK393209 IO393199:IO393209 WVA327663:WVA327673 WLE327663:WLE327673 WBI327663:WBI327673 VRM327663:VRM327673 VHQ327663:VHQ327673 UXU327663:UXU327673 UNY327663:UNY327673 UEC327663:UEC327673 TUG327663:TUG327673 TKK327663:TKK327673 TAO327663:TAO327673 SQS327663:SQS327673 SGW327663:SGW327673 RXA327663:RXA327673 RNE327663:RNE327673 RDI327663:RDI327673 QTM327663:QTM327673 QJQ327663:QJQ327673 PZU327663:PZU327673 PPY327663:PPY327673 PGC327663:PGC327673 OWG327663:OWG327673 OMK327663:OMK327673 OCO327663:OCO327673 NSS327663:NSS327673 NIW327663:NIW327673 MZA327663:MZA327673 MPE327663:MPE327673 MFI327663:MFI327673 LVM327663:LVM327673 LLQ327663:LLQ327673 LBU327663:LBU327673 KRY327663:KRY327673 KIC327663:KIC327673 JYG327663:JYG327673 JOK327663:JOK327673 JEO327663:JEO327673 IUS327663:IUS327673 IKW327663:IKW327673 IBA327663:IBA327673 HRE327663:HRE327673 HHI327663:HHI327673 GXM327663:GXM327673 GNQ327663:GNQ327673 GDU327663:GDU327673 FTY327663:FTY327673 FKC327663:FKC327673 FAG327663:FAG327673 EQK327663:EQK327673 EGO327663:EGO327673 DWS327663:DWS327673 DMW327663:DMW327673 DDA327663:DDA327673 CTE327663:CTE327673 CJI327663:CJI327673 BZM327663:BZM327673 BPQ327663:BPQ327673 BFU327663:BFU327673 AVY327663:AVY327673 AMC327663:AMC327673 ACG327663:ACG327673 SK327663:SK327673 IO327663:IO327673 WVA262127:WVA262137 WLE262127:WLE262137 WBI262127:WBI262137 VRM262127:VRM262137 VHQ262127:VHQ262137 UXU262127:UXU262137 UNY262127:UNY262137 UEC262127:UEC262137 TUG262127:TUG262137 TKK262127:TKK262137 TAO262127:TAO262137 SQS262127:SQS262137 SGW262127:SGW262137 RXA262127:RXA262137 RNE262127:RNE262137 RDI262127:RDI262137 QTM262127:QTM262137 QJQ262127:QJQ262137 PZU262127:PZU262137 PPY262127:PPY262137 PGC262127:PGC262137 OWG262127:OWG262137 OMK262127:OMK262137 OCO262127:OCO262137 NSS262127:NSS262137 NIW262127:NIW262137 MZA262127:MZA262137 MPE262127:MPE262137 MFI262127:MFI262137 LVM262127:LVM262137 LLQ262127:LLQ262137 LBU262127:LBU262137 KRY262127:KRY262137 KIC262127:KIC262137 JYG262127:JYG262137 JOK262127:JOK262137 JEO262127:JEO262137 IUS262127:IUS262137 IKW262127:IKW262137 IBA262127:IBA262137 HRE262127:HRE262137 HHI262127:HHI262137 GXM262127:GXM262137 GNQ262127:GNQ262137 GDU262127:GDU262137 FTY262127:FTY262137 FKC262127:FKC262137 FAG262127:FAG262137 EQK262127:EQK262137 EGO262127:EGO262137 DWS262127:DWS262137 DMW262127:DMW262137 DDA262127:DDA262137 CTE262127:CTE262137 CJI262127:CJI262137 BZM262127:BZM262137 BPQ262127:BPQ262137 BFU262127:BFU262137 AVY262127:AVY262137 AMC262127:AMC262137 ACG262127:ACG262137 SK262127:SK262137 IO262127:IO262137 WVA196591:WVA196601 WLE196591:WLE196601 WBI196591:WBI196601 VRM196591:VRM196601 VHQ196591:VHQ196601 UXU196591:UXU196601 UNY196591:UNY196601 UEC196591:UEC196601 TUG196591:TUG196601 TKK196591:TKK196601 TAO196591:TAO196601 SQS196591:SQS196601 SGW196591:SGW196601 RXA196591:RXA196601 RNE196591:RNE196601 RDI196591:RDI196601 QTM196591:QTM196601 QJQ196591:QJQ196601 PZU196591:PZU196601 PPY196591:PPY196601 PGC196591:PGC196601 OWG196591:OWG196601 OMK196591:OMK196601 OCO196591:OCO196601 NSS196591:NSS196601 NIW196591:NIW196601 MZA196591:MZA196601 MPE196591:MPE196601 MFI196591:MFI196601 LVM196591:LVM196601 LLQ196591:LLQ196601 LBU196591:LBU196601 KRY196591:KRY196601 KIC196591:KIC196601 JYG196591:JYG196601 JOK196591:JOK196601 JEO196591:JEO196601 IUS196591:IUS196601 IKW196591:IKW196601 IBA196591:IBA196601 HRE196591:HRE196601 HHI196591:HHI196601 GXM196591:GXM196601 GNQ196591:GNQ196601 GDU196591:GDU196601 FTY196591:FTY196601 FKC196591:FKC196601 FAG196591:FAG196601 EQK196591:EQK196601 EGO196591:EGO196601 DWS196591:DWS196601 DMW196591:DMW196601 DDA196591:DDA196601 CTE196591:CTE196601 CJI196591:CJI196601 BZM196591:BZM196601 BPQ196591:BPQ196601 BFU196591:BFU196601 AVY196591:AVY196601 AMC196591:AMC196601 ACG196591:ACG196601 SK196591:SK196601 IO196591:IO196601 WVA131055:WVA131065 WLE131055:WLE131065 WBI131055:WBI131065 VRM131055:VRM131065 VHQ131055:VHQ131065 UXU131055:UXU131065 UNY131055:UNY131065 UEC131055:UEC131065 TUG131055:TUG131065 TKK131055:TKK131065 TAO131055:TAO131065 SQS131055:SQS131065 SGW131055:SGW131065 RXA131055:RXA131065 RNE131055:RNE131065 RDI131055:RDI131065 QTM131055:QTM131065 QJQ131055:QJQ131065 PZU131055:PZU131065 PPY131055:PPY131065 PGC131055:PGC131065 OWG131055:OWG131065 OMK131055:OMK131065 OCO131055:OCO131065 NSS131055:NSS131065 NIW131055:NIW131065 MZA131055:MZA131065 MPE131055:MPE131065 MFI131055:MFI131065 LVM131055:LVM131065 LLQ131055:LLQ131065 LBU131055:LBU131065 KRY131055:KRY131065 KIC131055:KIC131065 JYG131055:JYG131065 JOK131055:JOK131065 JEO131055:JEO131065 IUS131055:IUS131065 IKW131055:IKW131065 IBA131055:IBA131065 HRE131055:HRE131065 HHI131055:HHI131065 GXM131055:GXM131065 GNQ131055:GNQ131065 GDU131055:GDU131065 FTY131055:FTY131065 FKC131055:FKC131065 FAG131055:FAG131065 EQK131055:EQK131065 EGO131055:EGO131065 DWS131055:DWS131065 DMW131055:DMW131065 DDA131055:DDA131065 CTE131055:CTE131065 CJI131055:CJI131065 BZM131055:BZM131065 BPQ131055:BPQ131065 BFU131055:BFU131065 AVY131055:AVY131065 AMC131055:AMC131065 ACG131055:ACG131065 SK131055:SK131065 IO131055:IO131065 WVA65519:WVA65529 WLE65519:WLE65529 WBI65519:WBI65529 VRM65519:VRM65529 VHQ65519:VHQ65529 UXU65519:UXU65529 UNY65519:UNY65529 UEC65519:UEC65529 TUG65519:TUG65529 TKK65519:TKK65529 TAO65519:TAO65529 SQS65519:SQS65529 SGW65519:SGW65529 RXA65519:RXA65529 RNE65519:RNE65529 RDI65519:RDI65529 QTM65519:QTM65529 QJQ65519:QJQ65529 PZU65519:PZU65529 PPY65519:PPY65529 PGC65519:PGC65529 OWG65519:OWG65529 OMK65519:OMK65529 OCO65519:OCO65529 NSS65519:NSS65529 NIW65519:NIW65529 MZA65519:MZA65529 MPE65519:MPE65529 MFI65519:MFI65529 LVM65519:LVM65529 LLQ65519:LLQ65529 LBU65519:LBU65529 KRY65519:KRY65529 KIC65519:KIC65529 JYG65519:JYG65529 JOK65519:JOK65529 JEO65519:JEO65529 IUS65519:IUS65529 IKW65519:IKW65529 IBA65519:IBA65529 HRE65519:HRE65529 HHI65519:HHI65529 GXM65519:GXM65529 GNQ65519:GNQ65529 GDU65519:GDU65529 FTY65519:FTY65529 FKC65519:FKC65529 FAG65519:FAG65529 EQK65519:EQK65529 EGO65519:EGO65529 DWS65519:DWS65529 DMW65519:DMW65529 DDA65519:DDA65529 CTE65519:CTE65529 CJI65519:CJI65529 BZM65519:BZM65529 BPQ65519:BPQ65529 BFU65519:BFU65529 AVY65519:AVY65529 AMC65519:AMC65529 ACG65519:ACG65529 SK65519:SK65529 IO65519:IO65529 WUP983038:WUP983046 WKT983038:WKT983046 WAX983038:WAX983046 VRB983038:VRB983046 VHF983038:VHF983046 UXJ983038:UXJ983046 UNN983038:UNN983046 UDR983038:UDR983046 TTV983038:TTV983046 TJZ983038:TJZ983046 TAD983038:TAD983046 SQH983038:SQH983046 SGL983038:SGL983046 RWP983038:RWP983046 RMT983038:RMT983046 RCX983038:RCX983046 QTB983038:QTB983046 QJF983038:QJF983046 PZJ983038:PZJ983046 PPN983038:PPN983046 PFR983038:PFR983046 OVV983038:OVV983046 OLZ983038:OLZ983046 OCD983038:OCD983046 NSH983038:NSH983046 NIL983038:NIL983046 MYP983038:MYP983046 MOT983038:MOT983046 MEX983038:MEX983046 LVB983038:LVB983046 LLF983038:LLF983046 LBJ983038:LBJ983046 KRN983038:KRN983046 KHR983038:KHR983046 JXV983038:JXV983046 JNZ983038:JNZ983046 JED983038:JED983046 IUH983038:IUH983046 IKL983038:IKL983046 IAP983038:IAP983046 HQT983038:HQT983046 HGX983038:HGX983046 GXB983038:GXB983046 GNF983038:GNF983046 GDJ983038:GDJ983046 FTN983038:FTN983046 FJR983038:FJR983046 EZV983038:EZV983046 EPZ983038:EPZ983046 EGD983038:EGD983046 DWH983038:DWH983046 DML983038:DML983046 DCP983038:DCP983046 CST983038:CST983046 CIX983038:CIX983046 BZB983038:BZB983046 BPF983038:BPF983046 BFJ983038:BFJ983046 AVN983038:AVN983046 ALR983038:ALR983046 ABV983038:ABV983046 RZ983038:RZ983046 ID983038:ID983046 C983038:C983046 WUP917502:WUP917510 WKT917502:WKT917510 WAX917502:WAX917510 VRB917502:VRB917510 VHF917502:VHF917510 UXJ917502:UXJ917510 UNN917502:UNN917510 UDR917502:UDR917510 TTV917502:TTV917510 TJZ917502:TJZ917510 TAD917502:TAD917510 SQH917502:SQH917510 SGL917502:SGL917510 RWP917502:RWP917510 RMT917502:RMT917510 RCX917502:RCX917510 QTB917502:QTB917510 QJF917502:QJF917510 PZJ917502:PZJ917510 PPN917502:PPN917510 PFR917502:PFR917510 OVV917502:OVV917510 OLZ917502:OLZ917510 OCD917502:OCD917510 NSH917502:NSH917510 NIL917502:NIL917510 MYP917502:MYP917510 MOT917502:MOT917510 MEX917502:MEX917510 LVB917502:LVB917510 LLF917502:LLF917510 LBJ917502:LBJ917510 KRN917502:KRN917510 KHR917502:KHR917510 JXV917502:JXV917510 JNZ917502:JNZ917510 JED917502:JED917510 IUH917502:IUH917510 IKL917502:IKL917510 IAP917502:IAP917510 HQT917502:HQT917510 HGX917502:HGX917510 GXB917502:GXB917510 GNF917502:GNF917510 GDJ917502:GDJ917510 FTN917502:FTN917510 FJR917502:FJR917510 EZV917502:EZV917510 EPZ917502:EPZ917510 EGD917502:EGD917510 DWH917502:DWH917510 DML917502:DML917510 DCP917502:DCP917510 CST917502:CST917510 CIX917502:CIX917510 BZB917502:BZB917510 BPF917502:BPF917510 BFJ917502:BFJ917510 AVN917502:AVN917510 ALR917502:ALR917510 ABV917502:ABV917510 RZ917502:RZ917510 ID917502:ID917510 C917502:C917510 WUP851966:WUP851974 WKT851966:WKT851974 WAX851966:WAX851974 VRB851966:VRB851974 VHF851966:VHF851974 UXJ851966:UXJ851974 UNN851966:UNN851974 UDR851966:UDR851974 TTV851966:TTV851974 TJZ851966:TJZ851974 TAD851966:TAD851974 SQH851966:SQH851974 SGL851966:SGL851974 RWP851966:RWP851974 RMT851966:RMT851974 RCX851966:RCX851974 QTB851966:QTB851974 QJF851966:QJF851974 PZJ851966:PZJ851974 PPN851966:PPN851974 PFR851966:PFR851974 OVV851966:OVV851974 OLZ851966:OLZ851974 OCD851966:OCD851974 NSH851966:NSH851974 NIL851966:NIL851974 MYP851966:MYP851974 MOT851966:MOT851974 MEX851966:MEX851974 LVB851966:LVB851974 LLF851966:LLF851974 LBJ851966:LBJ851974 KRN851966:KRN851974 KHR851966:KHR851974 JXV851966:JXV851974 JNZ851966:JNZ851974 JED851966:JED851974 IUH851966:IUH851974 IKL851966:IKL851974 IAP851966:IAP851974 HQT851966:HQT851974 HGX851966:HGX851974 GXB851966:GXB851974 GNF851966:GNF851974 GDJ851966:GDJ851974 FTN851966:FTN851974 FJR851966:FJR851974 EZV851966:EZV851974 EPZ851966:EPZ851974 EGD851966:EGD851974 DWH851966:DWH851974 DML851966:DML851974 DCP851966:DCP851974 CST851966:CST851974 CIX851966:CIX851974 BZB851966:BZB851974 BPF851966:BPF851974 BFJ851966:BFJ851974 AVN851966:AVN851974 ALR851966:ALR851974 ABV851966:ABV851974 RZ851966:RZ851974 ID851966:ID851974 C851966:C851974 WUP786430:WUP786438 WKT786430:WKT786438 WAX786430:WAX786438 VRB786430:VRB786438 VHF786430:VHF786438 UXJ786430:UXJ786438 UNN786430:UNN786438 UDR786430:UDR786438 TTV786430:TTV786438 TJZ786430:TJZ786438 TAD786430:TAD786438 SQH786430:SQH786438 SGL786430:SGL786438 RWP786430:RWP786438 RMT786430:RMT786438 RCX786430:RCX786438 QTB786430:QTB786438 QJF786430:QJF786438 PZJ786430:PZJ786438 PPN786430:PPN786438 PFR786430:PFR786438 OVV786430:OVV786438 OLZ786430:OLZ786438 OCD786430:OCD786438 NSH786430:NSH786438 NIL786430:NIL786438 MYP786430:MYP786438 MOT786430:MOT786438 MEX786430:MEX786438 LVB786430:LVB786438 LLF786430:LLF786438 LBJ786430:LBJ786438 KRN786430:KRN786438 KHR786430:KHR786438 JXV786430:JXV786438 JNZ786430:JNZ786438 JED786430:JED786438 IUH786430:IUH786438 IKL786430:IKL786438 IAP786430:IAP786438 HQT786430:HQT786438 HGX786430:HGX786438 GXB786430:GXB786438 GNF786430:GNF786438 GDJ786430:GDJ786438 FTN786430:FTN786438 FJR786430:FJR786438 EZV786430:EZV786438 EPZ786430:EPZ786438 EGD786430:EGD786438 DWH786430:DWH786438 DML786430:DML786438 DCP786430:DCP786438 CST786430:CST786438 CIX786430:CIX786438 BZB786430:BZB786438 BPF786430:BPF786438 BFJ786430:BFJ786438 AVN786430:AVN786438 ALR786430:ALR786438 ABV786430:ABV786438 RZ786430:RZ786438 ID786430:ID786438 C786430:C786438 WUP720894:WUP720902 WKT720894:WKT720902 WAX720894:WAX720902 VRB720894:VRB720902 VHF720894:VHF720902 UXJ720894:UXJ720902 UNN720894:UNN720902 UDR720894:UDR720902 TTV720894:TTV720902 TJZ720894:TJZ720902 TAD720894:TAD720902 SQH720894:SQH720902 SGL720894:SGL720902 RWP720894:RWP720902 RMT720894:RMT720902 RCX720894:RCX720902 QTB720894:QTB720902 QJF720894:QJF720902 PZJ720894:PZJ720902 PPN720894:PPN720902 PFR720894:PFR720902 OVV720894:OVV720902 OLZ720894:OLZ720902 OCD720894:OCD720902 NSH720894:NSH720902 NIL720894:NIL720902 MYP720894:MYP720902 MOT720894:MOT720902 MEX720894:MEX720902 LVB720894:LVB720902 LLF720894:LLF720902 LBJ720894:LBJ720902 KRN720894:KRN720902 KHR720894:KHR720902 JXV720894:JXV720902 JNZ720894:JNZ720902 JED720894:JED720902 IUH720894:IUH720902 IKL720894:IKL720902 IAP720894:IAP720902 HQT720894:HQT720902 HGX720894:HGX720902 GXB720894:GXB720902 GNF720894:GNF720902 GDJ720894:GDJ720902 FTN720894:FTN720902 FJR720894:FJR720902 EZV720894:EZV720902 EPZ720894:EPZ720902 EGD720894:EGD720902 DWH720894:DWH720902 DML720894:DML720902 DCP720894:DCP720902 CST720894:CST720902 CIX720894:CIX720902 BZB720894:BZB720902 BPF720894:BPF720902 BFJ720894:BFJ720902 AVN720894:AVN720902 ALR720894:ALR720902 ABV720894:ABV720902 RZ720894:RZ720902 ID720894:ID720902 C720894:C720902 WUP655358:WUP655366 WKT655358:WKT655366 WAX655358:WAX655366 VRB655358:VRB655366 VHF655358:VHF655366 UXJ655358:UXJ655366 UNN655358:UNN655366 UDR655358:UDR655366 TTV655358:TTV655366 TJZ655358:TJZ655366 TAD655358:TAD655366 SQH655358:SQH655366 SGL655358:SGL655366 RWP655358:RWP655366 RMT655358:RMT655366 RCX655358:RCX655366 QTB655358:QTB655366 QJF655358:QJF655366 PZJ655358:PZJ655366 PPN655358:PPN655366 PFR655358:PFR655366 OVV655358:OVV655366 OLZ655358:OLZ655366 OCD655358:OCD655366 NSH655358:NSH655366 NIL655358:NIL655366 MYP655358:MYP655366 MOT655358:MOT655366 MEX655358:MEX655366 LVB655358:LVB655366 LLF655358:LLF655366 LBJ655358:LBJ655366 KRN655358:KRN655366 KHR655358:KHR655366 JXV655358:JXV655366 JNZ655358:JNZ655366 JED655358:JED655366 IUH655358:IUH655366 IKL655358:IKL655366 IAP655358:IAP655366 HQT655358:HQT655366 HGX655358:HGX655366 GXB655358:GXB655366 GNF655358:GNF655366 GDJ655358:GDJ655366 FTN655358:FTN655366 FJR655358:FJR655366 EZV655358:EZV655366 EPZ655358:EPZ655366 EGD655358:EGD655366 DWH655358:DWH655366 DML655358:DML655366 DCP655358:DCP655366 CST655358:CST655366 CIX655358:CIX655366 BZB655358:BZB655366 BPF655358:BPF655366 BFJ655358:BFJ655366 AVN655358:AVN655366 ALR655358:ALR655366 ABV655358:ABV655366 RZ655358:RZ655366 ID655358:ID655366 C655358:C655366 WUP589822:WUP589830 WKT589822:WKT589830 WAX589822:WAX589830 VRB589822:VRB589830 VHF589822:VHF589830 UXJ589822:UXJ589830 UNN589822:UNN589830 UDR589822:UDR589830 TTV589822:TTV589830 TJZ589822:TJZ589830 TAD589822:TAD589830 SQH589822:SQH589830 SGL589822:SGL589830 RWP589822:RWP589830 RMT589822:RMT589830 RCX589822:RCX589830 QTB589822:QTB589830 QJF589822:QJF589830 PZJ589822:PZJ589830 PPN589822:PPN589830 PFR589822:PFR589830 OVV589822:OVV589830 OLZ589822:OLZ589830 OCD589822:OCD589830 NSH589822:NSH589830 NIL589822:NIL589830 MYP589822:MYP589830 MOT589822:MOT589830 MEX589822:MEX589830 LVB589822:LVB589830 LLF589822:LLF589830 LBJ589822:LBJ589830 KRN589822:KRN589830 KHR589822:KHR589830 JXV589822:JXV589830 JNZ589822:JNZ589830 JED589822:JED589830 IUH589822:IUH589830 IKL589822:IKL589830 IAP589822:IAP589830 HQT589822:HQT589830 HGX589822:HGX589830 GXB589822:GXB589830 GNF589822:GNF589830 GDJ589822:GDJ589830 FTN589822:FTN589830 FJR589822:FJR589830 EZV589822:EZV589830 EPZ589822:EPZ589830 EGD589822:EGD589830 DWH589822:DWH589830 DML589822:DML589830 DCP589822:DCP589830 CST589822:CST589830 CIX589822:CIX589830 BZB589822:BZB589830 BPF589822:BPF589830 BFJ589822:BFJ589830 AVN589822:AVN589830 ALR589822:ALR589830 ABV589822:ABV589830 RZ589822:RZ589830 ID589822:ID589830 C589822:C589830 WUP524286:WUP524294 WKT524286:WKT524294 WAX524286:WAX524294 VRB524286:VRB524294 VHF524286:VHF524294 UXJ524286:UXJ524294 UNN524286:UNN524294 UDR524286:UDR524294 TTV524286:TTV524294 TJZ524286:TJZ524294 TAD524286:TAD524294 SQH524286:SQH524294 SGL524286:SGL524294 RWP524286:RWP524294 RMT524286:RMT524294 RCX524286:RCX524294 QTB524286:QTB524294 QJF524286:QJF524294 PZJ524286:PZJ524294 PPN524286:PPN524294 PFR524286:PFR524294 OVV524286:OVV524294 OLZ524286:OLZ524294 OCD524286:OCD524294 NSH524286:NSH524294 NIL524286:NIL524294 MYP524286:MYP524294 MOT524286:MOT524294 MEX524286:MEX524294 LVB524286:LVB524294 LLF524286:LLF524294 LBJ524286:LBJ524294 KRN524286:KRN524294 KHR524286:KHR524294 JXV524286:JXV524294 JNZ524286:JNZ524294 JED524286:JED524294 IUH524286:IUH524294 IKL524286:IKL524294 IAP524286:IAP524294 HQT524286:HQT524294 HGX524286:HGX524294 GXB524286:GXB524294 GNF524286:GNF524294 GDJ524286:GDJ524294 FTN524286:FTN524294 FJR524286:FJR524294 EZV524286:EZV524294 EPZ524286:EPZ524294 EGD524286:EGD524294 DWH524286:DWH524294 DML524286:DML524294 DCP524286:DCP524294 CST524286:CST524294 CIX524286:CIX524294 BZB524286:BZB524294 BPF524286:BPF524294 BFJ524286:BFJ524294 AVN524286:AVN524294 ALR524286:ALR524294 ABV524286:ABV524294 RZ524286:RZ524294 ID524286:ID524294 C524286:C524294 WUP458750:WUP458758 WKT458750:WKT458758 WAX458750:WAX458758 VRB458750:VRB458758 VHF458750:VHF458758 UXJ458750:UXJ458758 UNN458750:UNN458758 UDR458750:UDR458758 TTV458750:TTV458758 TJZ458750:TJZ458758 TAD458750:TAD458758 SQH458750:SQH458758 SGL458750:SGL458758 RWP458750:RWP458758 RMT458750:RMT458758 RCX458750:RCX458758 QTB458750:QTB458758 QJF458750:QJF458758 PZJ458750:PZJ458758 PPN458750:PPN458758 PFR458750:PFR458758 OVV458750:OVV458758 OLZ458750:OLZ458758 OCD458750:OCD458758 NSH458750:NSH458758 NIL458750:NIL458758 MYP458750:MYP458758 MOT458750:MOT458758 MEX458750:MEX458758 LVB458750:LVB458758 LLF458750:LLF458758 LBJ458750:LBJ458758 KRN458750:KRN458758 KHR458750:KHR458758 JXV458750:JXV458758 JNZ458750:JNZ458758 JED458750:JED458758 IUH458750:IUH458758 IKL458750:IKL458758 IAP458750:IAP458758 HQT458750:HQT458758 HGX458750:HGX458758 GXB458750:GXB458758 GNF458750:GNF458758 GDJ458750:GDJ458758 FTN458750:FTN458758 FJR458750:FJR458758 EZV458750:EZV458758 EPZ458750:EPZ458758 EGD458750:EGD458758 DWH458750:DWH458758 DML458750:DML458758 DCP458750:DCP458758 CST458750:CST458758 CIX458750:CIX458758 BZB458750:BZB458758 BPF458750:BPF458758 BFJ458750:BFJ458758 AVN458750:AVN458758 ALR458750:ALR458758 ABV458750:ABV458758 RZ458750:RZ458758 ID458750:ID458758 C458750:C458758 WUP393214:WUP393222 WKT393214:WKT393222 WAX393214:WAX393222 VRB393214:VRB393222 VHF393214:VHF393222 UXJ393214:UXJ393222 UNN393214:UNN393222 UDR393214:UDR393222 TTV393214:TTV393222 TJZ393214:TJZ393222 TAD393214:TAD393222 SQH393214:SQH393222 SGL393214:SGL393222 RWP393214:RWP393222 RMT393214:RMT393222 RCX393214:RCX393222 QTB393214:QTB393222 QJF393214:QJF393222 PZJ393214:PZJ393222 PPN393214:PPN393222 PFR393214:PFR393222 OVV393214:OVV393222 OLZ393214:OLZ393222 OCD393214:OCD393222 NSH393214:NSH393222 NIL393214:NIL393222 MYP393214:MYP393222 MOT393214:MOT393222 MEX393214:MEX393222 LVB393214:LVB393222 LLF393214:LLF393222 LBJ393214:LBJ393222 KRN393214:KRN393222 KHR393214:KHR393222 JXV393214:JXV393222 JNZ393214:JNZ393222 JED393214:JED393222 IUH393214:IUH393222 IKL393214:IKL393222 IAP393214:IAP393222 HQT393214:HQT393222 HGX393214:HGX393222 GXB393214:GXB393222 GNF393214:GNF393222 GDJ393214:GDJ393222 FTN393214:FTN393222 FJR393214:FJR393222 EZV393214:EZV393222 EPZ393214:EPZ393222 EGD393214:EGD393222 DWH393214:DWH393222 DML393214:DML393222 DCP393214:DCP393222 CST393214:CST393222 CIX393214:CIX393222 BZB393214:BZB393222 BPF393214:BPF393222 BFJ393214:BFJ393222 AVN393214:AVN393222 ALR393214:ALR393222 ABV393214:ABV393222 RZ393214:RZ393222 ID393214:ID393222 C393214:C393222 WUP327678:WUP327686 WKT327678:WKT327686 WAX327678:WAX327686 VRB327678:VRB327686 VHF327678:VHF327686 UXJ327678:UXJ327686 UNN327678:UNN327686 UDR327678:UDR327686 TTV327678:TTV327686 TJZ327678:TJZ327686 TAD327678:TAD327686 SQH327678:SQH327686 SGL327678:SGL327686 RWP327678:RWP327686 RMT327678:RMT327686 RCX327678:RCX327686 QTB327678:QTB327686 QJF327678:QJF327686 PZJ327678:PZJ327686 PPN327678:PPN327686 PFR327678:PFR327686 OVV327678:OVV327686 OLZ327678:OLZ327686 OCD327678:OCD327686 NSH327678:NSH327686 NIL327678:NIL327686 MYP327678:MYP327686 MOT327678:MOT327686 MEX327678:MEX327686 LVB327678:LVB327686 LLF327678:LLF327686 LBJ327678:LBJ327686 KRN327678:KRN327686 KHR327678:KHR327686 JXV327678:JXV327686 JNZ327678:JNZ327686 JED327678:JED327686 IUH327678:IUH327686 IKL327678:IKL327686 IAP327678:IAP327686 HQT327678:HQT327686 HGX327678:HGX327686 GXB327678:GXB327686 GNF327678:GNF327686 GDJ327678:GDJ327686 FTN327678:FTN327686 FJR327678:FJR327686 EZV327678:EZV327686 EPZ327678:EPZ327686 EGD327678:EGD327686 DWH327678:DWH327686 DML327678:DML327686 DCP327678:DCP327686 CST327678:CST327686 CIX327678:CIX327686 BZB327678:BZB327686 BPF327678:BPF327686 BFJ327678:BFJ327686 AVN327678:AVN327686 ALR327678:ALR327686 ABV327678:ABV327686 RZ327678:RZ327686 ID327678:ID327686 C327678:C327686 WUP262142:WUP262150 WKT262142:WKT262150 WAX262142:WAX262150 VRB262142:VRB262150 VHF262142:VHF262150 UXJ262142:UXJ262150 UNN262142:UNN262150 UDR262142:UDR262150 TTV262142:TTV262150 TJZ262142:TJZ262150 TAD262142:TAD262150 SQH262142:SQH262150 SGL262142:SGL262150 RWP262142:RWP262150 RMT262142:RMT262150 RCX262142:RCX262150 QTB262142:QTB262150 QJF262142:QJF262150 PZJ262142:PZJ262150 PPN262142:PPN262150 PFR262142:PFR262150 OVV262142:OVV262150 OLZ262142:OLZ262150 OCD262142:OCD262150 NSH262142:NSH262150 NIL262142:NIL262150 MYP262142:MYP262150 MOT262142:MOT262150 MEX262142:MEX262150 LVB262142:LVB262150 LLF262142:LLF262150 LBJ262142:LBJ262150 KRN262142:KRN262150 KHR262142:KHR262150 JXV262142:JXV262150 JNZ262142:JNZ262150 JED262142:JED262150 IUH262142:IUH262150 IKL262142:IKL262150 IAP262142:IAP262150 HQT262142:HQT262150 HGX262142:HGX262150 GXB262142:GXB262150 GNF262142:GNF262150 GDJ262142:GDJ262150 FTN262142:FTN262150 FJR262142:FJR262150 EZV262142:EZV262150 EPZ262142:EPZ262150 EGD262142:EGD262150 DWH262142:DWH262150 DML262142:DML262150 DCP262142:DCP262150 CST262142:CST262150 CIX262142:CIX262150 BZB262142:BZB262150 BPF262142:BPF262150 BFJ262142:BFJ262150 AVN262142:AVN262150 ALR262142:ALR262150 ABV262142:ABV262150 RZ262142:RZ262150 ID262142:ID262150 C262142:C262150 WUP196606:WUP196614 WKT196606:WKT196614 WAX196606:WAX196614 VRB196606:VRB196614 VHF196606:VHF196614 UXJ196606:UXJ196614 UNN196606:UNN196614 UDR196606:UDR196614 TTV196606:TTV196614 TJZ196606:TJZ196614 TAD196606:TAD196614 SQH196606:SQH196614 SGL196606:SGL196614 RWP196606:RWP196614 RMT196606:RMT196614 RCX196606:RCX196614 QTB196606:QTB196614 QJF196606:QJF196614 PZJ196606:PZJ196614 PPN196606:PPN196614 PFR196606:PFR196614 OVV196606:OVV196614 OLZ196606:OLZ196614 OCD196606:OCD196614 NSH196606:NSH196614 NIL196606:NIL196614 MYP196606:MYP196614 MOT196606:MOT196614 MEX196606:MEX196614 LVB196606:LVB196614 LLF196606:LLF196614 LBJ196606:LBJ196614 KRN196606:KRN196614 KHR196606:KHR196614 JXV196606:JXV196614 JNZ196606:JNZ196614 JED196606:JED196614 IUH196606:IUH196614 IKL196606:IKL196614 IAP196606:IAP196614 HQT196606:HQT196614 HGX196606:HGX196614 GXB196606:GXB196614 GNF196606:GNF196614 GDJ196606:GDJ196614 FTN196606:FTN196614 FJR196606:FJR196614 EZV196606:EZV196614 EPZ196606:EPZ196614 EGD196606:EGD196614 DWH196606:DWH196614 DML196606:DML196614 DCP196606:DCP196614 CST196606:CST196614 CIX196606:CIX196614 BZB196606:BZB196614 BPF196606:BPF196614 BFJ196606:BFJ196614 AVN196606:AVN196614 ALR196606:ALR196614 ABV196606:ABV196614 RZ196606:RZ196614 ID196606:ID196614 C196606:C196614 WUP131070:WUP131078 WKT131070:WKT131078 WAX131070:WAX131078 VRB131070:VRB131078 VHF131070:VHF131078 UXJ131070:UXJ131078 UNN131070:UNN131078 UDR131070:UDR131078 TTV131070:TTV131078 TJZ131070:TJZ131078 TAD131070:TAD131078 SQH131070:SQH131078 SGL131070:SGL131078 RWP131070:RWP131078 RMT131070:RMT131078 RCX131070:RCX131078 QTB131070:QTB131078 QJF131070:QJF131078 PZJ131070:PZJ131078 PPN131070:PPN131078 PFR131070:PFR131078 OVV131070:OVV131078 OLZ131070:OLZ131078 OCD131070:OCD131078 NSH131070:NSH131078 NIL131070:NIL131078 MYP131070:MYP131078 MOT131070:MOT131078 MEX131070:MEX131078 LVB131070:LVB131078 LLF131070:LLF131078 LBJ131070:LBJ131078 KRN131070:KRN131078 KHR131070:KHR131078 JXV131070:JXV131078 JNZ131070:JNZ131078 JED131070:JED131078 IUH131070:IUH131078 IKL131070:IKL131078 IAP131070:IAP131078 HQT131070:HQT131078 HGX131070:HGX131078 GXB131070:GXB131078 GNF131070:GNF131078 GDJ131070:GDJ131078 FTN131070:FTN131078 FJR131070:FJR131078 EZV131070:EZV131078 EPZ131070:EPZ131078 EGD131070:EGD131078 DWH131070:DWH131078 DML131070:DML131078 DCP131070:DCP131078 CST131070:CST131078 CIX131070:CIX131078 BZB131070:BZB131078 BPF131070:BPF131078 BFJ131070:BFJ131078 AVN131070:AVN131078 ALR131070:ALR131078 ABV131070:ABV131078 RZ131070:RZ131078 ID131070:ID131078 C131070:C131078 WUP65534:WUP65542 WKT65534:WKT65542 WAX65534:WAX65542 VRB65534:VRB65542 VHF65534:VHF65542 UXJ65534:UXJ65542 UNN65534:UNN65542 UDR65534:UDR65542 TTV65534:TTV65542 TJZ65534:TJZ65542 TAD65534:TAD65542 SQH65534:SQH65542 SGL65534:SGL65542 RWP65534:RWP65542 RMT65534:RMT65542 RCX65534:RCX65542 QTB65534:QTB65542 QJF65534:QJF65542 PZJ65534:PZJ65542 PPN65534:PPN65542 PFR65534:PFR65542 OVV65534:OVV65542 OLZ65534:OLZ65542 OCD65534:OCD65542 NSH65534:NSH65542 NIL65534:NIL65542 MYP65534:MYP65542 MOT65534:MOT65542 MEX65534:MEX65542 LVB65534:LVB65542 LLF65534:LLF65542 LBJ65534:LBJ65542 KRN65534:KRN65542 KHR65534:KHR65542 JXV65534:JXV65542 JNZ65534:JNZ65542 JED65534:JED65542 IUH65534:IUH65542 IKL65534:IKL65542 IAP65534:IAP65542 HQT65534:HQT65542 HGX65534:HGX65542 GXB65534:GXB65542 GNF65534:GNF65542 GDJ65534:GDJ65542 FTN65534:FTN65542 FJR65534:FJR65542 EZV65534:EZV65542 EPZ65534:EPZ65542 EGD65534:EGD65542 DWH65534:DWH65542 DML65534:DML65542 DCP65534:DCP65542 CST65534:CST65542 CIX65534:CIX65542 BZB65534:BZB65542 BPF65534:BPF65542 BFJ65534:BFJ65542 AVN65534:AVN65542 ALR65534:ALR65542 ABV65534:ABV65542 RZ65534:RZ65542 ID65534:ID65542 C65534:C65542 WKT15:WKT23 WAX15:WAX23 VRB15:VRB23 VHF15:VHF23 UXJ15:UXJ23 UNN15:UNN23 UDR15:UDR23 TTV15:TTV23 TJZ15:TJZ23 TAD15:TAD23 SQH15:SQH23 SGL15:SGL23 RWP15:RWP23 RMT15:RMT23 RCX15:RCX23 QTB15:QTB23 QJF15:QJF23 PZJ15:PZJ23 PPN15:PPN23 PFR15:PFR23 OVV15:OVV23 OLZ15:OLZ23 OCD15:OCD23 NSH15:NSH23 NIL15:NIL23 MYP15:MYP23 MOT15:MOT23 MEX15:MEX23 LVB15:LVB23 LLF15:LLF23 LBJ15:LBJ23 KRN15:KRN23 KHR15:KHR23 JXV15:JXV23 JNZ15:JNZ23 JED15:JED23 IUH15:IUH23 IKL15:IKL23 IAP15:IAP23 HQT15:HQT23 HGX15:HGX23 GXB15:GXB23 GNF15:GNF23 GDJ15:GDJ23 FTN15:FTN23 FJR15:FJR23 EZV15:EZV23 EPZ15:EPZ23 EGD15:EGD23 DWH15:DWH23 DML15:DML23 DCP15:DCP23 CST15:CST23 CIX15:CIX23 BZB15:BZB23 BPF15:BPF23 BFJ15:BFJ23 AVN15:AVN23 ALR15:ALR23 ABV15:ABV23 ID15:ID23" xr:uid="{00000000-0002-0000-0D00-000002000000}">
      <formula1>#REF!</formula1>
    </dataValidation>
  </dataValidations>
  <printOptions horizontalCentered="1"/>
  <pageMargins left="0.78740157480314965" right="0.35433070866141736" top="0.39370078740157483" bottom="0.39370078740157483" header="0.31496062992125984" footer="0.11811023622047245"/>
  <pageSetup paperSize="9" scale="5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12">
        <x14:dataValidation type="list" allowBlank="1" showInputMessage="1" showErrorMessage="1" xr:uid="{00000000-0002-0000-0D00-000003000000}">
          <x14:formula1>
            <xm:f>'/Users/yazan/Library/Containers/com.microsoft.Excel/Data/Documents/\\hflserver\users\Samuel.Antunes\Desktop\New  folder\COST SHEET\[Pollustop Cost Sheet.xlsx]Base Costs'!#REF!</xm:f>
          </x14:formula1>
          <xm:sqref>B9</xm:sqref>
        </x14:dataValidation>
        <x14:dataValidation type="list" allowBlank="1" showInputMessage="1" showErrorMessage="1" xr:uid="{00000000-0002-0000-0D00-000004000000}">
          <x14:formula1>
            <xm:f>'Base Costs'!$E$4:$E$213</xm:f>
          </x14:formula1>
          <xm:sqref>D53</xm:sqref>
        </x14:dataValidation>
        <x14:dataValidation type="list" allowBlank="1" showInputMessage="1" showErrorMessage="1" xr:uid="{00000000-0002-0000-0D00-000005000000}">
          <x14:formula1>
            <xm:f>'Base Costs'!$A$4:$A$16</xm:f>
          </x14:formula1>
          <xm:sqref>D54</xm:sqref>
        </x14:dataValidation>
        <x14:dataValidation type="list" allowBlank="1" showInputMessage="1" showErrorMessage="1" xr:uid="{00000000-0002-0000-0D00-000006000000}">
          <x14:formula1>
            <xm:f>'Base Costs'!$AP$98:$AP$108</xm:f>
          </x14:formula1>
          <xm:sqref>C22</xm:sqref>
        </x14:dataValidation>
        <x14:dataValidation type="list" allowBlank="1" showInputMessage="1" showErrorMessage="1" xr:uid="{00000000-0002-0000-0D00-000007000000}">
          <x14:formula1>
            <xm:f>'Base Costs'!$AP$85:$AP$95</xm:f>
          </x14:formula1>
          <xm:sqref>C21</xm:sqref>
        </x14:dataValidation>
        <x14:dataValidation type="list" allowBlank="1" showInputMessage="1" showErrorMessage="1" xr:uid="{00000000-0002-0000-0D00-000008000000}">
          <x14:formula1>
            <xm:f>'Base Costs'!$AP$72:$AP$82</xm:f>
          </x14:formula1>
          <xm:sqref>C20</xm:sqref>
        </x14:dataValidation>
        <x14:dataValidation type="list" allowBlank="1" showInputMessage="1" showErrorMessage="1" xr:uid="{00000000-0002-0000-0D00-000009000000}">
          <x14:formula1>
            <xm:f>'Base Costs'!$AP$59:$AP$69</xm:f>
          </x14:formula1>
          <xm:sqref>C19</xm:sqref>
        </x14:dataValidation>
        <x14:dataValidation type="list" allowBlank="1" showInputMessage="1" showErrorMessage="1" xr:uid="{00000000-0002-0000-0D00-00000A000000}">
          <x14:formula1>
            <xm:f>'Base Costs'!$AP$46:$AP$56</xm:f>
          </x14:formula1>
          <xm:sqref>C18</xm:sqref>
        </x14:dataValidation>
        <x14:dataValidation type="list" allowBlank="1" showInputMessage="1" showErrorMessage="1" xr:uid="{00000000-0002-0000-0D00-00000B000000}">
          <x14:formula1>
            <xm:f>'Base Costs'!$AP$33:$AP$43</xm:f>
          </x14:formula1>
          <xm:sqref>C17</xm:sqref>
        </x14:dataValidation>
        <x14:dataValidation type="list" allowBlank="1" showInputMessage="1" showErrorMessage="1" xr:uid="{00000000-0002-0000-0D00-00000C000000}">
          <x14:formula1>
            <xm:f>'Base Costs'!$AP$20:$AP$30</xm:f>
          </x14:formula1>
          <xm:sqref>C16</xm:sqref>
        </x14:dataValidation>
        <x14:dataValidation type="list" allowBlank="1" showInputMessage="1" showErrorMessage="1" xr:uid="{00000000-0002-0000-0D00-00000D000000}">
          <x14:formula1>
            <xm:f>'Base Costs'!$AP$6:$AP$16</xm:f>
          </x14:formula1>
          <xm:sqref>C15</xm:sqref>
        </x14:dataValidation>
        <x14:dataValidation type="list" allowBlank="1" showInputMessage="1" showErrorMessage="1" xr:uid="{00000000-0002-0000-0D00-00000E000000}">
          <x14:formula1>
            <xm:f>'Base Costs'!$AP$111:$AP$121</xm:f>
          </x14:formula1>
          <xm:sqref>C23</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74C6-09A3-4089-A79B-50994CE58677}">
  <sheetPr>
    <tabColor theme="8" tint="0.79998168889431442"/>
    <pageSetUpPr fitToPage="1"/>
  </sheetPr>
  <dimension ref="A1:AD150"/>
  <sheetViews>
    <sheetView showGridLines="0" zoomScale="80" zoomScaleNormal="80" zoomScaleSheetLayoutView="50" workbookViewId="0">
      <selection activeCell="P12" sqref="P12"/>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1508</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IF(D9=0,0,(SUBTOTAL(9,M14:M37)/(1-D9))-M9)</f>
        <v>0</v>
      </c>
      <c r="I9" s="234"/>
      <c r="K9" s="25">
        <f>SUBTOTAL(9,K12:K37)</f>
        <v>0</v>
      </c>
      <c r="L9" s="984"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6">
        <f>E14</f>
        <v>0</v>
      </c>
      <c r="F12" s="850">
        <v>0</v>
      </c>
      <c r="G12" s="1048">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1465</v>
      </c>
      <c r="D14" s="460" t="s">
        <v>1113</v>
      </c>
      <c r="E14" s="461">
        <v>0</v>
      </c>
      <c r="F14" s="909">
        <v>730</v>
      </c>
      <c r="G14" s="909">
        <v>2065</v>
      </c>
      <c r="H14" s="910">
        <v>750</v>
      </c>
      <c r="I14" s="31"/>
      <c r="J14" s="380">
        <v>1673.52</v>
      </c>
      <c r="K14" s="378">
        <f t="shared" ref="K14:K23" si="0">SUM(J14*E14)</f>
        <v>0</v>
      </c>
      <c r="L14" s="911">
        <v>0.5</v>
      </c>
      <c r="M14" s="311">
        <f t="shared" ref="M14:M21" si="1">(K14/(1-L14))*(1+$D$9)</f>
        <v>0</v>
      </c>
      <c r="N14" s="378">
        <f>(M14*VLOOKUP($C$9,'Base Costs'!$A$32:$B$37,2,FALSE))</f>
        <v>0</v>
      </c>
      <c r="O14" s="379">
        <f t="shared" ref="O14:O21" si="2">M14-K14</f>
        <v>0</v>
      </c>
      <c r="U14" s="229"/>
      <c r="AA14" s="217"/>
    </row>
    <row r="15" spans="1:28" ht="15" customHeight="1" x14ac:dyDescent="0.2">
      <c r="A15" s="215">
        <v>104</v>
      </c>
      <c r="C15" s="869" t="s">
        <v>1466</v>
      </c>
      <c r="D15" s="460" t="s">
        <v>1115</v>
      </c>
      <c r="E15" s="448">
        <v>0</v>
      </c>
      <c r="F15" s="909">
        <v>1330</v>
      </c>
      <c r="G15" s="909">
        <v>2065</v>
      </c>
      <c r="H15" s="910">
        <v>750</v>
      </c>
      <c r="I15" s="31"/>
      <c r="J15" s="380">
        <v>1818.48</v>
      </c>
      <c r="K15" s="378">
        <f t="shared" si="0"/>
        <v>0</v>
      </c>
      <c r="L15" s="911">
        <v>0.5</v>
      </c>
      <c r="M15" s="311">
        <f t="shared" si="1"/>
        <v>0</v>
      </c>
      <c r="N15" s="378">
        <f>(M15*VLOOKUP($C$9,'Base Costs'!$A$32:$B$37,2,FALSE))</f>
        <v>0</v>
      </c>
      <c r="O15" s="379">
        <f t="shared" si="2"/>
        <v>0</v>
      </c>
      <c r="U15" s="229"/>
      <c r="AA15" s="217"/>
    </row>
    <row r="16" spans="1:28" ht="15" customHeight="1" x14ac:dyDescent="0.2">
      <c r="A16" s="215">
        <v>234</v>
      </c>
      <c r="C16" s="270" t="s">
        <v>1467</v>
      </c>
      <c r="D16" s="460" t="s">
        <v>1117</v>
      </c>
      <c r="E16" s="448">
        <v>0</v>
      </c>
      <c r="F16" s="909">
        <v>1330</v>
      </c>
      <c r="G16" s="909">
        <v>2065</v>
      </c>
      <c r="H16" s="910">
        <v>1050</v>
      </c>
      <c r="I16" s="31"/>
      <c r="J16" s="380">
        <v>2438.69</v>
      </c>
      <c r="K16" s="378">
        <f t="shared" si="0"/>
        <v>0</v>
      </c>
      <c r="L16" s="911">
        <v>0.5</v>
      </c>
      <c r="M16" s="311">
        <f t="shared" si="1"/>
        <v>0</v>
      </c>
      <c r="N16" s="378">
        <f>(M16*VLOOKUP($C$9,'Base Costs'!$A$32:$B$37,2,FALSE))</f>
        <v>0</v>
      </c>
      <c r="O16" s="379">
        <f t="shared" si="2"/>
        <v>0</v>
      </c>
      <c r="U16" s="229"/>
      <c r="AA16" s="217"/>
    </row>
    <row r="17" spans="1:27" ht="15" customHeight="1" x14ac:dyDescent="0.2">
      <c r="C17" s="791" t="s">
        <v>1468</v>
      </c>
      <c r="D17" s="460" t="s">
        <v>1119</v>
      </c>
      <c r="E17" s="448">
        <v>0</v>
      </c>
      <c r="F17" s="909">
        <v>1330</v>
      </c>
      <c r="G17" s="909">
        <v>2065</v>
      </c>
      <c r="H17" s="910">
        <v>1350</v>
      </c>
      <c r="I17" s="31"/>
      <c r="J17" s="380">
        <v>2583.54</v>
      </c>
      <c r="K17" s="378">
        <f t="shared" si="0"/>
        <v>0</v>
      </c>
      <c r="L17" s="911">
        <v>0.5</v>
      </c>
      <c r="M17" s="311">
        <f t="shared" si="1"/>
        <v>0</v>
      </c>
      <c r="N17" s="378">
        <f>(M17*VLOOKUP($C$9,'Base Costs'!$A$32:$B$37,2,FALSE))</f>
        <v>0</v>
      </c>
      <c r="O17" s="379">
        <f t="shared" si="2"/>
        <v>0</v>
      </c>
      <c r="U17" s="229"/>
      <c r="AA17" s="217"/>
    </row>
    <row r="18" spans="1:27" ht="15" customHeight="1" x14ac:dyDescent="0.2">
      <c r="C18" s="869" t="s">
        <v>1471</v>
      </c>
      <c r="D18" s="460" t="s">
        <v>1108</v>
      </c>
      <c r="E18" s="448">
        <v>0</v>
      </c>
      <c r="F18" s="849">
        <v>730</v>
      </c>
      <c r="G18" s="909">
        <v>2065</v>
      </c>
      <c r="H18" s="910">
        <v>750</v>
      </c>
      <c r="I18" s="31"/>
      <c r="J18" s="380">
        <v>1673.52</v>
      </c>
      <c r="K18" s="378">
        <f t="shared" si="0"/>
        <v>0</v>
      </c>
      <c r="L18" s="911">
        <v>0.5</v>
      </c>
      <c r="M18" s="311">
        <f t="shared" si="1"/>
        <v>0</v>
      </c>
      <c r="N18" s="378">
        <f>(M18*VLOOKUP($C$9,'Base Costs'!$A$32:$B$37,2,FALSE))</f>
        <v>0</v>
      </c>
      <c r="O18" s="379">
        <f t="shared" si="2"/>
        <v>0</v>
      </c>
      <c r="U18" s="229"/>
      <c r="AA18" s="217"/>
    </row>
    <row r="19" spans="1:27" ht="15" customHeight="1" x14ac:dyDescent="0.2">
      <c r="C19" s="869" t="s">
        <v>1472</v>
      </c>
      <c r="D19" s="460" t="s">
        <v>1110</v>
      </c>
      <c r="E19" s="448">
        <v>0</v>
      </c>
      <c r="F19" s="909">
        <v>1330</v>
      </c>
      <c r="G19" s="909">
        <v>2065</v>
      </c>
      <c r="H19" s="910">
        <v>750</v>
      </c>
      <c r="I19" s="31"/>
      <c r="J19" s="380">
        <v>1818.48</v>
      </c>
      <c r="K19" s="378">
        <f t="shared" si="0"/>
        <v>0</v>
      </c>
      <c r="L19" s="911">
        <v>0.5</v>
      </c>
      <c r="M19" s="311">
        <f t="shared" si="1"/>
        <v>0</v>
      </c>
      <c r="N19" s="378">
        <f>(M19*VLOOKUP($C$9,'Base Costs'!$A$32:$B$37,2,FALSE))</f>
        <v>0</v>
      </c>
      <c r="O19" s="379">
        <f t="shared" si="2"/>
        <v>0</v>
      </c>
      <c r="U19" s="229"/>
      <c r="AA19" s="217"/>
    </row>
    <row r="20" spans="1:27" ht="15" customHeight="1" x14ac:dyDescent="0.15">
      <c r="C20" s="869" t="s">
        <v>1473</v>
      </c>
      <c r="D20" s="460" t="s">
        <v>1469</v>
      </c>
      <c r="E20" s="448">
        <v>0</v>
      </c>
      <c r="F20" s="912">
        <v>1930</v>
      </c>
      <c r="G20" s="912">
        <v>2065</v>
      </c>
      <c r="H20" s="913">
        <v>750</v>
      </c>
      <c r="I20" s="31"/>
      <c r="J20" s="380">
        <v>2525.69</v>
      </c>
      <c r="K20" s="378">
        <f t="shared" si="0"/>
        <v>0</v>
      </c>
      <c r="L20" s="911">
        <v>0.5</v>
      </c>
      <c r="M20" s="311">
        <f t="shared" si="1"/>
        <v>0</v>
      </c>
      <c r="N20" s="378">
        <f>(M20*VLOOKUP($C$9,'Base Costs'!$A$32:$B$37,2,FALSE))</f>
        <v>0</v>
      </c>
      <c r="O20" s="379">
        <f t="shared" si="2"/>
        <v>0</v>
      </c>
      <c r="U20" s="229"/>
      <c r="AA20" s="217"/>
    </row>
    <row r="21" spans="1:27" ht="15" customHeight="1" x14ac:dyDescent="0.15">
      <c r="A21" s="215">
        <v>289</v>
      </c>
      <c r="C21" s="869" t="s">
        <v>1474</v>
      </c>
      <c r="D21" s="460" t="s">
        <v>1470</v>
      </c>
      <c r="E21" s="448">
        <v>0</v>
      </c>
      <c r="F21" s="912">
        <v>2530</v>
      </c>
      <c r="G21" s="912">
        <v>2065</v>
      </c>
      <c r="H21" s="913">
        <v>750</v>
      </c>
      <c r="I21" s="31"/>
      <c r="J21" s="380">
        <v>2666.06</v>
      </c>
      <c r="K21" s="378">
        <f t="shared" si="0"/>
        <v>0</v>
      </c>
      <c r="L21" s="911">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47"/>
      <c r="K22" s="378">
        <f t="shared" si="0"/>
        <v>0</v>
      </c>
      <c r="L22" s="392">
        <v>0.435</v>
      </c>
      <c r="M22" s="311">
        <f>(K22/(1-L22))*(1+$D$9)</f>
        <v>0</v>
      </c>
      <c r="N22" s="378">
        <f>(M22*VLOOKUP($C$9,'Base Costs'!$A$32:$B$37,2,FALSE))</f>
        <v>0</v>
      </c>
      <c r="O22" s="379">
        <f>M22-K22</f>
        <v>0</v>
      </c>
      <c r="U22" s="229"/>
      <c r="AA22" s="217"/>
    </row>
    <row r="23" spans="1:27" ht="15" customHeight="1" x14ac:dyDescent="0.15">
      <c r="A23" s="215">
        <v>220</v>
      </c>
      <c r="C23" s="952" t="s">
        <v>1403</v>
      </c>
      <c r="D23" s="460" t="s">
        <v>1463</v>
      </c>
      <c r="E23" s="448">
        <v>0</v>
      </c>
      <c r="F23" s="462"/>
      <c r="G23" s="32"/>
      <c r="H23" s="30"/>
      <c r="I23" s="31"/>
      <c r="J23" s="896">
        <v>875</v>
      </c>
      <c r="K23" s="378">
        <f t="shared" si="0"/>
        <v>0</v>
      </c>
      <c r="L23" s="392">
        <v>0.35</v>
      </c>
      <c r="M23" s="311">
        <f>(K23/(1-L23))*(1+$D$9)</f>
        <v>0</v>
      </c>
      <c r="N23" s="378">
        <f>(M23*VLOOKUP($C$9,'Base Costs'!$A$32:$B$37,2,FALSE))</f>
        <v>0</v>
      </c>
      <c r="O23" s="379">
        <f>M23-K23</f>
        <v>0</v>
      </c>
      <c r="U23" s="229"/>
      <c r="AA23" s="217"/>
    </row>
    <row r="24" spans="1:27" ht="15" customHeight="1" x14ac:dyDescent="0.15">
      <c r="A24" s="215">
        <v>103</v>
      </c>
      <c r="H24" s="34" t="s">
        <v>352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97" t="s">
        <v>50</v>
      </c>
      <c r="D26" s="1097"/>
      <c r="E26" s="1097"/>
      <c r="F26" s="1097"/>
      <c r="G26" s="1097"/>
      <c r="H26" s="1097"/>
      <c r="I26" s="236"/>
      <c r="J26" s="330"/>
      <c r="K26" s="154">
        <f>SUBTOTAL(9,K27:K37)</f>
        <v>0</v>
      </c>
      <c r="L26" s="15" t="str">
        <f>IF(K26=0,"-",O26/M26)</f>
        <v>-</v>
      </c>
      <c r="M26" s="154">
        <f>SUBTOTAL(9,M27:M37)</f>
        <v>0</v>
      </c>
      <c r="N26" s="464">
        <f>SUBTOTAL(9,N27:N37)</f>
        <v>0</v>
      </c>
      <c r="O26" s="154">
        <f>SUBTOTAL(9,O28:O37)</f>
        <v>0</v>
      </c>
      <c r="U26" s="229"/>
      <c r="AA26" s="217"/>
    </row>
    <row r="27" spans="1:27" ht="15" customHeight="1" x14ac:dyDescent="0.15">
      <c r="A27" s="215">
        <v>285</v>
      </c>
      <c r="C27" s="269" t="s">
        <v>10</v>
      </c>
      <c r="D27" s="242"/>
      <c r="E27" s="775" t="s">
        <v>48</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36</v>
      </c>
      <c r="D28" s="242"/>
      <c r="E28" s="775" t="s">
        <v>189</v>
      </c>
      <c r="F28" s="1121" t="s">
        <v>1442</v>
      </c>
      <c r="G28" s="1121"/>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36</v>
      </c>
      <c r="D29" s="242"/>
      <c r="E29" s="775" t="s">
        <v>189</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82"/>
      <c r="Q29" s="1182"/>
      <c r="U29" s="229"/>
      <c r="AA29" s="217"/>
    </row>
    <row r="30" spans="1:27" ht="15" customHeight="1" x14ac:dyDescent="0.15">
      <c r="C30" s="269" t="s">
        <v>1393</v>
      </c>
      <c r="D30" s="242"/>
      <c r="E30" s="28" t="s">
        <v>142</v>
      </c>
      <c r="F30" s="28"/>
      <c r="G30" s="28"/>
      <c r="H30" s="28"/>
      <c r="I30" s="28"/>
      <c r="J30" s="385">
        <v>610</v>
      </c>
      <c r="K30" s="378">
        <f t="shared" si="3"/>
        <v>0</v>
      </c>
      <c r="L30" s="392">
        <v>0.33</v>
      </c>
      <c r="M30" s="311">
        <f t="shared" si="4"/>
        <v>0</v>
      </c>
      <c r="N30" s="378">
        <f>(M30*VLOOKUP($C$9,'Base Costs'!$A$32:$B$37,2,FALSE))</f>
        <v>0</v>
      </c>
      <c r="O30" s="379">
        <f t="shared" si="5"/>
        <v>0</v>
      </c>
      <c r="P30" s="1183"/>
      <c r="Q30" s="1183"/>
      <c r="R30" s="1183"/>
      <c r="U30" s="229"/>
      <c r="AA30" s="217"/>
    </row>
    <row r="31" spans="1:27" ht="15" customHeight="1" x14ac:dyDescent="0.15">
      <c r="A31" s="215">
        <v>286</v>
      </c>
      <c r="C31" s="269" t="s">
        <v>13</v>
      </c>
      <c r="D31" s="242"/>
      <c r="E31" s="28" t="s">
        <v>204</v>
      </c>
      <c r="F31" s="28"/>
      <c r="G31" s="28"/>
      <c r="H31" s="28"/>
      <c r="I31" s="28"/>
      <c r="J31" s="385">
        <v>15</v>
      </c>
      <c r="K31" s="378">
        <f t="shared" si="3"/>
        <v>0</v>
      </c>
      <c r="L31" s="392">
        <v>0.33</v>
      </c>
      <c r="M31" s="311">
        <f t="shared" si="4"/>
        <v>0</v>
      </c>
      <c r="N31" s="378">
        <f>(M31*VLOOKUP($C$9,'Base Costs'!$A$32:$B$37,2,FALSE))</f>
        <v>0</v>
      </c>
      <c r="O31" s="379">
        <f t="shared" si="5"/>
        <v>0</v>
      </c>
      <c r="P31" s="1183"/>
      <c r="Q31" s="1183"/>
      <c r="R31" s="1183"/>
      <c r="U31" s="229"/>
      <c r="AA31" s="217"/>
    </row>
    <row r="32" spans="1:27" ht="15" customHeight="1" x14ac:dyDescent="0.15">
      <c r="C32" s="269" t="s">
        <v>140</v>
      </c>
      <c r="D32" s="242"/>
      <c r="E32" s="28" t="s">
        <v>1394</v>
      </c>
      <c r="F32" s="1121" t="s">
        <v>1443</v>
      </c>
      <c r="G32" s="1121"/>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141</v>
      </c>
      <c r="D33" s="242"/>
      <c r="E33" s="28" t="s">
        <v>1394</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544</v>
      </c>
      <c r="D34" s="242"/>
      <c r="E34" s="28" t="s">
        <v>144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12</v>
      </c>
      <c r="D35" s="242"/>
      <c r="E35" s="28" t="s">
        <v>144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32</v>
      </c>
      <c r="D36" s="242"/>
      <c r="E36" s="28" t="s">
        <v>145</v>
      </c>
      <c r="F36" s="28"/>
      <c r="G36" s="28"/>
      <c r="H36" s="28"/>
      <c r="I36" s="28"/>
      <c r="J36" s="385">
        <v>604</v>
      </c>
      <c r="K36" s="378">
        <f t="shared" si="3"/>
        <v>0</v>
      </c>
      <c r="L36" s="392">
        <v>0.33</v>
      </c>
      <c r="M36" s="311">
        <f>(K36/(1-L36))*(1+$D$9)</f>
        <v>0</v>
      </c>
      <c r="N36" s="378">
        <f>(M36*VLOOKUP($C$9,'Base Costs'!$A$32:$B$37,2,FALSE))</f>
        <v>0</v>
      </c>
      <c r="O36" s="379">
        <f>M36-K36</f>
        <v>0</v>
      </c>
      <c r="U36" s="229"/>
    </row>
    <row r="37" spans="1:27" ht="15" customHeight="1" x14ac:dyDescent="0.15">
      <c r="A37" s="215">
        <v>222</v>
      </c>
      <c r="C37" s="269"/>
      <c r="D37" s="242"/>
      <c r="E37" s="28" t="s">
        <v>206</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126</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protectedRanges>
    <protectedRange sqref="G40:G45 C40:C44 K45:O45" name="Full" securityDescriptor="O:WDG:WDD:(A;;CC;;;S-1-5-21-1993962763-879983540-839522115-1156)"/>
    <protectedRange sqref="C45:D45" name="Full_2" securityDescriptor="O:WDG:WDD:(A;;CC;;;S-1-5-21-1993962763-879983540-839522115-1156)"/>
    <protectedRange sqref="O10:O11 O27:O38 D30:E37 J27:J37 O25 H25:J25 I4:J7 I8:K8 H22:J23 F18:H19 D13:J17 O14:O23 C12:C13 I18:J21 D18:E23 D27 D28 D29" name="Estimating_2" securityDescriptor="O:WDG:WDD:(A;;CC;;;S-1-5-21-1993962763-879983540-839522115-1221)"/>
    <protectedRange sqref="D2:E2 C2:C6 D8:H8 G2:H7 D4:E7 N7:O7" name="Estimating_1_2" securityDescriptor="O:WDG:WDD:(A;;CC;;;S-1-5-21-1993962763-879983540-839522115-1221)"/>
    <protectedRange sqref="E9" name="Estimating_1_1_1" securityDescriptor="O:WDG:WDD:(A;;CC;;;S-1-5-21-1993962763-879983540-839522115-1221)"/>
    <protectedRange sqref="D3:E3" name="Estimating_1_3_2_1" securityDescriptor="O:WDG:WDD:(A;;CC;;;S-1-5-21-1993962763-879983540-839522115-1221)"/>
  </protectedRanges>
  <mergeCells count="14">
    <mergeCell ref="C26:H26"/>
    <mergeCell ref="F28:G28"/>
    <mergeCell ref="F32:G32"/>
    <mergeCell ref="P7:R7"/>
    <mergeCell ref="P29:Q29"/>
    <mergeCell ref="P30:R30"/>
    <mergeCell ref="P31:R31"/>
    <mergeCell ref="D7:E7"/>
    <mergeCell ref="H7:J7"/>
    <mergeCell ref="C1:D1"/>
    <mergeCell ref="D3:E3"/>
    <mergeCell ref="H3:J3"/>
    <mergeCell ref="D5:E5"/>
    <mergeCell ref="H5:J5"/>
  </mergeCells>
  <conditionalFormatting sqref="C9">
    <cfRule type="containsText" dxfId="11185" priority="26" operator="containsText" text="SELECT">
      <formula>NOT(ISERROR(SEARCH("SELECT",C9)))</formula>
    </cfRule>
    <cfRule type="expression" dxfId="11184" priority="27">
      <formula>C9="CURRENCY"</formula>
    </cfRule>
  </conditionalFormatting>
  <conditionalFormatting sqref="C14:C23">
    <cfRule type="expression" dxfId="11183" priority="1">
      <formula>$J14&gt;0</formula>
    </cfRule>
  </conditionalFormatting>
  <conditionalFormatting sqref="C27:C37">
    <cfRule type="expression" dxfId="11182" priority="10">
      <formula>$D27&gt;0</formula>
    </cfRule>
  </conditionalFormatting>
  <conditionalFormatting sqref="D27:D28 D30:D37">
    <cfRule type="cellIs" dxfId="11181" priority="28" operator="lessThan">
      <formula>1</formula>
    </cfRule>
  </conditionalFormatting>
  <conditionalFormatting sqref="D29">
    <cfRule type="cellIs" dxfId="11180" priority="23" operator="lessThan">
      <formula>1</formula>
    </cfRule>
  </conditionalFormatting>
  <conditionalFormatting sqref="D9:E9">
    <cfRule type="cellIs" dxfId="11179" priority="24" operator="lessThan">
      <formula>0</formula>
    </cfRule>
    <cfRule type="cellIs" dxfId="11178" priority="25" operator="greaterThan">
      <formula>0</formula>
    </cfRule>
  </conditionalFormatting>
  <conditionalFormatting sqref="F12">
    <cfRule type="expression" dxfId="11177" priority="36">
      <formula>AND((ISNUMBER(SEARCH("I-MUAP",#REF!))),F12&lt;2500)</formula>
    </cfRule>
    <cfRule type="expression" dxfId="11176" priority="37">
      <formula>ISNUMBER(SEARCH("I-MUAP",#REF!))</formula>
    </cfRule>
    <cfRule type="cellIs" dxfId="11175" priority="38" operator="greaterThan">
      <formula>2000</formula>
    </cfRule>
  </conditionalFormatting>
  <conditionalFormatting sqref="F12:G12">
    <cfRule type="cellIs" dxfId="11174" priority="29" operator="lessThan">
      <formula>1000</formula>
    </cfRule>
  </conditionalFormatting>
  <conditionalFormatting sqref="F14:G19">
    <cfRule type="cellIs" dxfId="11173" priority="3" operator="lessThan">
      <formula>1000</formula>
    </cfRule>
  </conditionalFormatting>
  <conditionalFormatting sqref="G12">
    <cfRule type="cellIs" dxfId="11172" priority="30" operator="greaterThan">
      <formula>3001</formula>
    </cfRule>
  </conditionalFormatting>
  <conditionalFormatting sqref="H11">
    <cfRule type="expression" dxfId="11171" priority="39">
      <formula>((#REF!-50)/#REF!)&lt;950</formula>
    </cfRule>
  </conditionalFormatting>
  <conditionalFormatting sqref="H12">
    <cfRule type="expression" dxfId="11170" priority="40">
      <formula>((#REF!-50)/#REF!)&lt;950</formula>
    </cfRule>
  </conditionalFormatting>
  <conditionalFormatting sqref="H14:H19">
    <cfRule type="cellIs" dxfId="11169" priority="4" operator="lessThan">
      <formula>400</formula>
    </cfRule>
  </conditionalFormatting>
  <conditionalFormatting sqref="H24">
    <cfRule type="expression" dxfId="11168" priority="35">
      <formula>((#REF!-50)/#REF!)&lt;950</formula>
    </cfRule>
  </conditionalFormatting>
  <conditionalFormatting sqref="J14:J21">
    <cfRule type="cellIs" dxfId="11167" priority="15" operator="greaterThan">
      <formula>0</formula>
    </cfRule>
  </conditionalFormatting>
  <conditionalFormatting sqref="J27:J37">
    <cfRule type="expression" dxfId="11166" priority="16">
      <formula>D27&gt;0</formula>
    </cfRule>
  </conditionalFormatting>
  <conditionalFormatting sqref="J39:J45">
    <cfRule type="expression" dxfId="11165" priority="70">
      <formula>#REF!="EURO"</formula>
    </cfRule>
  </conditionalFormatting>
  <conditionalFormatting sqref="K14:K23 N14:O23">
    <cfRule type="cellIs" dxfId="11164" priority="2" operator="greaterThan">
      <formula>0</formula>
    </cfRule>
  </conditionalFormatting>
  <conditionalFormatting sqref="K27:K37">
    <cfRule type="cellIs" dxfId="11163" priority="22" operator="greaterThan">
      <formula>0</formula>
    </cfRule>
  </conditionalFormatting>
  <conditionalFormatting sqref="K39:K45">
    <cfRule type="expression" dxfId="11162" priority="66">
      <formula>$C$9="PLN"</formula>
    </cfRule>
    <cfRule type="expression" dxfId="11161" priority="67">
      <formula>$C$9="CZK"</formula>
    </cfRule>
    <cfRule type="expression" dxfId="11160" priority="68">
      <formula>$C$9="USD"</formula>
    </cfRule>
    <cfRule type="expression" dxfId="11159" priority="69">
      <formula>$C$9="EURO"</formula>
    </cfRule>
  </conditionalFormatting>
  <conditionalFormatting sqref="L14:L23">
    <cfRule type="expression" dxfId="11158" priority="13">
      <formula>$D$9&lt;0</formula>
    </cfRule>
    <cfRule type="expression" dxfId="11157" priority="14">
      <formula>$D$9&gt;0</formula>
    </cfRule>
  </conditionalFormatting>
  <conditionalFormatting sqref="L27:L37">
    <cfRule type="expression" dxfId="11156" priority="11">
      <formula>$D$9&lt;0</formula>
    </cfRule>
    <cfRule type="expression" dxfId="11155" priority="12">
      <formula>$D$9&gt;0</formula>
    </cfRule>
  </conditionalFormatting>
  <conditionalFormatting sqref="N9 N12">
    <cfRule type="expression" dxfId="11154" priority="31">
      <formula>$C$9="PLN"</formula>
    </cfRule>
    <cfRule type="expression" dxfId="11153" priority="32">
      <formula>$C$9="CZK"</formula>
    </cfRule>
    <cfRule type="expression" dxfId="11152" priority="33">
      <formula>$C$9="USD"</formula>
    </cfRule>
    <cfRule type="expression" dxfId="11151" priority="34">
      <formula>$C$9="EURO"</formula>
    </cfRule>
  </conditionalFormatting>
  <conditionalFormatting sqref="N14:N23">
    <cfRule type="expression" dxfId="11150" priority="17">
      <formula>$C$9="PLN"</formula>
    </cfRule>
    <cfRule type="expression" dxfId="11149" priority="18">
      <formula>$C$9="CZK"</formula>
    </cfRule>
    <cfRule type="expression" dxfId="11148" priority="19">
      <formula>$C$9="USD"</formula>
    </cfRule>
    <cfRule type="expression" dxfId="11147" priority="20">
      <formula>$C$9="EURO"</formula>
    </cfRule>
  </conditionalFormatting>
  <conditionalFormatting sqref="N26:N37">
    <cfRule type="expression" dxfId="11146" priority="6">
      <formula>$C$9="PLN"</formula>
    </cfRule>
    <cfRule type="expression" dxfId="11145" priority="7">
      <formula>$C$9="CZK"</formula>
    </cfRule>
    <cfRule type="expression" dxfId="11144" priority="8">
      <formula>$C$9="USD"</formula>
    </cfRule>
    <cfRule type="expression" dxfId="11143" priority="9">
      <formula>$C$9="EURO"</formula>
    </cfRule>
  </conditionalFormatting>
  <conditionalFormatting sqref="N27:O37">
    <cfRule type="cellIs" dxfId="11142" priority="5" operator="greaterThan">
      <formula>0</formula>
    </cfRule>
  </conditionalFormatting>
  <dataValidations count="3">
    <dataValidation operator="greaterThan" allowBlank="1" showInputMessage="1" showErrorMessage="1" sqref="F14:F19" xr:uid="{F9836754-13E3-4A54-96D8-0CA09A22D645}"/>
    <dataValidation type="list" allowBlank="1" showInputMessage="1" showErrorMessage="1" sqref="E14:E23" xr:uid="{9E7970CA-C33C-4BFF-81C8-5EAFC7C4E2A7}">
      <formula1>"0,1,2,3,4,5,6,7,8,9,10,11,12,13,14,15,16,17,18,19,20"</formula1>
    </dataValidation>
    <dataValidation type="list" allowBlank="1" showInputMessage="1" showErrorMessage="1" sqref="H25" xr:uid="{5420537D-F113-4E64-800F-DBE0C8360E8F}">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0C22C5-A912-4265-8B32-84A6CC6974F1}">
          <x14:formula1>
            <xm:f>'Base Costs'!$E$4:$E$213</xm:f>
          </x14:formula1>
          <xm:sqref>E27</xm:sqref>
        </x14:dataValidation>
        <x14:dataValidation type="list" allowBlank="1" showInputMessage="1" showErrorMessage="1" xr:uid="{237FAD24-5577-47EF-981F-782C2711646B}">
          <x14:formula1>
            <xm:f>'Base Costs'!$A$4:$A$16</xm:f>
          </x14:formula1>
          <xm:sqref>E28:E29</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tint="0.79998168889431442"/>
    <pageSetUpPr fitToPage="1"/>
  </sheetPr>
  <dimension ref="A1:AD160"/>
  <sheetViews>
    <sheetView showGridLines="0" topLeftCell="B4" zoomScale="90" zoomScaleNormal="90" zoomScaleSheetLayoutView="50" workbookViewId="0">
      <selection activeCell="R29" sqref="R29"/>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1509</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ref="M29" si="3">(K29/(1-L29))*(1+$D$9)</f>
        <v>89.285714285714278</v>
      </c>
      <c r="N29" s="1010">
        <f>(M29*VLOOKUP($C$9,'Base Costs'!$A$32:$B$37,2,FALSE))</f>
        <v>89.285714285714278</v>
      </c>
      <c r="O29" s="1013">
        <f t="shared" ref="O29" si="4">M29-K29</f>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IF(K36=0,"-",O36/M36)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5">D37*J37</f>
        <v>0</v>
      </c>
      <c r="L37" s="392">
        <v>0.33</v>
      </c>
      <c r="M37" s="311">
        <f t="shared" ref="M37:M47" si="6">(K37/(1-L37))*(1+$D$9)</f>
        <v>0</v>
      </c>
      <c r="N37" s="378">
        <f>(M37*VLOOKUP($C$9,'Base Costs'!$A$32:$B$37,2,FALSE))</f>
        <v>0</v>
      </c>
      <c r="O37" s="379">
        <f t="shared" ref="O37:O47" si="7">M37-K37</f>
        <v>0</v>
      </c>
      <c r="U37" s="229"/>
    </row>
    <row r="38" spans="1:27" ht="16" x14ac:dyDescent="0.15">
      <c r="A38" s="215">
        <v>257</v>
      </c>
      <c r="C38" s="269" t="s">
        <v>36</v>
      </c>
      <c r="D38" s="242"/>
      <c r="E38" s="309" t="s">
        <v>189</v>
      </c>
      <c r="F38" s="1121" t="s">
        <v>1442</v>
      </c>
      <c r="G38" s="1121"/>
      <c r="H38" s="28"/>
      <c r="I38" s="28"/>
      <c r="J38" s="385">
        <f>VLOOKUP(E38,'Base Costs'!$A$4:$B$16,2,FALSE)</f>
        <v>0</v>
      </c>
      <c r="K38" s="378">
        <f t="shared" si="5"/>
        <v>0</v>
      </c>
      <c r="L38" s="392">
        <v>0.33</v>
      </c>
      <c r="M38" s="311">
        <f t="shared" si="6"/>
        <v>0</v>
      </c>
      <c r="N38" s="378">
        <f>(M38*VLOOKUP($C$9,'Base Costs'!$A$32:$B$37,2,FALSE))</f>
        <v>0</v>
      </c>
      <c r="O38" s="379">
        <f t="shared" si="7"/>
        <v>0</v>
      </c>
      <c r="U38" s="229"/>
    </row>
    <row r="39" spans="1:27" ht="16" x14ac:dyDescent="0.15">
      <c r="A39" s="215">
        <v>257</v>
      </c>
      <c r="C39" s="269" t="s">
        <v>36</v>
      </c>
      <c r="D39" s="242"/>
      <c r="E39" s="309" t="s">
        <v>189</v>
      </c>
      <c r="F39" s="28"/>
      <c r="G39" s="28"/>
      <c r="H39" s="28"/>
      <c r="I39" s="28"/>
      <c r="J39" s="385">
        <f>VLOOKUP(E39,'Base Costs'!$A$4:$B$16,2,FALSE)</f>
        <v>0</v>
      </c>
      <c r="K39" s="378">
        <f t="shared" si="5"/>
        <v>0</v>
      </c>
      <c r="L39" s="392">
        <v>0.33</v>
      </c>
      <c r="M39" s="311">
        <f t="shared" si="6"/>
        <v>0</v>
      </c>
      <c r="N39" s="378">
        <f>(M39*VLOOKUP($C$9,'Base Costs'!$A$32:$B$37,2,FALSE))</f>
        <v>0</v>
      </c>
      <c r="O39" s="379">
        <f t="shared" si="7"/>
        <v>0</v>
      </c>
      <c r="U39" s="229"/>
    </row>
    <row r="40" spans="1:27" ht="15" customHeight="1" x14ac:dyDescent="0.15">
      <c r="A40" s="215">
        <v>400</v>
      </c>
      <c r="C40" s="269" t="s">
        <v>1393</v>
      </c>
      <c r="D40" s="242"/>
      <c r="E40" s="28" t="s">
        <v>142</v>
      </c>
      <c r="F40" s="28"/>
      <c r="G40" s="28"/>
      <c r="H40" s="28"/>
      <c r="I40" s="28"/>
      <c r="J40" s="385">
        <v>610</v>
      </c>
      <c r="K40" s="378">
        <f t="shared" si="5"/>
        <v>0</v>
      </c>
      <c r="L40" s="392">
        <v>0.33</v>
      </c>
      <c r="M40" s="311">
        <f t="shared" si="6"/>
        <v>0</v>
      </c>
      <c r="N40" s="378">
        <f>(M40*VLOOKUP($C$9,'Base Costs'!$A$32:$B$37,2,FALSE))</f>
        <v>0</v>
      </c>
      <c r="O40" s="379">
        <f t="shared" si="7"/>
        <v>0</v>
      </c>
      <c r="U40" s="229"/>
    </row>
    <row r="41" spans="1:27" ht="15" customHeight="1" x14ac:dyDescent="0.15">
      <c r="A41" s="215">
        <v>102</v>
      </c>
      <c r="C41" s="269" t="s">
        <v>13</v>
      </c>
      <c r="D41" s="242"/>
      <c r="E41" s="28" t="s">
        <v>204</v>
      </c>
      <c r="F41" s="28"/>
      <c r="G41" s="28"/>
      <c r="H41" s="28"/>
      <c r="I41" s="28"/>
      <c r="J41" s="385">
        <v>15</v>
      </c>
      <c r="K41" s="378">
        <f t="shared" si="5"/>
        <v>0</v>
      </c>
      <c r="L41" s="392">
        <v>0.33</v>
      </c>
      <c r="M41" s="311">
        <f t="shared" si="6"/>
        <v>0</v>
      </c>
      <c r="N41" s="378">
        <f>(M41*VLOOKUP($C$9,'Base Costs'!$A$32:$B$37,2,FALSE))</f>
        <v>0</v>
      </c>
      <c r="O41" s="379">
        <f t="shared" si="7"/>
        <v>0</v>
      </c>
      <c r="U41" s="229"/>
    </row>
    <row r="42" spans="1:27" ht="15" customHeight="1" x14ac:dyDescent="0.15">
      <c r="A42" s="215">
        <v>400</v>
      </c>
      <c r="C42" s="269" t="s">
        <v>140</v>
      </c>
      <c r="D42" s="242"/>
      <c r="E42" s="28" t="s">
        <v>1394</v>
      </c>
      <c r="F42" s="1121" t="s">
        <v>1443</v>
      </c>
      <c r="G42" s="1121"/>
      <c r="H42" s="28"/>
      <c r="I42" s="28"/>
      <c r="J42" s="385">
        <v>610</v>
      </c>
      <c r="K42" s="378">
        <f t="shared" si="5"/>
        <v>0</v>
      </c>
      <c r="L42" s="392">
        <v>0.4</v>
      </c>
      <c r="M42" s="311">
        <f t="shared" si="6"/>
        <v>0</v>
      </c>
      <c r="N42" s="378">
        <f>(M42*VLOOKUP($C$9,'Base Costs'!$A$32:$B$37,2,FALSE))</f>
        <v>0</v>
      </c>
      <c r="O42" s="379">
        <f t="shared" si="7"/>
        <v>0</v>
      </c>
      <c r="U42" s="229"/>
    </row>
    <row r="43" spans="1:27" ht="15" customHeight="1" x14ac:dyDescent="0.15">
      <c r="A43" s="215">
        <v>400</v>
      </c>
      <c r="C43" s="269" t="s">
        <v>141</v>
      </c>
      <c r="D43" s="242"/>
      <c r="E43" s="28" t="s">
        <v>1394</v>
      </c>
      <c r="F43" s="28"/>
      <c r="G43" s="28"/>
      <c r="H43" s="28"/>
      <c r="I43" s="28"/>
      <c r="J43" s="385">
        <v>1220</v>
      </c>
      <c r="K43" s="378">
        <f t="shared" si="5"/>
        <v>0</v>
      </c>
      <c r="L43" s="392">
        <v>0.4</v>
      </c>
      <c r="M43" s="311">
        <f t="shared" si="6"/>
        <v>0</v>
      </c>
      <c r="N43" s="378">
        <f>(M43*VLOOKUP($C$9,'Base Costs'!$A$32:$B$37,2,FALSE))</f>
        <v>0</v>
      </c>
      <c r="O43" s="379">
        <f t="shared" si="7"/>
        <v>0</v>
      </c>
      <c r="U43" s="229"/>
    </row>
    <row r="44" spans="1:27" ht="15" customHeight="1" x14ac:dyDescent="0.15">
      <c r="A44" s="215">
        <v>253</v>
      </c>
      <c r="C44" s="269" t="s">
        <v>544</v>
      </c>
      <c r="D44" s="242"/>
      <c r="E44" s="28" t="s">
        <v>144</v>
      </c>
      <c r="F44" s="28"/>
      <c r="G44" s="28"/>
      <c r="H44" s="28"/>
      <c r="I44" s="28"/>
      <c r="J44" s="385">
        <v>150</v>
      </c>
      <c r="K44" s="378">
        <f t="shared" si="5"/>
        <v>0</v>
      </c>
      <c r="L44" s="392">
        <v>0.33</v>
      </c>
      <c r="M44" s="311">
        <f t="shared" si="6"/>
        <v>0</v>
      </c>
      <c r="N44" s="378">
        <f>(M44*VLOOKUP($C$9,'Base Costs'!$A$32:$B$37,2,FALSE))</f>
        <v>0</v>
      </c>
      <c r="O44" s="379">
        <f t="shared" si="7"/>
        <v>0</v>
      </c>
      <c r="U44" s="229"/>
    </row>
    <row r="45" spans="1:27" ht="15" customHeight="1" x14ac:dyDescent="0.15">
      <c r="A45" s="215">
        <v>253</v>
      </c>
      <c r="C45" s="269" t="s">
        <v>12</v>
      </c>
      <c r="D45" s="242"/>
      <c r="E45" s="28" t="s">
        <v>144</v>
      </c>
      <c r="F45" s="28"/>
      <c r="G45" s="28"/>
      <c r="H45" s="28"/>
      <c r="I45" s="28"/>
      <c r="J45" s="385">
        <v>220</v>
      </c>
      <c r="K45" s="378">
        <f t="shared" si="5"/>
        <v>0</v>
      </c>
      <c r="L45" s="392">
        <v>0.33</v>
      </c>
      <c r="M45" s="311">
        <f t="shared" si="6"/>
        <v>0</v>
      </c>
      <c r="N45" s="378">
        <f>(M45*VLOOKUP($C$9,'Base Costs'!$A$32:$B$37,2,FALSE))</f>
        <v>0</v>
      </c>
      <c r="O45" s="379">
        <f t="shared" si="7"/>
        <v>0</v>
      </c>
      <c r="U45" s="229"/>
    </row>
    <row r="46" spans="1:27" ht="15" customHeight="1" x14ac:dyDescent="0.15">
      <c r="A46" s="215">
        <v>280</v>
      </c>
      <c r="C46" s="269" t="s">
        <v>32</v>
      </c>
      <c r="D46" s="242"/>
      <c r="E46" s="1184" t="s">
        <v>1494</v>
      </c>
      <c r="F46" s="1185"/>
      <c r="G46" s="28"/>
      <c r="H46" s="28"/>
      <c r="I46" s="28"/>
      <c r="J46" s="385">
        <v>604</v>
      </c>
      <c r="K46" s="378">
        <f t="shared" si="5"/>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5"/>
        <v>0</v>
      </c>
      <c r="L47" s="392">
        <v>0.33</v>
      </c>
      <c r="M47" s="311">
        <f t="shared" si="6"/>
        <v>0</v>
      </c>
      <c r="N47" s="378">
        <f>(M47*VLOOKUP($C$9,'Base Costs'!$A$32:$B$37,2,FALSE))</f>
        <v>0</v>
      </c>
      <c r="O47" s="379">
        <f t="shared" si="7"/>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E46:F46"/>
    <mergeCell ref="P29:Q29"/>
    <mergeCell ref="P7:R7"/>
    <mergeCell ref="P31:R31"/>
    <mergeCell ref="P30:R30"/>
    <mergeCell ref="C36:H36"/>
    <mergeCell ref="D7:E7"/>
    <mergeCell ref="H7:J7"/>
    <mergeCell ref="F42:G42"/>
    <mergeCell ref="F38:G38"/>
    <mergeCell ref="C1:D1"/>
    <mergeCell ref="D3:E3"/>
    <mergeCell ref="H3:J3"/>
    <mergeCell ref="D5:E5"/>
    <mergeCell ref="H5:J5"/>
  </mergeCells>
  <conditionalFormatting sqref="C9">
    <cfRule type="containsText" dxfId="11141" priority="83" operator="containsText" text="SELECT">
      <formula>NOT(ISERROR(SEARCH("SELECT",C9)))</formula>
    </cfRule>
    <cfRule type="expression" dxfId="11140" priority="84">
      <formula>C9="CURRENCY"</formula>
    </cfRule>
  </conditionalFormatting>
  <conditionalFormatting sqref="C14:C33">
    <cfRule type="expression" dxfId="11139" priority="1">
      <formula>$J14&gt;0</formula>
    </cfRule>
  </conditionalFormatting>
  <conditionalFormatting sqref="C37:C47">
    <cfRule type="expression" dxfId="11138" priority="25">
      <formula>$D37&gt;0</formula>
    </cfRule>
  </conditionalFormatting>
  <conditionalFormatting sqref="D37:D38 D40:D47">
    <cfRule type="cellIs" dxfId="11137" priority="86" operator="lessThan">
      <formula>1</formula>
    </cfRule>
  </conditionalFormatting>
  <conditionalFormatting sqref="D39">
    <cfRule type="cellIs" dxfId="11136" priority="73" operator="lessThan">
      <formula>1</formula>
    </cfRule>
  </conditionalFormatting>
  <conditionalFormatting sqref="D9:E9">
    <cfRule type="cellIs" dxfId="11135" priority="79" operator="lessThan">
      <formula>0</formula>
    </cfRule>
    <cfRule type="cellIs" dxfId="11134" priority="80" operator="greaterThan">
      <formula>0</formula>
    </cfRule>
  </conditionalFormatting>
  <conditionalFormatting sqref="F12">
    <cfRule type="expression" dxfId="11133" priority="95">
      <formula>AND((ISNUMBER(SEARCH("I-MUAP",$E$14))),F12&lt;2500)</formula>
    </cfRule>
    <cfRule type="expression" dxfId="11132" priority="96">
      <formula>ISNUMBER(SEARCH("I-MUAP",$E$14))</formula>
    </cfRule>
    <cfRule type="cellIs" dxfId="11131" priority="97" operator="greaterThan">
      <formula>2000</formula>
    </cfRule>
  </conditionalFormatting>
  <conditionalFormatting sqref="F12:G12">
    <cfRule type="cellIs" dxfId="11130" priority="90" operator="lessThan">
      <formula>1000</formula>
    </cfRule>
  </conditionalFormatting>
  <conditionalFormatting sqref="F14:G26">
    <cfRule type="cellIs" dxfId="11129" priority="17" operator="lessThan">
      <formula>1000</formula>
    </cfRule>
  </conditionalFormatting>
  <conditionalFormatting sqref="F30:G31">
    <cfRule type="cellIs" dxfId="11128" priority="5" operator="lessThan">
      <formula>1000</formula>
    </cfRule>
  </conditionalFormatting>
  <conditionalFormatting sqref="G12">
    <cfRule type="cellIs" dxfId="11127" priority="91" operator="greaterThan">
      <formula>3001</formula>
    </cfRule>
  </conditionalFormatting>
  <conditionalFormatting sqref="H11">
    <cfRule type="expression" dxfId="11126" priority="93">
      <formula>((G14-50)/I14)&lt;950</formula>
    </cfRule>
  </conditionalFormatting>
  <conditionalFormatting sqref="H12">
    <cfRule type="expression" dxfId="11125" priority="92">
      <formula>((G14-50)/I14)&lt;950</formula>
    </cfRule>
  </conditionalFormatting>
  <conditionalFormatting sqref="H14:H26">
    <cfRule type="cellIs" dxfId="11124" priority="19" operator="lessThan">
      <formula>400</formula>
    </cfRule>
  </conditionalFormatting>
  <conditionalFormatting sqref="H30:H31">
    <cfRule type="cellIs" dxfId="11123" priority="7" operator="lessThan">
      <formula>400</formula>
    </cfRule>
  </conditionalFormatting>
  <conditionalFormatting sqref="H34">
    <cfRule type="expression" dxfId="11122" priority="104">
      <formula>((#REF!-50)/#REF!)&lt;950</formula>
    </cfRule>
  </conditionalFormatting>
  <conditionalFormatting sqref="J14:J31">
    <cfRule type="cellIs" dxfId="11121" priority="32" operator="greaterThan">
      <formula>0</formula>
    </cfRule>
  </conditionalFormatting>
  <conditionalFormatting sqref="J37:J47">
    <cfRule type="expression" dxfId="11120" priority="65">
      <formula>D37&gt;0</formula>
    </cfRule>
  </conditionalFormatting>
  <conditionalFormatting sqref="J49:J55">
    <cfRule type="expression" dxfId="11119" priority="70">
      <formula>#REF!="EURO"</formula>
    </cfRule>
  </conditionalFormatting>
  <conditionalFormatting sqref="K14:K33">
    <cfRule type="cellIs" dxfId="11118" priority="15" operator="greaterThan">
      <formula>0</formula>
    </cfRule>
  </conditionalFormatting>
  <conditionalFormatting sqref="K37:K47">
    <cfRule type="cellIs" dxfId="11117" priority="72" operator="greaterThan">
      <formula>0</formula>
    </cfRule>
  </conditionalFormatting>
  <conditionalFormatting sqref="K49:K55">
    <cfRule type="expression" dxfId="11116" priority="66">
      <formula>$C$9="PLN"</formula>
    </cfRule>
    <cfRule type="expression" dxfId="11115" priority="67">
      <formula>$C$9="CZK"</formula>
    </cfRule>
    <cfRule type="expression" dxfId="11114" priority="68">
      <formula>$C$9="USD"</formula>
    </cfRule>
    <cfRule type="expression" dxfId="11113" priority="69">
      <formula>$C$9="EURO"</formula>
    </cfRule>
  </conditionalFormatting>
  <conditionalFormatting sqref="L14:L33">
    <cfRule type="expression" dxfId="11112" priority="30">
      <formula>$D$9&lt;0</formula>
    </cfRule>
    <cfRule type="expression" dxfId="11111" priority="31">
      <formula>$D$9&gt;0</formula>
    </cfRule>
  </conditionalFormatting>
  <conditionalFormatting sqref="L37:L47">
    <cfRule type="expression" dxfId="11110" priority="28">
      <formula>$D$9&lt;0</formula>
    </cfRule>
    <cfRule type="expression" dxfId="11109" priority="29">
      <formula>$D$9&gt;0</formula>
    </cfRule>
  </conditionalFormatting>
  <conditionalFormatting sqref="N9 N12">
    <cfRule type="expression" dxfId="11108" priority="98">
      <formula>$C$9="PLN"</formula>
    </cfRule>
    <cfRule type="expression" dxfId="11107" priority="99">
      <formula>$C$9="CZK"</formula>
    </cfRule>
    <cfRule type="expression" dxfId="11106" priority="100">
      <formula>$C$9="USD"</formula>
    </cfRule>
    <cfRule type="expression" dxfId="11105" priority="101">
      <formula>$C$9="EURO"</formula>
    </cfRule>
  </conditionalFormatting>
  <conditionalFormatting sqref="N14:N33">
    <cfRule type="expression" dxfId="11104" priority="36">
      <formula>$C$9="PLN"</formula>
    </cfRule>
    <cfRule type="expression" dxfId="11103" priority="37">
      <formula>$C$9="CZK"</formula>
    </cfRule>
    <cfRule type="expression" dxfId="11102" priority="38">
      <formula>$C$9="USD"</formula>
    </cfRule>
    <cfRule type="expression" dxfId="11101" priority="39">
      <formula>$C$9="EURO"</formula>
    </cfRule>
  </conditionalFormatting>
  <conditionalFormatting sqref="N18:N20">
    <cfRule type="cellIs" dxfId="11100" priority="47" operator="greaterThan">
      <formula>0</formula>
    </cfRule>
  </conditionalFormatting>
  <conditionalFormatting sqref="N36:N47">
    <cfRule type="expression" dxfId="11099" priority="21">
      <formula>$C$9="PLN"</formula>
    </cfRule>
    <cfRule type="expression" dxfId="11098" priority="22">
      <formula>$C$9="CZK"</formula>
    </cfRule>
    <cfRule type="expression" dxfId="11097" priority="23">
      <formula>$C$9="USD"</formula>
    </cfRule>
    <cfRule type="expression" dxfId="11096" priority="24">
      <formula>$C$9="EURO"</formula>
    </cfRule>
  </conditionalFormatting>
  <conditionalFormatting sqref="N14:O33">
    <cfRule type="cellIs" dxfId="11095" priority="35" operator="greaterThan">
      <formula>0</formula>
    </cfRule>
  </conditionalFormatting>
  <conditionalFormatting sqref="N37:O47">
    <cfRule type="cellIs" dxfId="11094" priority="20" operator="greaterThan">
      <formula>0</formula>
    </cfRule>
  </conditionalFormatting>
  <conditionalFormatting sqref="O14:O20">
    <cfRule type="cellIs" dxfId="11093" priority="52" operator="greaterThan">
      <formula>0</formula>
    </cfRule>
  </conditionalFormatting>
  <dataValidations count="3">
    <dataValidation type="list" allowBlank="1" showInputMessage="1" showErrorMessage="1" sqref="E14:E33" xr:uid="{00000000-0002-0000-0F00-000000000000}">
      <formula1>"0,1,2,3,4,5,6,7,8,9,10,11,12,13,14,15,16,17,18,19,20"</formula1>
    </dataValidation>
    <dataValidation operator="greaterThan" allowBlank="1" showInputMessage="1" showErrorMessage="1" sqref="F14:F26 F30:F31" xr:uid="{00000000-0002-0000-0F00-000001000000}"/>
    <dataValidation type="list" allowBlank="1" showInputMessage="1" showErrorMessage="1" sqref="H35" xr:uid="{00000000-0002-0000-0F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F00-000003000000}">
          <x14:formula1>
            <xm:f>'Base Costs'!$A$32:$A$37</xm:f>
          </x14:formula1>
          <xm:sqref>C9</xm:sqref>
        </x14:dataValidation>
        <x14:dataValidation type="list" allowBlank="1" showInputMessage="1" showErrorMessage="1" xr:uid="{00000000-0002-0000-0F00-000004000000}">
          <x14:formula1>
            <xm:f>'Base Costs'!$E$4:$E$213</xm:f>
          </x14:formula1>
          <xm:sqref>E37</xm:sqref>
        </x14:dataValidation>
        <x14:dataValidation type="list" allowBlank="1" showInputMessage="1" showErrorMessage="1" xr:uid="{00000000-0002-0000-0F00-000005000000}">
          <x14:formula1>
            <xm:f>'Base Costs'!$A$4:$A$16</xm:f>
          </x14:formula1>
          <xm:sqref>E38:E39</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79998168889431442"/>
    <pageSetUpPr fitToPage="1"/>
  </sheetPr>
  <dimension ref="A1:AD159"/>
  <sheetViews>
    <sheetView showGridLines="0" zoomScale="80" zoomScaleNormal="80" zoomScaleSheetLayoutView="50" workbookViewId="0">
      <selection activeCell="P12" sqref="P12"/>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1510</v>
      </c>
      <c r="D1" s="1168"/>
      <c r="E1" s="216"/>
      <c r="F1" s="216"/>
      <c r="G1" s="216"/>
      <c r="H1" s="216"/>
      <c r="I1" s="29"/>
      <c r="J1" s="336"/>
      <c r="K1" s="337"/>
      <c r="L1" s="338"/>
      <c r="M1" s="339"/>
      <c r="N1" s="336"/>
      <c r="O1" s="989" t="s">
        <v>1501</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8" t="e">
        <f>IF(#REF!="","",#REF!)</f>
        <v>#REF!</v>
      </c>
      <c r="E3" s="1158"/>
      <c r="G3" s="76" t="s">
        <v>78</v>
      </c>
      <c r="H3" s="1084" t="e">
        <f>IF(#REF!="","",#REF!)</f>
        <v>#REF!</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e">
        <f>IF(#REF!="","",#REF!)</f>
        <v>#REF!</v>
      </c>
      <c r="E5" s="1083"/>
      <c r="G5" s="76" t="s">
        <v>77</v>
      </c>
      <c r="H5" s="1084" t="e">
        <f>IF(#REF!="","",#REF!)</f>
        <v>#REF!</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e">
        <f>IF(#REF!="","",#REF!)</f>
        <v>#REF!</v>
      </c>
      <c r="E7" s="1083"/>
      <c r="G7" s="76" t="s">
        <v>76</v>
      </c>
      <c r="H7" s="1086" t="e">
        <f>IF(#REF!="","",#REF!)</f>
        <v>#REF!</v>
      </c>
      <c r="I7" s="1086"/>
      <c r="J7" s="1086"/>
      <c r="N7" s="347" t="s">
        <v>79</v>
      </c>
      <c r="O7" s="914" t="e">
        <f>IF(#REF!="","",#REF!)</f>
        <v>#REF!</v>
      </c>
      <c r="P7" s="1094" t="s">
        <v>1408</v>
      </c>
      <c r="Q7" s="1094"/>
      <c r="R7" s="1094"/>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2">
        <v>0</v>
      </c>
      <c r="E9" s="377">
        <f>IF(D9=0,0,(SUBTOTAL(9,M14:M46)/(1-D9))-M9)</f>
        <v>0</v>
      </c>
      <c r="I9" s="234"/>
      <c r="K9" s="25">
        <f>SUBTOTAL(9,K12:K46)</f>
        <v>50</v>
      </c>
      <c r="L9" s="981">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269" t="s">
        <v>959</v>
      </c>
      <c r="D14" s="460" t="s">
        <v>973</v>
      </c>
      <c r="E14" s="448">
        <v>0</v>
      </c>
      <c r="F14" s="849">
        <v>800</v>
      </c>
      <c r="G14" s="847">
        <v>1400</v>
      </c>
      <c r="H14" s="848">
        <v>500</v>
      </c>
      <c r="I14" s="31"/>
      <c r="J14" s="380">
        <v>2055</v>
      </c>
      <c r="K14" s="378">
        <f>SUM(J14*E14)</f>
        <v>0</v>
      </c>
      <c r="L14" s="392">
        <v>0.435</v>
      </c>
      <c r="M14" s="311">
        <f t="shared" ref="M14:M30" si="0">(K14/(1-L14))*(1+$D$9)</f>
        <v>0</v>
      </c>
      <c r="N14" s="378">
        <f>(M14*VLOOKUP($C$9,'Base Costs'!$A$32:$B$37,2,FALSE))</f>
        <v>0</v>
      </c>
      <c r="O14" s="379">
        <f t="shared" ref="O14:O30" si="1">M14-K14</f>
        <v>0</v>
      </c>
      <c r="U14" s="229"/>
      <c r="AA14" s="217"/>
    </row>
    <row r="15" spans="1:28" ht="15" customHeight="1" x14ac:dyDescent="0.2">
      <c r="A15" s="215">
        <v>104</v>
      </c>
      <c r="C15" s="269" t="s">
        <v>960</v>
      </c>
      <c r="D15" s="460" t="s">
        <v>961</v>
      </c>
      <c r="E15" s="448">
        <v>0</v>
      </c>
      <c r="F15" s="849">
        <v>800</v>
      </c>
      <c r="G15" s="847">
        <v>1400</v>
      </c>
      <c r="H15" s="848">
        <v>500</v>
      </c>
      <c r="I15" s="31"/>
      <c r="J15" s="380">
        <v>2188</v>
      </c>
      <c r="K15" s="378">
        <f t="shared" ref="K15:K32" si="2">SUM(J15*E15)</f>
        <v>0</v>
      </c>
      <c r="L15" s="392">
        <v>0.435</v>
      </c>
      <c r="M15" s="311">
        <f t="shared" si="0"/>
        <v>0</v>
      </c>
      <c r="N15" s="378">
        <f>(M15*VLOOKUP($C$9,'Base Costs'!$A$32:$B$37,2,FALSE))</f>
        <v>0</v>
      </c>
      <c r="O15" s="379">
        <f t="shared" si="1"/>
        <v>0</v>
      </c>
      <c r="U15" s="229"/>
      <c r="AA15" s="217"/>
    </row>
    <row r="16" spans="1:28" ht="15" customHeight="1" x14ac:dyDescent="0.2">
      <c r="A16" s="215">
        <v>234</v>
      </c>
      <c r="C16" s="269" t="s">
        <v>958</v>
      </c>
      <c r="D16" s="460" t="s">
        <v>962</v>
      </c>
      <c r="E16" s="461">
        <v>0</v>
      </c>
      <c r="F16" s="849">
        <v>800</v>
      </c>
      <c r="G16" s="847">
        <v>1400</v>
      </c>
      <c r="H16" s="848">
        <v>500</v>
      </c>
      <c r="I16" s="31"/>
      <c r="J16" s="380">
        <v>2304</v>
      </c>
      <c r="K16" s="378">
        <f t="shared" si="2"/>
        <v>0</v>
      </c>
      <c r="L16" s="392">
        <v>0.44</v>
      </c>
      <c r="M16" s="311">
        <f t="shared" si="0"/>
        <v>0</v>
      </c>
      <c r="N16" s="378">
        <f>(M16*VLOOKUP($C$9,'Base Costs'!$A$32:$B$37,2,FALSE))</f>
        <v>0</v>
      </c>
      <c r="O16" s="379">
        <f t="shared" si="1"/>
        <v>0</v>
      </c>
      <c r="U16" s="229"/>
      <c r="AA16" s="217"/>
    </row>
    <row r="17" spans="1:27" ht="15" customHeight="1" x14ac:dyDescent="0.2">
      <c r="C17" s="269" t="s">
        <v>958</v>
      </c>
      <c r="D17" s="460" t="s">
        <v>963</v>
      </c>
      <c r="E17" s="448">
        <v>0</v>
      </c>
      <c r="F17" s="849">
        <v>800</v>
      </c>
      <c r="G17" s="847">
        <v>1900</v>
      </c>
      <c r="H17" s="848">
        <v>600</v>
      </c>
      <c r="I17" s="31"/>
      <c r="J17" s="380">
        <v>2150</v>
      </c>
      <c r="K17" s="378">
        <f t="shared" si="2"/>
        <v>0</v>
      </c>
      <c r="L17" s="392">
        <v>0.435</v>
      </c>
      <c r="M17" s="311">
        <f t="shared" si="0"/>
        <v>0</v>
      </c>
      <c r="N17" s="378">
        <f>(M17*VLOOKUP($C$9,'Base Costs'!$A$32:$B$37,2,FALSE))</f>
        <v>0</v>
      </c>
      <c r="O17" s="379">
        <f t="shared" si="1"/>
        <v>0</v>
      </c>
      <c r="U17" s="229"/>
      <c r="AA17" s="217"/>
    </row>
    <row r="18" spans="1:27" ht="15" customHeight="1" x14ac:dyDescent="0.2">
      <c r="C18" s="269" t="s">
        <v>964</v>
      </c>
      <c r="D18" s="460" t="s">
        <v>965</v>
      </c>
      <c r="E18" s="448">
        <v>0</v>
      </c>
      <c r="F18" s="849">
        <v>800</v>
      </c>
      <c r="G18" s="847">
        <v>1900</v>
      </c>
      <c r="H18" s="848">
        <v>600</v>
      </c>
      <c r="I18" s="31"/>
      <c r="J18" s="380">
        <v>2240</v>
      </c>
      <c r="K18" s="378">
        <f t="shared" si="2"/>
        <v>0</v>
      </c>
      <c r="L18" s="392">
        <v>0.435</v>
      </c>
      <c r="M18" s="311">
        <f t="shared" si="0"/>
        <v>0</v>
      </c>
      <c r="N18" s="378">
        <f>(M18*VLOOKUP($C$9,'Base Costs'!$A$32:$B$37,2,FALSE))</f>
        <v>0</v>
      </c>
      <c r="O18" s="379">
        <f t="shared" si="1"/>
        <v>0</v>
      </c>
      <c r="U18" s="229"/>
      <c r="AA18" s="217"/>
    </row>
    <row r="19" spans="1:27" ht="15" customHeight="1" x14ac:dyDescent="0.2">
      <c r="C19" s="269" t="s">
        <v>966</v>
      </c>
      <c r="D19" s="460" t="s">
        <v>967</v>
      </c>
      <c r="E19" s="448">
        <v>0</v>
      </c>
      <c r="F19" s="849">
        <v>800</v>
      </c>
      <c r="G19" s="847">
        <v>1900</v>
      </c>
      <c r="H19" s="848">
        <v>600</v>
      </c>
      <c r="I19" s="31"/>
      <c r="J19" s="380">
        <v>2481</v>
      </c>
      <c r="K19" s="378">
        <f t="shared" si="2"/>
        <v>0</v>
      </c>
      <c r="L19" s="392">
        <v>0.435</v>
      </c>
      <c r="M19" s="311">
        <f t="shared" si="0"/>
        <v>0</v>
      </c>
      <c r="N19" s="378">
        <f>(M19*VLOOKUP($C$9,'Base Costs'!$A$32:$B$37,2,FALSE))</f>
        <v>0</v>
      </c>
      <c r="O19" s="379">
        <f t="shared" si="1"/>
        <v>0</v>
      </c>
      <c r="U19" s="229"/>
      <c r="AA19" s="217"/>
    </row>
    <row r="20" spans="1:27" ht="15" customHeight="1" x14ac:dyDescent="0.2">
      <c r="C20" s="269" t="s">
        <v>968</v>
      </c>
      <c r="D20" s="460" t="s">
        <v>969</v>
      </c>
      <c r="E20" s="448">
        <v>0</v>
      </c>
      <c r="F20" s="849">
        <v>800</v>
      </c>
      <c r="G20" s="847">
        <v>1900</v>
      </c>
      <c r="H20" s="848">
        <v>600</v>
      </c>
      <c r="I20" s="31"/>
      <c r="J20" s="380">
        <v>2783</v>
      </c>
      <c r="K20" s="378">
        <f t="shared" si="2"/>
        <v>0</v>
      </c>
      <c r="L20" s="392">
        <v>0.435</v>
      </c>
      <c r="M20" s="311">
        <f t="shared" si="0"/>
        <v>0</v>
      </c>
      <c r="N20" s="378">
        <f>(M20*VLOOKUP($C$9,'Base Costs'!$A$32:$B$37,2,FALSE))</f>
        <v>0</v>
      </c>
      <c r="O20" s="379">
        <f t="shared" si="1"/>
        <v>0</v>
      </c>
      <c r="U20" s="229"/>
      <c r="AA20" s="217"/>
    </row>
    <row r="21" spans="1:27" ht="15" customHeight="1" x14ac:dyDescent="0.2">
      <c r="A21" s="215">
        <v>289</v>
      </c>
      <c r="C21" s="269" t="s">
        <v>970</v>
      </c>
      <c r="D21" s="460" t="s">
        <v>972</v>
      </c>
      <c r="E21" s="448">
        <v>0</v>
      </c>
      <c r="F21" s="849">
        <v>500</v>
      </c>
      <c r="G21" s="847">
        <v>1400</v>
      </c>
      <c r="H21" s="848">
        <v>500</v>
      </c>
      <c r="I21" s="31"/>
      <c r="J21" s="380">
        <v>1453</v>
      </c>
      <c r="K21" s="378">
        <f t="shared" si="2"/>
        <v>0</v>
      </c>
      <c r="L21" s="392">
        <v>0.435</v>
      </c>
      <c r="M21" s="311">
        <f t="shared" si="0"/>
        <v>0</v>
      </c>
      <c r="N21" s="378">
        <f>(M21*VLOOKUP($C$9,'Base Costs'!$A$32:$B$37,2,FALSE))</f>
        <v>0</v>
      </c>
      <c r="O21" s="379">
        <f t="shared" si="1"/>
        <v>0</v>
      </c>
      <c r="U21" s="229"/>
      <c r="AA21" s="217"/>
    </row>
    <row r="22" spans="1:27" ht="15" customHeight="1" x14ac:dyDescent="0.2">
      <c r="A22" s="215">
        <v>242</v>
      </c>
      <c r="C22" s="269" t="s">
        <v>971</v>
      </c>
      <c r="D22" s="460" t="s">
        <v>974</v>
      </c>
      <c r="E22" s="448">
        <v>0</v>
      </c>
      <c r="F22" s="849">
        <v>500</v>
      </c>
      <c r="G22" s="847">
        <v>1400</v>
      </c>
      <c r="H22" s="848">
        <v>500</v>
      </c>
      <c r="I22" s="31"/>
      <c r="J22" s="380">
        <v>1519</v>
      </c>
      <c r="K22" s="378">
        <f t="shared" si="2"/>
        <v>0</v>
      </c>
      <c r="L22" s="392">
        <v>0.435</v>
      </c>
      <c r="M22" s="311">
        <f t="shared" si="0"/>
        <v>0</v>
      </c>
      <c r="N22" s="378">
        <f>(M22*VLOOKUP($C$9,'Base Costs'!$A$32:$B$37,2,FALSE))</f>
        <v>0</v>
      </c>
      <c r="O22" s="379">
        <f t="shared" si="1"/>
        <v>0</v>
      </c>
      <c r="U22" s="229"/>
      <c r="AA22" s="217"/>
    </row>
    <row r="23" spans="1:27" ht="15" customHeight="1" x14ac:dyDescent="0.2">
      <c r="A23" s="215">
        <v>220</v>
      </c>
      <c r="C23" s="269" t="s">
        <v>976</v>
      </c>
      <c r="D23" s="460" t="s">
        <v>975</v>
      </c>
      <c r="E23" s="448">
        <v>0</v>
      </c>
      <c r="F23" s="849">
        <v>500</v>
      </c>
      <c r="G23" s="847">
        <v>1400</v>
      </c>
      <c r="H23" s="848">
        <v>500</v>
      </c>
      <c r="I23" s="31"/>
      <c r="J23" s="380">
        <v>1584</v>
      </c>
      <c r="K23" s="378">
        <f t="shared" si="2"/>
        <v>0</v>
      </c>
      <c r="L23" s="392">
        <v>0.435</v>
      </c>
      <c r="M23" s="311">
        <f t="shared" si="0"/>
        <v>0</v>
      </c>
      <c r="N23" s="378">
        <f>(M23*VLOOKUP($C$9,'Base Costs'!$A$32:$B$37,2,FALSE))</f>
        <v>0</v>
      </c>
      <c r="O23" s="379">
        <f t="shared" si="1"/>
        <v>0</v>
      </c>
      <c r="U23" s="229"/>
      <c r="AA23" s="217"/>
    </row>
    <row r="24" spans="1:27" ht="15" customHeight="1" x14ac:dyDescent="0.2">
      <c r="A24" s="215">
        <v>103</v>
      </c>
      <c r="C24" s="269" t="s">
        <v>979</v>
      </c>
      <c r="D24" s="460" t="s">
        <v>980</v>
      </c>
      <c r="E24" s="448">
        <v>0</v>
      </c>
      <c r="F24" s="849">
        <v>600</v>
      </c>
      <c r="G24" s="847">
        <v>1900</v>
      </c>
      <c r="H24" s="848">
        <v>600</v>
      </c>
      <c r="I24" s="31"/>
      <c r="J24" s="380">
        <v>1712</v>
      </c>
      <c r="K24" s="378">
        <f t="shared" si="2"/>
        <v>0</v>
      </c>
      <c r="L24" s="392">
        <v>0.435</v>
      </c>
      <c r="M24" s="311">
        <f t="shared" si="0"/>
        <v>0</v>
      </c>
      <c r="N24" s="378">
        <f>(M24*VLOOKUP($C$9,'Base Costs'!$A$32:$B$37,2,FALSE))</f>
        <v>0</v>
      </c>
      <c r="O24" s="379">
        <f t="shared" si="1"/>
        <v>0</v>
      </c>
      <c r="U24" s="229"/>
      <c r="AA24" s="217"/>
    </row>
    <row r="25" spans="1:27" ht="15" customHeight="1" x14ac:dyDescent="0.2">
      <c r="A25" s="215">
        <v>103</v>
      </c>
      <c r="C25" s="269" t="s">
        <v>977</v>
      </c>
      <c r="D25" s="460" t="s">
        <v>981</v>
      </c>
      <c r="E25" s="448">
        <v>0</v>
      </c>
      <c r="F25" s="849">
        <v>600</v>
      </c>
      <c r="G25" s="847">
        <v>1900</v>
      </c>
      <c r="H25" s="848">
        <v>600</v>
      </c>
      <c r="I25" s="31"/>
      <c r="J25" s="380">
        <v>1777</v>
      </c>
      <c r="K25" s="378">
        <f t="shared" si="2"/>
        <v>0</v>
      </c>
      <c r="L25" s="392">
        <v>0.435</v>
      </c>
      <c r="M25" s="311">
        <f t="shared" si="0"/>
        <v>0</v>
      </c>
      <c r="N25" s="378">
        <f>(M25*VLOOKUP($C$9,'Base Costs'!$A$32:$B$37,2,FALSE))</f>
        <v>0</v>
      </c>
      <c r="O25" s="379">
        <f t="shared" si="1"/>
        <v>0</v>
      </c>
      <c r="U25" s="229"/>
      <c r="AA25" s="217"/>
    </row>
    <row r="26" spans="1:27" ht="15" customHeight="1" x14ac:dyDescent="0.2">
      <c r="C26" s="269" t="s">
        <v>978</v>
      </c>
      <c r="D26" s="460" t="s">
        <v>982</v>
      </c>
      <c r="E26" s="448">
        <v>0</v>
      </c>
      <c r="F26" s="849">
        <v>600</v>
      </c>
      <c r="G26" s="847">
        <v>1900</v>
      </c>
      <c r="H26" s="848">
        <v>600</v>
      </c>
      <c r="I26" s="31"/>
      <c r="J26" s="380">
        <v>1904</v>
      </c>
      <c r="K26" s="378">
        <f t="shared" si="2"/>
        <v>0</v>
      </c>
      <c r="L26" s="392">
        <v>0.435</v>
      </c>
      <c r="M26" s="311">
        <f t="shared" si="0"/>
        <v>0</v>
      </c>
      <c r="N26" s="378">
        <f>(M26*VLOOKUP($C$9,'Base Costs'!$A$32:$B$37,2,FALSE))</f>
        <v>0</v>
      </c>
      <c r="O26" s="379">
        <f t="shared" si="1"/>
        <v>0</v>
      </c>
      <c r="U26" s="229"/>
      <c r="AA26" s="217"/>
    </row>
    <row r="27" spans="1:27" ht="15" customHeight="1" x14ac:dyDescent="0.15">
      <c r="A27" s="215">
        <v>285</v>
      </c>
      <c r="C27" s="269"/>
      <c r="D27" s="460" t="s">
        <v>608</v>
      </c>
      <c r="E27" s="448">
        <v>0</v>
      </c>
      <c r="F27" s="28"/>
      <c r="G27" s="28"/>
      <c r="H27" s="32"/>
      <c r="I27" s="31"/>
      <c r="J27" s="380"/>
      <c r="K27" s="378">
        <f t="shared" si="2"/>
        <v>0</v>
      </c>
      <c r="L27" s="392">
        <v>0.435</v>
      </c>
      <c r="M27" s="311">
        <f t="shared" si="0"/>
        <v>0</v>
      </c>
      <c r="N27" s="378">
        <f>(M27*VLOOKUP($C$9,'Base Costs'!$A$32:$B$37,2,FALSE))</f>
        <v>0</v>
      </c>
      <c r="O27" s="379">
        <f t="shared" si="1"/>
        <v>0</v>
      </c>
      <c r="U27" s="229"/>
      <c r="AA27" s="217"/>
    </row>
    <row r="28" spans="1:27" ht="15" customHeight="1" x14ac:dyDescent="0.15">
      <c r="C28" s="269"/>
      <c r="D28" s="460" t="s">
        <v>608</v>
      </c>
      <c r="E28" s="448">
        <v>0</v>
      </c>
      <c r="F28" s="28"/>
      <c r="G28" s="28"/>
      <c r="H28" s="32"/>
      <c r="I28" s="31"/>
      <c r="J28" s="380">
        <f>IF(E28=0,0,36)</f>
        <v>0</v>
      </c>
      <c r="K28" s="378">
        <f t="shared" si="2"/>
        <v>0</v>
      </c>
      <c r="L28" s="392">
        <v>0.435</v>
      </c>
      <c r="M28" s="311">
        <f t="shared" si="0"/>
        <v>0</v>
      </c>
      <c r="N28" s="378">
        <f>(M28*VLOOKUP($C$9,'Base Costs'!$A$32:$B$37,2,FALSE))</f>
        <v>0</v>
      </c>
      <c r="O28" s="379">
        <f t="shared" si="1"/>
        <v>0</v>
      </c>
      <c r="U28" s="229"/>
      <c r="AA28" s="217"/>
    </row>
    <row r="29" spans="1:27" ht="15" customHeight="1" x14ac:dyDescent="0.15">
      <c r="C29" s="269"/>
      <c r="D29" s="460" t="s">
        <v>608</v>
      </c>
      <c r="E29" s="448">
        <v>0</v>
      </c>
      <c r="F29" s="28"/>
      <c r="G29" s="28"/>
      <c r="H29" s="32"/>
      <c r="I29" s="31"/>
      <c r="J29" s="380"/>
      <c r="K29" s="378">
        <f t="shared" si="2"/>
        <v>0</v>
      </c>
      <c r="L29" s="392">
        <v>0.435</v>
      </c>
      <c r="M29" s="311">
        <f t="shared" si="0"/>
        <v>0</v>
      </c>
      <c r="N29" s="378">
        <f>(M29*VLOOKUP($C$9,'Base Costs'!$A$32:$B$37,2,FALSE))</f>
        <v>0</v>
      </c>
      <c r="O29" s="379">
        <f t="shared" si="1"/>
        <v>0</v>
      </c>
      <c r="U29" s="229"/>
      <c r="AA29" s="217"/>
    </row>
    <row r="30" spans="1:27" ht="15" customHeight="1" x14ac:dyDescent="0.15">
      <c r="A30" s="215">
        <v>286</v>
      </c>
      <c r="C30" s="269"/>
      <c r="D30" s="460" t="s">
        <v>608</v>
      </c>
      <c r="E30" s="448">
        <v>0</v>
      </c>
      <c r="F30" s="28"/>
      <c r="G30" s="28"/>
      <c r="H30" s="30"/>
      <c r="I30" s="31"/>
      <c r="J30" s="380">
        <f>IF(E30=0,0,100)</f>
        <v>0</v>
      </c>
      <c r="K30" s="378">
        <f t="shared" si="2"/>
        <v>0</v>
      </c>
      <c r="L30" s="392">
        <v>0.435</v>
      </c>
      <c r="M30" s="311">
        <f t="shared" si="0"/>
        <v>0</v>
      </c>
      <c r="N30" s="378">
        <f>(M30*VLOOKUP($C$9,'Base Costs'!$A$32:$B$37,2,FALSE))</f>
        <v>0</v>
      </c>
      <c r="O30" s="379">
        <f t="shared" si="1"/>
        <v>0</v>
      </c>
      <c r="U30" s="229"/>
      <c r="AA30" s="217"/>
    </row>
    <row r="31" spans="1:27" ht="15" customHeight="1" x14ac:dyDescent="0.15">
      <c r="C31" s="269"/>
      <c r="D31" s="460" t="s">
        <v>608</v>
      </c>
      <c r="E31" s="448">
        <v>0</v>
      </c>
      <c r="F31" s="462"/>
      <c r="G31" s="32"/>
      <c r="H31" s="30"/>
      <c r="I31" s="31"/>
      <c r="J31" s="846"/>
      <c r="K31" s="378">
        <f t="shared" si="2"/>
        <v>0</v>
      </c>
      <c r="L31" s="392">
        <v>0.435</v>
      </c>
      <c r="M31" s="311">
        <f>(K31/(1-L31))*(1+$D$9)</f>
        <v>0</v>
      </c>
      <c r="N31" s="378">
        <f>(M31*VLOOKUP($C$9,'Base Costs'!$A$32:$B$37,2,FALSE))</f>
        <v>0</v>
      </c>
      <c r="O31" s="379">
        <f>M31-K31</f>
        <v>0</v>
      </c>
      <c r="U31" s="229"/>
      <c r="AA31" s="217"/>
    </row>
    <row r="32" spans="1:27" ht="15" customHeight="1" x14ac:dyDescent="0.15">
      <c r="C32" s="992" t="s">
        <v>1406</v>
      </c>
      <c r="D32" s="1039" t="s">
        <v>1405</v>
      </c>
      <c r="E32" s="1040">
        <v>1</v>
      </c>
      <c r="F32" s="1045"/>
      <c r="G32" s="1004"/>
      <c r="H32" s="1046"/>
      <c r="I32" s="1043"/>
      <c r="J32" s="1047">
        <v>50</v>
      </c>
      <c r="K32" s="1010">
        <f t="shared" si="2"/>
        <v>50</v>
      </c>
      <c r="L32" s="1044">
        <v>0.44</v>
      </c>
      <c r="M32" s="1012">
        <f>(K32/(1-L32))*(1+$D$9)</f>
        <v>89.285714285714278</v>
      </c>
      <c r="N32" s="1010">
        <f>(M32*VLOOKUP($C$9,'Base Costs'!$A$32:$B$37,2,FALSE))</f>
        <v>89.285714285714278</v>
      </c>
      <c r="O32" s="1013">
        <f>M32-K32</f>
        <v>39.285714285714278</v>
      </c>
      <c r="P32" s="1004" t="s">
        <v>1453</v>
      </c>
      <c r="U32" s="229"/>
      <c r="AA32" s="217"/>
    </row>
    <row r="33" spans="1:27" ht="15" customHeight="1" x14ac:dyDescent="0.15">
      <c r="H33" s="34" t="s">
        <v>352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97" t="s">
        <v>50</v>
      </c>
      <c r="D35" s="1097"/>
      <c r="E35" s="1097"/>
      <c r="F35" s="1097"/>
      <c r="G35" s="1097"/>
      <c r="H35" s="1097"/>
      <c r="I35" s="236"/>
      <c r="J35" s="330"/>
      <c r="K35" s="154">
        <f>SUBTOTAL(9,K36:K46)</f>
        <v>0</v>
      </c>
      <c r="L35" s="15" t="str">
        <f>IF(K35=0,"-",O35/M35)</f>
        <v>-</v>
      </c>
      <c r="M35" s="154">
        <f>SUBTOTAL(9,M36:M46)</f>
        <v>0</v>
      </c>
      <c r="N35" s="464">
        <f>SUBTOTAL(9,N36:N46)</f>
        <v>0</v>
      </c>
      <c r="O35" s="154">
        <f>SUBTOTAL(9,O37:O46)</f>
        <v>0</v>
      </c>
      <c r="U35" s="229"/>
    </row>
    <row r="36" spans="1:27" ht="15" customHeight="1" x14ac:dyDescent="0.15">
      <c r="A36" s="215">
        <v>222</v>
      </c>
      <c r="C36" s="269" t="s">
        <v>10</v>
      </c>
      <c r="D36" s="242"/>
      <c r="E36" s="309" t="s">
        <v>48</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36</v>
      </c>
      <c r="D37" s="242"/>
      <c r="E37" s="309" t="s">
        <v>189</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36</v>
      </c>
      <c r="D38" s="242"/>
      <c r="E38" s="309" t="s">
        <v>189</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16</v>
      </c>
      <c r="D39" s="242"/>
      <c r="E39" s="28" t="s">
        <v>142</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13</v>
      </c>
      <c r="D40" s="242"/>
      <c r="E40" s="28" t="s">
        <v>204</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140</v>
      </c>
      <c r="D41" s="242"/>
      <c r="E41" s="28" t="s">
        <v>896</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141</v>
      </c>
      <c r="D42" s="242"/>
      <c r="E42" s="28" t="s">
        <v>896</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544</v>
      </c>
      <c r="D43" s="242"/>
      <c r="E43" s="28" t="s">
        <v>144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12</v>
      </c>
      <c r="D44" s="242"/>
      <c r="E44" s="28" t="s">
        <v>144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32</v>
      </c>
      <c r="D45" s="242"/>
      <c r="E45" s="28" t="s">
        <v>145</v>
      </c>
      <c r="F45" s="28"/>
      <c r="G45" s="28"/>
      <c r="H45" s="28"/>
      <c r="I45" s="28"/>
      <c r="J45" s="385">
        <v>604</v>
      </c>
      <c r="K45" s="378">
        <f t="shared" si="3"/>
        <v>0</v>
      </c>
      <c r="L45" s="392">
        <v>0.33</v>
      </c>
      <c r="M45" s="311">
        <f>(K45/(1-L45))*(1+$D$9)</f>
        <v>0</v>
      </c>
      <c r="N45" s="378">
        <f>(M45*VLOOKUP($C$9,'Base Costs'!$A$32:$B$37,2,FALSE))</f>
        <v>0</v>
      </c>
      <c r="O45" s="379">
        <f>M45-K45</f>
        <v>0</v>
      </c>
      <c r="U45" s="229"/>
    </row>
    <row r="46" spans="1:27" ht="15" customHeight="1" x14ac:dyDescent="0.15">
      <c r="A46" s="215">
        <v>284</v>
      </c>
      <c r="C46" s="269" t="s">
        <v>205</v>
      </c>
      <c r="D46" s="242"/>
      <c r="E46" s="28" t="s">
        <v>206</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126</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protectedRanges>
    <protectedRange sqref="C12:C14 O10:O11 O36:O47 D36:E46 J36:J46 O34 H30 H31:I32 O14:O32 H34:J34 I4:J7 I8:K8 J13:J32 D13:H14 D15:E32 F15:H26 I13:I30"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49:G54 C49:C53 K54:O54" name="Full" securityDescriptor="O:WDG:WDD:(A;;CC;;;S-1-5-21-1993962763-879983540-839522115-1156)"/>
    <protectedRange sqref="C54:D54" name="Full_2" securityDescriptor="O:WDG:WDD:(A;;CC;;;S-1-5-21-1993962763-879983540-839522115-1156)"/>
    <protectedRange sqref="D3:E3" name="Estimating_1_3_2" securityDescriptor="O:WDG:WDD:(A;;CC;;;S-1-5-21-1993962763-879983540-839522115-1221)"/>
  </protectedRanges>
  <mergeCells count="9">
    <mergeCell ref="P7:R7"/>
    <mergeCell ref="C35:H35"/>
    <mergeCell ref="C1:D1"/>
    <mergeCell ref="D3:E3"/>
    <mergeCell ref="H3:J3"/>
    <mergeCell ref="D5:E5"/>
    <mergeCell ref="H5:J5"/>
    <mergeCell ref="D7:E7"/>
    <mergeCell ref="H7:J7"/>
  </mergeCells>
  <conditionalFormatting sqref="C9">
    <cfRule type="containsText" dxfId="11092" priority="69" operator="containsText" text="SELECT">
      <formula>NOT(ISERROR(SEARCH("SELECT",C9)))</formula>
    </cfRule>
    <cfRule type="expression" dxfId="11091" priority="70">
      <formula>C9="CURRENCY"</formula>
    </cfRule>
  </conditionalFormatting>
  <conditionalFormatting sqref="C14:C32">
    <cfRule type="expression" dxfId="11090" priority="12">
      <formula>$J14&gt;0</formula>
    </cfRule>
  </conditionalFormatting>
  <conditionalFormatting sqref="C36:C46">
    <cfRule type="expression" dxfId="11089" priority="11">
      <formula>$D36&gt;0</formula>
    </cfRule>
  </conditionalFormatting>
  <conditionalFormatting sqref="D36:D37 D39:D46">
    <cfRule type="cellIs" dxfId="11088" priority="72" operator="lessThan">
      <formula>1</formula>
    </cfRule>
  </conditionalFormatting>
  <conditionalFormatting sqref="D38">
    <cfRule type="cellIs" dxfId="11087" priority="59" operator="lessThan">
      <formula>1</formula>
    </cfRule>
  </conditionalFormatting>
  <conditionalFormatting sqref="D9:E9">
    <cfRule type="cellIs" dxfId="11086" priority="65" operator="lessThan">
      <formula>0</formula>
    </cfRule>
    <cfRule type="cellIs" dxfId="11085" priority="66" operator="greaterThan">
      <formula>0</formula>
    </cfRule>
  </conditionalFormatting>
  <conditionalFormatting sqref="F12">
    <cfRule type="expression" dxfId="11084" priority="81">
      <formula>AND((ISNUMBER(SEARCH("I-MUAP",$E$14))),F12&lt;2500)</formula>
    </cfRule>
    <cfRule type="expression" dxfId="11083" priority="82">
      <formula>ISNUMBER(SEARCH("I-MUAP",$E$14))</formula>
    </cfRule>
    <cfRule type="cellIs" dxfId="11082" priority="83" operator="greaterThan">
      <formula>2000</formula>
    </cfRule>
  </conditionalFormatting>
  <conditionalFormatting sqref="F12:G12">
    <cfRule type="cellIs" dxfId="11081" priority="76" operator="lessThan">
      <formula>1000</formula>
    </cfRule>
  </conditionalFormatting>
  <conditionalFormatting sqref="F14:G26">
    <cfRule type="cellIs" dxfId="11080" priority="3" operator="lessThan">
      <formula>1000</formula>
    </cfRule>
  </conditionalFormatting>
  <conditionalFormatting sqref="G12">
    <cfRule type="cellIs" dxfId="11079" priority="77" operator="greaterThan">
      <formula>3001</formula>
    </cfRule>
  </conditionalFormatting>
  <conditionalFormatting sqref="H11">
    <cfRule type="expression" dxfId="11078" priority="79">
      <formula>((G14-50)/I14)&lt;950</formula>
    </cfRule>
  </conditionalFormatting>
  <conditionalFormatting sqref="H12">
    <cfRule type="expression" dxfId="11077" priority="78">
      <formula>((G14-50)/I14)&lt;950</formula>
    </cfRule>
  </conditionalFormatting>
  <conditionalFormatting sqref="H14:H26">
    <cfRule type="cellIs" dxfId="11076" priority="5" operator="lessThan">
      <formula>400</formula>
    </cfRule>
  </conditionalFormatting>
  <conditionalFormatting sqref="H33">
    <cfRule type="expression" dxfId="11075" priority="90">
      <formula>((#REF!-50)/#REF!)&lt;950</formula>
    </cfRule>
  </conditionalFormatting>
  <conditionalFormatting sqref="J14:J30">
    <cfRule type="cellIs" dxfId="11074" priority="18" operator="greaterThan">
      <formula>0</formula>
    </cfRule>
  </conditionalFormatting>
  <conditionalFormatting sqref="J36:J46">
    <cfRule type="expression" dxfId="11073" priority="51">
      <formula>D36&gt;0</formula>
    </cfRule>
  </conditionalFormatting>
  <conditionalFormatting sqref="J48:J54">
    <cfRule type="expression" dxfId="11072" priority="56">
      <formula>#REF!="EURO"</formula>
    </cfRule>
  </conditionalFormatting>
  <conditionalFormatting sqref="K14:K32">
    <cfRule type="cellIs" dxfId="11071" priority="1" operator="greaterThan">
      <formula>0</formula>
    </cfRule>
  </conditionalFormatting>
  <conditionalFormatting sqref="K36:K46">
    <cfRule type="cellIs" dxfId="11070" priority="58" operator="greaterThan">
      <formula>0</formula>
    </cfRule>
  </conditionalFormatting>
  <conditionalFormatting sqref="K48:K54">
    <cfRule type="expression" dxfId="11069" priority="52">
      <formula>$C$9="PLN"</formula>
    </cfRule>
    <cfRule type="expression" dxfId="11068" priority="53">
      <formula>$C$9="CZK"</formula>
    </cfRule>
    <cfRule type="expression" dxfId="11067" priority="54">
      <formula>$C$9="USD"</formula>
    </cfRule>
    <cfRule type="expression" dxfId="11066" priority="55">
      <formula>$C$9="EURO"</formula>
    </cfRule>
  </conditionalFormatting>
  <conditionalFormatting sqref="L14:L32">
    <cfRule type="expression" dxfId="11065" priority="16">
      <formula>$D$9&lt;0</formula>
    </cfRule>
    <cfRule type="expression" dxfId="11064" priority="17">
      <formula>$D$9&gt;0</formula>
    </cfRule>
  </conditionalFormatting>
  <conditionalFormatting sqref="L36:L46">
    <cfRule type="expression" dxfId="11063" priority="14">
      <formula>$D$9&lt;0</formula>
    </cfRule>
    <cfRule type="expression" dxfId="11062" priority="15">
      <formula>$D$9&gt;0</formula>
    </cfRule>
  </conditionalFormatting>
  <conditionalFormatting sqref="N9 N12">
    <cfRule type="expression" dxfId="11061" priority="84">
      <formula>$C$9="PLN"</formula>
    </cfRule>
    <cfRule type="expression" dxfId="11060" priority="85">
      <formula>$C$9="CZK"</formula>
    </cfRule>
    <cfRule type="expression" dxfId="11059" priority="86">
      <formula>$C$9="USD"</formula>
    </cfRule>
    <cfRule type="expression" dxfId="11058" priority="87">
      <formula>$C$9="EURO"</formula>
    </cfRule>
  </conditionalFormatting>
  <conditionalFormatting sqref="N14:N32">
    <cfRule type="expression" dxfId="11057" priority="22">
      <formula>$C$9="PLN"</formula>
    </cfRule>
    <cfRule type="expression" dxfId="11056" priority="23">
      <formula>$C$9="CZK"</formula>
    </cfRule>
    <cfRule type="expression" dxfId="11055" priority="24">
      <formula>$C$9="USD"</formula>
    </cfRule>
    <cfRule type="expression" dxfId="11054" priority="25">
      <formula>$C$9="EURO"</formula>
    </cfRule>
  </conditionalFormatting>
  <conditionalFormatting sqref="N18:N20">
    <cfRule type="cellIs" dxfId="11053" priority="33" operator="greaterThan">
      <formula>0</formula>
    </cfRule>
  </conditionalFormatting>
  <conditionalFormatting sqref="N35:N46">
    <cfRule type="expression" dxfId="11052" priority="7">
      <formula>$C$9="PLN"</formula>
    </cfRule>
    <cfRule type="expression" dxfId="11051" priority="8">
      <formula>$C$9="CZK"</formula>
    </cfRule>
    <cfRule type="expression" dxfId="11050" priority="9">
      <formula>$C$9="USD"</formula>
    </cfRule>
    <cfRule type="expression" dxfId="11049" priority="10">
      <formula>$C$9="EURO"</formula>
    </cfRule>
  </conditionalFormatting>
  <conditionalFormatting sqref="N14:O32">
    <cfRule type="cellIs" dxfId="11048" priority="21" operator="greaterThan">
      <formula>0</formula>
    </cfRule>
  </conditionalFormatting>
  <conditionalFormatting sqref="N36:O46">
    <cfRule type="cellIs" dxfId="11047" priority="6" operator="greaterThan">
      <formula>0</formula>
    </cfRule>
  </conditionalFormatting>
  <conditionalFormatting sqref="O14:O20">
    <cfRule type="cellIs" dxfId="11046" priority="38" operator="greaterThan">
      <formula>0</formula>
    </cfRule>
  </conditionalFormatting>
  <dataValidations count="3">
    <dataValidation type="list" allowBlank="1" showInputMessage="1" showErrorMessage="1" sqref="H34" xr:uid="{00000000-0002-0000-1000-000000000000}">
      <formula1>#REF!</formula1>
    </dataValidation>
    <dataValidation operator="greaterThan" allowBlank="1" showInputMessage="1" showErrorMessage="1" sqref="F14:F26" xr:uid="{00000000-0002-0000-1000-000001000000}"/>
    <dataValidation type="list" allowBlank="1" showInputMessage="1" showErrorMessage="1" sqref="E14:E32" xr:uid="{00000000-0002-0000-1000-000002000000}">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3000000}">
          <x14:formula1>
            <xm:f>'Base Costs'!$A$4:$A$16</xm:f>
          </x14:formula1>
          <xm:sqref>E37:E38</xm:sqref>
        </x14:dataValidation>
        <x14:dataValidation type="list" allowBlank="1" showInputMessage="1" showErrorMessage="1" xr:uid="{00000000-0002-0000-1000-000004000000}">
          <x14:formula1>
            <xm:f>'Base Costs'!$E$4:$E$213</xm:f>
          </x14:formula1>
          <xm:sqref>E36</xm:sqref>
        </x14:dataValidation>
        <x14:dataValidation type="list" allowBlank="1" showInputMessage="1" showErrorMessage="1" xr:uid="{00000000-0002-0000-1000-000005000000}">
          <x14:formula1>
            <xm:f>'Base Costs'!$A$32:$A$37</xm:f>
          </x14:formula1>
          <xm:sqref>C9</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215" customWidth="1"/>
    <col min="4" max="4" width="32.33203125" style="217" customWidth="1"/>
    <col min="5" max="5" width="39.83203125" style="217" customWidth="1"/>
    <col min="6" max="6" width="27.1640625" style="217" customWidth="1"/>
    <col min="7" max="7" width="26.6640625" style="217" customWidth="1"/>
    <col min="8" max="8" width="18.83203125" style="217" customWidth="1"/>
    <col min="9" max="9" width="25" style="217" bestFit="1" customWidth="1"/>
    <col min="10" max="10" width="10" style="233" bestFit="1" customWidth="1"/>
    <col min="11" max="11" width="14.83203125" style="348" bestFit="1" customWidth="1"/>
    <col min="12" max="12" width="17.5" style="228" customWidth="1"/>
    <col min="13" max="13" width="6.6640625" style="228" customWidth="1"/>
    <col min="14" max="14" width="15.5" style="346" hidden="1" customWidth="1"/>
    <col min="15" max="15" width="14.5" style="348" bestFit="1" customWidth="1"/>
    <col min="16" max="16" width="13.6640625" style="14" bestFit="1" customWidth="1"/>
    <col min="17" max="18" width="8.83203125" style="217" customWidth="1"/>
    <col min="19" max="19" width="18.6640625" style="217" customWidth="1"/>
    <col min="20" max="27" width="8.83203125" style="217" customWidth="1"/>
    <col min="28" max="28" width="8.83203125" style="219" customWidth="1"/>
    <col min="29" max="30" width="8.83203125" style="217" customWidth="1"/>
    <col min="31" max="31" width="8.83203125" style="220" customWidth="1"/>
    <col min="32" max="100" width="8.83203125" style="217" customWidth="1"/>
    <col min="101" max="16384" width="8.83203125" style="217"/>
  </cols>
  <sheetData>
    <row r="1" spans="1:29" ht="15" customHeight="1" x14ac:dyDescent="0.15">
      <c r="D1" s="1168" t="s">
        <v>1091</v>
      </c>
      <c r="E1" s="1168"/>
      <c r="F1" s="216"/>
      <c r="G1" s="216"/>
      <c r="H1" s="216"/>
      <c r="I1" s="216"/>
      <c r="J1" s="29"/>
      <c r="K1" s="336"/>
      <c r="L1" s="337"/>
      <c r="M1" s="338"/>
      <c r="N1" s="339"/>
      <c r="O1" s="336"/>
      <c r="P1" s="586">
        <v>44409</v>
      </c>
      <c r="T1" s="80"/>
      <c r="U1" s="218"/>
    </row>
    <row r="2" spans="1:29" ht="15" customHeight="1" x14ac:dyDescent="0.15">
      <c r="D2" s="79"/>
      <c r="E2" s="221"/>
      <c r="F2" s="221"/>
      <c r="H2" s="79"/>
      <c r="I2" s="77"/>
      <c r="J2" s="222"/>
      <c r="K2" s="340"/>
      <c r="L2" s="341"/>
      <c r="M2" s="342"/>
      <c r="N2" s="343"/>
      <c r="O2" s="344"/>
      <c r="U2" s="225"/>
      <c r="Z2" s="226"/>
    </row>
    <row r="3" spans="1:29" ht="15" customHeight="1" x14ac:dyDescent="0.15">
      <c r="D3" s="78" t="s">
        <v>733</v>
      </c>
      <c r="E3" s="1158" t="e">
        <f>IF(#REF!="","",#REF!)</f>
        <v>#REF!</v>
      </c>
      <c r="F3" s="1158"/>
      <c r="H3" s="76" t="s">
        <v>78</v>
      </c>
      <c r="I3" s="1084" t="e">
        <f>IF(#REF!="","",#REF!)</f>
        <v>#REF!</v>
      </c>
      <c r="J3" s="1084"/>
      <c r="K3" s="1084"/>
      <c r="M3" s="342"/>
      <c r="N3" s="343"/>
      <c r="O3" s="344"/>
      <c r="U3" s="225"/>
    </row>
    <row r="4" spans="1:29" ht="15" customHeight="1" x14ac:dyDescent="0.15">
      <c r="D4" s="79"/>
      <c r="E4" s="223"/>
      <c r="F4" s="223"/>
      <c r="H4" s="77"/>
      <c r="I4" s="222"/>
      <c r="J4" s="227"/>
      <c r="K4" s="341"/>
      <c r="M4" s="342"/>
      <c r="N4" s="343"/>
      <c r="O4" s="344"/>
      <c r="U4" s="225"/>
    </row>
    <row r="5" spans="1:29" ht="15" customHeight="1" x14ac:dyDescent="0.15">
      <c r="D5" s="78" t="s">
        <v>75</v>
      </c>
      <c r="E5" s="1083" t="e">
        <f>IF(#REF!="","",#REF!)</f>
        <v>#REF!</v>
      </c>
      <c r="F5" s="1083"/>
      <c r="H5" s="76" t="s">
        <v>77</v>
      </c>
      <c r="I5" s="1084" t="e">
        <f>IF(#REF!="","",#REF!)</f>
        <v>#REF!</v>
      </c>
      <c r="J5" s="1084"/>
      <c r="K5" s="1084"/>
      <c r="N5" s="343"/>
      <c r="O5" s="344"/>
      <c r="R5" s="229"/>
      <c r="S5" s="229"/>
      <c r="U5" s="225"/>
      <c r="V5" s="226"/>
    </row>
    <row r="6" spans="1:29" ht="15" customHeight="1" x14ac:dyDescent="0.15">
      <c r="D6" s="78"/>
      <c r="E6" s="230"/>
      <c r="F6" s="230"/>
      <c r="H6" s="76"/>
      <c r="I6" s="222"/>
      <c r="J6" s="79"/>
      <c r="K6" s="345"/>
      <c r="M6" s="342"/>
      <c r="N6" s="343"/>
      <c r="O6" s="344"/>
      <c r="R6" s="229"/>
      <c r="S6" s="229"/>
      <c r="U6" s="225"/>
      <c r="V6" s="226"/>
      <c r="AB6" s="231"/>
    </row>
    <row r="7" spans="1:29" ht="15" customHeight="1" x14ac:dyDescent="0.15">
      <c r="D7" s="80" t="s">
        <v>734</v>
      </c>
      <c r="E7" s="1188"/>
      <c r="F7" s="1188"/>
      <c r="H7" s="76" t="s">
        <v>76</v>
      </c>
      <c r="I7" s="1086" t="e">
        <f>IF(#REF!="","",#REF!)</f>
        <v>#REF!</v>
      </c>
      <c r="J7" s="1086"/>
      <c r="K7" s="1086"/>
      <c r="O7" s="347" t="s">
        <v>79</v>
      </c>
      <c r="P7" s="590"/>
      <c r="Q7" s="232"/>
      <c r="S7" s="224"/>
      <c r="U7" s="225"/>
      <c r="V7" s="226"/>
      <c r="AB7" s="231"/>
    </row>
    <row r="8" spans="1:29" ht="15" customHeight="1" x14ac:dyDescent="0.15">
      <c r="F8" s="219"/>
      <c r="G8" s="219"/>
      <c r="I8" s="219"/>
      <c r="K8" s="346"/>
      <c r="L8" s="14"/>
      <c r="U8" s="225"/>
      <c r="AB8" s="231"/>
    </row>
    <row r="9" spans="1:29" s="80" customFormat="1" ht="15" customHeight="1" x14ac:dyDescent="0.15">
      <c r="A9" s="215"/>
      <c r="B9" s="215"/>
      <c r="C9" s="215"/>
      <c r="D9" s="38" t="s">
        <v>353</v>
      </c>
      <c r="E9" s="373">
        <v>0.03</v>
      </c>
      <c r="F9" s="377" t="e">
        <f>IF(E9=0,0,(SUBTOTAL(9,N14:N46)/(1-E9))-N9)</f>
        <v>#N/A</v>
      </c>
      <c r="J9" s="234"/>
      <c r="L9" s="25" t="e">
        <f>SUBTOTAL(9,L12:L46)</f>
        <v>#N/A</v>
      </c>
      <c r="M9" s="15" t="e">
        <f>IF(P9=0,"-",P9/N9)</f>
        <v>#N/A</v>
      </c>
      <c r="N9" s="25" t="e">
        <f>SUBTOTAL(9,N12:N46)</f>
        <v>#N/A</v>
      </c>
      <c r="O9" s="464" t="e">
        <f>SUBTOTAL(9,O12:O46)</f>
        <v>#N/A</v>
      </c>
      <c r="P9" s="25" t="e">
        <f>SUBTOTAL(9,P12:P46)</f>
        <v>#N/A</v>
      </c>
      <c r="Q9" s="217"/>
      <c r="R9" s="217"/>
      <c r="S9" s="217"/>
      <c r="T9" s="217"/>
      <c r="U9" s="217"/>
      <c r="V9" s="217"/>
      <c r="W9" s="217"/>
      <c r="AA9" s="217"/>
      <c r="AB9" s="217"/>
      <c r="AC9" s="217"/>
    </row>
    <row r="10" spans="1:29" s="80" customFormat="1" ht="15" customHeight="1" x14ac:dyDescent="0.15">
      <c r="A10" s="215"/>
      <c r="B10" s="215"/>
      <c r="C10" s="215"/>
      <c r="D10" s="6" t="s">
        <v>353</v>
      </c>
      <c r="E10" s="6" t="s">
        <v>542</v>
      </c>
      <c r="F10" s="6" t="s">
        <v>541</v>
      </c>
      <c r="G10" s="6"/>
      <c r="H10" s="6"/>
      <c r="I10" s="6"/>
      <c r="J10" s="6"/>
      <c r="K10" s="1" t="s">
        <v>209</v>
      </c>
      <c r="L10" s="2" t="s">
        <v>34</v>
      </c>
      <c r="M10" s="3" t="s">
        <v>146</v>
      </c>
      <c r="N10" s="4" t="s">
        <v>132</v>
      </c>
      <c r="O10" s="1" t="s">
        <v>210</v>
      </c>
      <c r="P10" s="5" t="s">
        <v>211</v>
      </c>
      <c r="Q10" s="217"/>
      <c r="R10" s="217"/>
      <c r="S10" s="217"/>
      <c r="T10" s="217"/>
      <c r="U10" s="217"/>
      <c r="V10" s="235"/>
      <c r="W10" s="217"/>
      <c r="AA10" s="217"/>
      <c r="AB10" s="217"/>
      <c r="AC10" s="217"/>
    </row>
    <row r="11" spans="1:29" s="80" customFormat="1" ht="15" customHeight="1" x14ac:dyDescent="0.15">
      <c r="A11" s="215"/>
      <c r="B11" s="215"/>
      <c r="C11" s="215"/>
      <c r="D11" s="9"/>
      <c r="E11" s="9"/>
      <c r="F11" s="9"/>
      <c r="G11" s="9"/>
      <c r="H11" s="9"/>
      <c r="I11" s="34" t="s">
        <v>352</v>
      </c>
      <c r="J11" s="9"/>
      <c r="K11" s="11"/>
      <c r="L11" s="8"/>
      <c r="M11" s="12"/>
      <c r="N11" s="13"/>
      <c r="O11" s="11"/>
      <c r="P11" s="14"/>
      <c r="Q11" s="217"/>
      <c r="R11" s="217"/>
      <c r="S11" s="217"/>
      <c r="T11" s="217"/>
      <c r="U11" s="217"/>
      <c r="V11" s="235"/>
      <c r="W11" s="217"/>
      <c r="AA11" s="217"/>
      <c r="AB11" s="217"/>
      <c r="AC11" s="217"/>
    </row>
    <row r="12" spans="1:29" s="80" customFormat="1" ht="15" customHeight="1" x14ac:dyDescent="0.15">
      <c r="A12" s="215"/>
      <c r="B12" s="215"/>
      <c r="C12" s="215"/>
      <c r="D12" s="241" t="s">
        <v>609</v>
      </c>
      <c r="E12" s="236"/>
      <c r="F12" s="237">
        <f>F14</f>
        <v>0</v>
      </c>
      <c r="G12" s="850">
        <v>0</v>
      </c>
      <c r="H12" s="850">
        <f>IF(J12&lt;1,0,CEILING((H14-100)/J14,250))</f>
        <v>0</v>
      </c>
      <c r="I12" s="237" t="str">
        <f>F12&amp;H12&amp;G12</f>
        <v>000</v>
      </c>
      <c r="J12" s="236">
        <f>IF(G14=0,0,IF(H14=0,0,(G14/(IF(E14="WALL",G14,(G14/2)))*J14)))</f>
        <v>0</v>
      </c>
      <c r="K12" s="238"/>
      <c r="L12" s="154">
        <f>SUBTOTAL(9,L14:L32)</f>
        <v>0</v>
      </c>
      <c r="M12" s="15" t="str">
        <f>IF(L14=0,"-",P12/N12)</f>
        <v>-</v>
      </c>
      <c r="N12" s="154">
        <f>SUBTOTAL(9,N14:N30)</f>
        <v>0</v>
      </c>
      <c r="O12" s="464">
        <f>SUBTOTAL(9,O14:O32)</f>
        <v>0</v>
      </c>
      <c r="P12" s="154">
        <f>SUBTOTAL(9,P14:P32)</f>
        <v>0</v>
      </c>
      <c r="Q12" s="217"/>
      <c r="R12" s="217"/>
      <c r="S12" s="217"/>
      <c r="T12" s="217"/>
      <c r="U12" s="217"/>
      <c r="V12" s="235"/>
      <c r="W12" s="217"/>
      <c r="AA12" s="217"/>
      <c r="AB12" s="217"/>
      <c r="AC12" s="217"/>
    </row>
    <row r="13" spans="1:29" ht="15" customHeight="1" x14ac:dyDescent="0.15">
      <c r="D13" s="7"/>
      <c r="E13" s="10" t="s">
        <v>203</v>
      </c>
      <c r="F13" s="27" t="s">
        <v>983</v>
      </c>
      <c r="G13" s="10" t="s">
        <v>133</v>
      </c>
      <c r="H13" s="10" t="s">
        <v>134</v>
      </c>
      <c r="I13" s="10" t="s">
        <v>177</v>
      </c>
      <c r="J13" s="10" t="s">
        <v>202</v>
      </c>
      <c r="K13" s="349"/>
      <c r="L13" s="350"/>
      <c r="M13" s="350"/>
      <c r="N13" s="351"/>
      <c r="O13" s="352"/>
      <c r="P13" s="5"/>
      <c r="V13" s="229"/>
      <c r="AB13" s="217"/>
    </row>
    <row r="14" spans="1:29" ht="15" customHeight="1" x14ac:dyDescent="0.2">
      <c r="A14" s="215">
        <v>210</v>
      </c>
      <c r="D14" s="269" t="s">
        <v>1041</v>
      </c>
      <c r="E14" s="460" t="s">
        <v>975</v>
      </c>
      <c r="F14" s="448">
        <v>0</v>
      </c>
      <c r="G14" s="886">
        <v>350</v>
      </c>
      <c r="H14" s="847">
        <v>1400</v>
      </c>
      <c r="I14" s="888">
        <v>350</v>
      </c>
      <c r="J14" s="31"/>
      <c r="K14" s="380">
        <v>1357</v>
      </c>
      <c r="L14" s="378">
        <f>SUM(K14*F14)</f>
        <v>0</v>
      </c>
      <c r="M14" s="392">
        <v>0.435</v>
      </c>
      <c r="N14" s="311">
        <f t="shared" ref="N14:N29" si="0">(L14/(1-M14))*(1+$E$9)</f>
        <v>0</v>
      </c>
      <c r="O14" s="378">
        <f>(N14*VLOOKUP($D$9,'Base Costs'!$A$32:$B$37,2,FALSE))</f>
        <v>0</v>
      </c>
      <c r="P14" s="379">
        <f t="shared" ref="P14:P29" si="1">N14-L14</f>
        <v>0</v>
      </c>
      <c r="V14" s="229"/>
      <c r="AB14" s="217"/>
    </row>
    <row r="15" spans="1:29" ht="15" customHeight="1" x14ac:dyDescent="0.2">
      <c r="A15" s="215">
        <v>104</v>
      </c>
      <c r="D15" s="269" t="s">
        <v>1042</v>
      </c>
      <c r="E15" s="460" t="s">
        <v>962</v>
      </c>
      <c r="F15" s="448">
        <v>0</v>
      </c>
      <c r="G15" s="886">
        <v>500</v>
      </c>
      <c r="H15" s="847">
        <v>1400</v>
      </c>
      <c r="I15" s="848">
        <v>500</v>
      </c>
      <c r="J15" s="31"/>
      <c r="K15" s="380">
        <v>2006</v>
      </c>
      <c r="L15" s="378">
        <f t="shared" ref="L15:L32" si="2">SUM(K15*F15)</f>
        <v>0</v>
      </c>
      <c r="M15" s="392">
        <v>0.435</v>
      </c>
      <c r="N15" s="311">
        <f t="shared" si="0"/>
        <v>0</v>
      </c>
      <c r="O15" s="378">
        <f>(N15*VLOOKUP($D$9,'Base Costs'!$A$32:$B$37,2,FALSE))</f>
        <v>0</v>
      </c>
      <c r="P15" s="379">
        <f t="shared" si="1"/>
        <v>0</v>
      </c>
      <c r="V15" s="229"/>
      <c r="AB15" s="217"/>
    </row>
    <row r="16" spans="1:29" ht="15" customHeight="1" x14ac:dyDescent="0.2">
      <c r="A16" s="215">
        <v>234</v>
      </c>
      <c r="D16" s="269" t="s">
        <v>1043</v>
      </c>
      <c r="E16" s="460" t="s">
        <v>1049</v>
      </c>
      <c r="F16" s="461">
        <v>0</v>
      </c>
      <c r="G16" s="886">
        <v>600</v>
      </c>
      <c r="H16" s="847">
        <v>1400</v>
      </c>
      <c r="I16" s="848">
        <v>600</v>
      </c>
      <c r="J16" s="31"/>
      <c r="K16" s="380">
        <v>2610</v>
      </c>
      <c r="L16" s="378">
        <f t="shared" si="2"/>
        <v>0</v>
      </c>
      <c r="M16" s="392">
        <v>0.2</v>
      </c>
      <c r="N16" s="311">
        <f t="shared" si="0"/>
        <v>0</v>
      </c>
      <c r="O16" s="378">
        <f>(N16*VLOOKUP($D$9,'Base Costs'!$A$32:$B$37,2,FALSE))</f>
        <v>0</v>
      </c>
      <c r="P16" s="379">
        <f t="shared" si="1"/>
        <v>0</v>
      </c>
      <c r="V16" s="229"/>
      <c r="AB16" s="217"/>
    </row>
    <row r="17" spans="1:28" ht="15" customHeight="1" x14ac:dyDescent="0.2">
      <c r="D17" s="269" t="s">
        <v>1044</v>
      </c>
      <c r="E17" s="460" t="s">
        <v>1050</v>
      </c>
      <c r="F17" s="448">
        <v>0</v>
      </c>
      <c r="G17" s="886">
        <v>700</v>
      </c>
      <c r="H17" s="847">
        <v>1900</v>
      </c>
      <c r="I17" s="848">
        <v>700</v>
      </c>
      <c r="J17" s="31"/>
      <c r="K17" s="380">
        <v>3232</v>
      </c>
      <c r="L17" s="378">
        <f t="shared" si="2"/>
        <v>0</v>
      </c>
      <c r="M17" s="392">
        <v>0.435</v>
      </c>
      <c r="N17" s="311">
        <f t="shared" si="0"/>
        <v>0</v>
      </c>
      <c r="O17" s="378">
        <f>(N17*VLOOKUP($D$9,'Base Costs'!$A$32:$B$37,2,FALSE))</f>
        <v>0</v>
      </c>
      <c r="P17" s="379">
        <f t="shared" si="1"/>
        <v>0</v>
      </c>
      <c r="V17" s="229"/>
      <c r="AB17" s="217"/>
    </row>
    <row r="18" spans="1:28" ht="15" customHeight="1" x14ac:dyDescent="0.2">
      <c r="D18" s="269" t="s">
        <v>1045</v>
      </c>
      <c r="E18" s="460" t="s">
        <v>1051</v>
      </c>
      <c r="F18" s="448">
        <v>0</v>
      </c>
      <c r="G18" s="886">
        <v>750</v>
      </c>
      <c r="H18" s="847">
        <v>1900</v>
      </c>
      <c r="I18" s="848">
        <v>750</v>
      </c>
      <c r="J18" s="31"/>
      <c r="K18" s="380">
        <v>3850</v>
      </c>
      <c r="L18" s="378">
        <f t="shared" si="2"/>
        <v>0</v>
      </c>
      <c r="M18" s="392">
        <v>0.435</v>
      </c>
      <c r="N18" s="311">
        <f t="shared" si="0"/>
        <v>0</v>
      </c>
      <c r="O18" s="378">
        <f>(N18*VLOOKUP($D$9,'Base Costs'!$A$32:$B$37,2,FALSE))</f>
        <v>0</v>
      </c>
      <c r="P18" s="379">
        <f t="shared" si="1"/>
        <v>0</v>
      </c>
      <c r="V18" s="229"/>
      <c r="AB18" s="217"/>
    </row>
    <row r="19" spans="1:28" ht="15" customHeight="1" x14ac:dyDescent="0.2">
      <c r="D19" s="269" t="s">
        <v>1046</v>
      </c>
      <c r="E19" s="460" t="s">
        <v>1052</v>
      </c>
      <c r="F19" s="448">
        <v>0</v>
      </c>
      <c r="G19" s="886">
        <v>850</v>
      </c>
      <c r="H19" s="847">
        <v>1900</v>
      </c>
      <c r="I19" s="848">
        <v>850</v>
      </c>
      <c r="J19" s="31"/>
      <c r="K19" s="380">
        <v>4495</v>
      </c>
      <c r="L19" s="378">
        <f t="shared" si="2"/>
        <v>0</v>
      </c>
      <c r="M19" s="392">
        <v>0.435</v>
      </c>
      <c r="N19" s="311">
        <f t="shared" si="0"/>
        <v>0</v>
      </c>
      <c r="O19" s="378">
        <f>(N19*VLOOKUP($D$9,'Base Costs'!$A$32:$B$37,2,FALSE))</f>
        <v>0</v>
      </c>
      <c r="P19" s="379">
        <f t="shared" si="1"/>
        <v>0</v>
      </c>
      <c r="V19" s="229"/>
      <c r="AB19" s="217"/>
    </row>
    <row r="20" spans="1:28" ht="15" customHeight="1" x14ac:dyDescent="0.2">
      <c r="D20" s="269" t="s">
        <v>1047</v>
      </c>
      <c r="E20" s="460" t="s">
        <v>1053</v>
      </c>
      <c r="F20" s="448">
        <v>0</v>
      </c>
      <c r="G20" s="886">
        <v>925</v>
      </c>
      <c r="H20" s="847">
        <v>1900</v>
      </c>
      <c r="I20" s="848">
        <v>925</v>
      </c>
      <c r="J20" s="31"/>
      <c r="K20" s="380">
        <v>5052</v>
      </c>
      <c r="L20" s="378">
        <f t="shared" si="2"/>
        <v>0</v>
      </c>
      <c r="M20" s="392">
        <v>0.435</v>
      </c>
      <c r="N20" s="311">
        <f t="shared" si="0"/>
        <v>0</v>
      </c>
      <c r="O20" s="378">
        <f>(N20*VLOOKUP($D$9,'Base Costs'!$A$32:$B$37,2,FALSE))</f>
        <v>0</v>
      </c>
      <c r="P20" s="379">
        <f t="shared" si="1"/>
        <v>0</v>
      </c>
      <c r="V20" s="229"/>
      <c r="AB20" s="217"/>
    </row>
    <row r="21" spans="1:28" ht="15" customHeight="1" x14ac:dyDescent="0.2">
      <c r="A21" s="215">
        <v>289</v>
      </c>
      <c r="D21" s="269" t="s">
        <v>1048</v>
      </c>
      <c r="E21" s="460" t="s">
        <v>1054</v>
      </c>
      <c r="F21" s="448">
        <v>0</v>
      </c>
      <c r="G21" s="887">
        <v>1000</v>
      </c>
      <c r="H21" s="847">
        <v>1400</v>
      </c>
      <c r="I21" s="848">
        <v>1000</v>
      </c>
      <c r="J21" s="31"/>
      <c r="K21" s="380">
        <v>7496</v>
      </c>
      <c r="L21" s="378">
        <f t="shared" si="2"/>
        <v>0</v>
      </c>
      <c r="M21" s="392">
        <v>0.435</v>
      </c>
      <c r="N21" s="311">
        <f t="shared" si="0"/>
        <v>0</v>
      </c>
      <c r="O21" s="378">
        <f>(N21*VLOOKUP($D$9,'Base Costs'!$A$32:$B$37,2,FALSE))</f>
        <v>0</v>
      </c>
      <c r="P21" s="379">
        <f t="shared" si="1"/>
        <v>0</v>
      </c>
      <c r="V21" s="229"/>
      <c r="AB21" s="217"/>
    </row>
    <row r="22" spans="1:28" ht="15" customHeight="1" x14ac:dyDescent="0.2">
      <c r="A22" s="215">
        <v>242</v>
      </c>
      <c r="D22" s="897" t="s">
        <v>1055</v>
      </c>
      <c r="E22" s="460" t="s">
        <v>980</v>
      </c>
      <c r="F22" s="448">
        <v>0</v>
      </c>
      <c r="G22" s="886">
        <v>350</v>
      </c>
      <c r="H22" s="847">
        <v>2000</v>
      </c>
      <c r="I22" s="848">
        <v>350</v>
      </c>
      <c r="J22" s="31"/>
      <c r="K22" s="380">
        <v>1281</v>
      </c>
      <c r="L22" s="378">
        <f t="shared" si="2"/>
        <v>0</v>
      </c>
      <c r="M22" s="392">
        <v>0.435</v>
      </c>
      <c r="N22" s="311">
        <f t="shared" si="0"/>
        <v>0</v>
      </c>
      <c r="O22" s="378">
        <f>(N22*VLOOKUP($D$9,'Base Costs'!$A$32:$B$37,2,FALSE))</f>
        <v>0</v>
      </c>
      <c r="P22" s="379">
        <f t="shared" si="1"/>
        <v>0</v>
      </c>
      <c r="V22" s="229"/>
      <c r="AB22" s="217"/>
    </row>
    <row r="23" spans="1:28" ht="15" customHeight="1" x14ac:dyDescent="0.2">
      <c r="A23" s="215">
        <v>220</v>
      </c>
      <c r="D23" s="898" t="s">
        <v>1056</v>
      </c>
      <c r="E23" s="460" t="s">
        <v>981</v>
      </c>
      <c r="F23" s="448">
        <v>0</v>
      </c>
      <c r="G23" s="886">
        <v>500</v>
      </c>
      <c r="H23" s="847">
        <v>2000</v>
      </c>
      <c r="I23" s="848">
        <v>500</v>
      </c>
      <c r="J23" s="31"/>
      <c r="K23" s="380">
        <v>1420</v>
      </c>
      <c r="L23" s="378">
        <f t="shared" si="2"/>
        <v>0</v>
      </c>
      <c r="M23" s="392">
        <v>0.435</v>
      </c>
      <c r="N23" s="311">
        <f t="shared" si="0"/>
        <v>0</v>
      </c>
      <c r="O23" s="378">
        <f>(N23*VLOOKUP($D$9,'Base Costs'!$A$32:$B$37,2,FALSE))</f>
        <v>0</v>
      </c>
      <c r="P23" s="379">
        <f t="shared" si="1"/>
        <v>0</v>
      </c>
      <c r="V23" s="229"/>
      <c r="AB23" s="217"/>
    </row>
    <row r="24" spans="1:28" ht="15" customHeight="1" x14ac:dyDescent="0.2">
      <c r="A24" s="215">
        <v>103</v>
      </c>
      <c r="C24" s="215" t="s">
        <v>1057</v>
      </c>
      <c r="D24" s="898" t="s">
        <v>1070</v>
      </c>
      <c r="E24" s="460" t="s">
        <v>1065</v>
      </c>
      <c r="F24" s="448">
        <v>0</v>
      </c>
      <c r="G24" s="886">
        <v>600</v>
      </c>
      <c r="H24" s="847">
        <v>2000</v>
      </c>
      <c r="I24" s="848">
        <v>600</v>
      </c>
      <c r="J24" s="31"/>
      <c r="K24" s="380">
        <v>2012</v>
      </c>
      <c r="L24" s="378">
        <f t="shared" si="2"/>
        <v>0</v>
      </c>
      <c r="M24" s="392">
        <v>0.435</v>
      </c>
      <c r="N24" s="311">
        <f t="shared" si="0"/>
        <v>0</v>
      </c>
      <c r="O24" s="378">
        <f>(N24*VLOOKUP($D$9,'Base Costs'!$A$32:$B$37,2,FALSE))</f>
        <v>0</v>
      </c>
      <c r="P24" s="379">
        <f t="shared" si="1"/>
        <v>0</v>
      </c>
      <c r="V24" s="229"/>
      <c r="AB24" s="217"/>
    </row>
    <row r="25" spans="1:28" ht="15" customHeight="1" x14ac:dyDescent="0.2">
      <c r="A25" s="215">
        <v>103</v>
      </c>
      <c r="D25" s="898" t="s">
        <v>1064</v>
      </c>
      <c r="E25" s="460" t="s">
        <v>1065</v>
      </c>
      <c r="F25" s="448">
        <v>0</v>
      </c>
      <c r="G25" s="886">
        <v>700</v>
      </c>
      <c r="H25" s="847">
        <v>2000</v>
      </c>
      <c r="I25" s="848">
        <v>600</v>
      </c>
      <c r="J25" s="31"/>
      <c r="K25" s="380">
        <v>2053</v>
      </c>
      <c r="L25" s="378">
        <f t="shared" si="2"/>
        <v>0</v>
      </c>
      <c r="M25" s="392">
        <v>0.435</v>
      </c>
      <c r="N25" s="311">
        <f t="shared" si="0"/>
        <v>0</v>
      </c>
      <c r="O25" s="378">
        <f>(N25*VLOOKUP($D$9,'Base Costs'!$A$32:$B$37,2,FALSE))</f>
        <v>0</v>
      </c>
      <c r="P25" s="379">
        <f t="shared" si="1"/>
        <v>0</v>
      </c>
      <c r="V25" s="229"/>
      <c r="AB25" s="217"/>
    </row>
    <row r="26" spans="1:28" ht="15" customHeight="1" x14ac:dyDescent="0.2">
      <c r="D26" s="898" t="s">
        <v>1063</v>
      </c>
      <c r="E26" s="460" t="s">
        <v>1066</v>
      </c>
      <c r="F26" s="448">
        <v>0</v>
      </c>
      <c r="G26" s="886">
        <v>750</v>
      </c>
      <c r="H26" s="847">
        <v>2000</v>
      </c>
      <c r="I26" s="848">
        <v>600</v>
      </c>
      <c r="J26" s="31"/>
      <c r="K26" s="380">
        <v>2272</v>
      </c>
      <c r="L26" s="378">
        <f t="shared" si="2"/>
        <v>0</v>
      </c>
      <c r="M26" s="392">
        <v>0.435</v>
      </c>
      <c r="N26" s="311">
        <f t="shared" si="0"/>
        <v>0</v>
      </c>
      <c r="O26" s="378">
        <f>(N26*VLOOKUP($D$9,'Base Costs'!$A$32:$B$37,2,FALSE))</f>
        <v>0</v>
      </c>
      <c r="P26" s="379">
        <f t="shared" si="1"/>
        <v>0</v>
      </c>
      <c r="V26" s="229"/>
      <c r="AB26" s="217"/>
    </row>
    <row r="27" spans="1:28" ht="15" customHeight="1" x14ac:dyDescent="0.15">
      <c r="A27" s="215">
        <v>285</v>
      </c>
      <c r="D27" s="898" t="s">
        <v>1062</v>
      </c>
      <c r="E27" s="460" t="s">
        <v>1067</v>
      </c>
      <c r="F27" s="448">
        <v>0</v>
      </c>
      <c r="G27" s="892">
        <v>850</v>
      </c>
      <c r="H27" s="891">
        <v>2000</v>
      </c>
      <c r="I27" s="895">
        <v>850</v>
      </c>
      <c r="J27" s="31"/>
      <c r="K27" s="380">
        <v>2946</v>
      </c>
      <c r="L27" s="378">
        <f t="shared" si="2"/>
        <v>0</v>
      </c>
      <c r="M27" s="392">
        <v>0.435</v>
      </c>
      <c r="N27" s="311">
        <f t="shared" si="0"/>
        <v>0</v>
      </c>
      <c r="O27" s="378">
        <f>(N27*VLOOKUP($D$9,'Base Costs'!$A$32:$B$37,2,FALSE))</f>
        <v>0</v>
      </c>
      <c r="P27" s="379">
        <f t="shared" si="1"/>
        <v>0</v>
      </c>
      <c r="V27" s="229"/>
      <c r="AB27" s="217"/>
    </row>
    <row r="28" spans="1:28" ht="15" customHeight="1" x14ac:dyDescent="0.15">
      <c r="D28" s="898" t="s">
        <v>1061</v>
      </c>
      <c r="E28" s="460" t="s">
        <v>1067</v>
      </c>
      <c r="F28" s="448">
        <v>0</v>
      </c>
      <c r="G28" s="892">
        <v>925</v>
      </c>
      <c r="H28" s="892">
        <v>2000</v>
      </c>
      <c r="I28" s="895">
        <v>925</v>
      </c>
      <c r="J28" s="31"/>
      <c r="K28" s="380">
        <v>2344</v>
      </c>
      <c r="L28" s="378">
        <f t="shared" si="2"/>
        <v>0</v>
      </c>
      <c r="M28" s="392">
        <v>0.435</v>
      </c>
      <c r="N28" s="311">
        <f t="shared" si="0"/>
        <v>0</v>
      </c>
      <c r="O28" s="378">
        <f>(N28*VLOOKUP($D$9,'Base Costs'!$A$32:$B$37,2,FALSE))</f>
        <v>0</v>
      </c>
      <c r="P28" s="379">
        <f t="shared" si="1"/>
        <v>0</v>
      </c>
      <c r="V28" s="229"/>
      <c r="AB28" s="217"/>
    </row>
    <row r="29" spans="1:28" ht="15" customHeight="1" x14ac:dyDescent="0.15">
      <c r="D29" s="898" t="s">
        <v>1060</v>
      </c>
      <c r="E29" s="460" t="s">
        <v>1068</v>
      </c>
      <c r="F29" s="448">
        <v>0</v>
      </c>
      <c r="G29" s="892">
        <v>1000</v>
      </c>
      <c r="H29" s="892">
        <v>2000</v>
      </c>
      <c r="I29" s="895">
        <v>1000</v>
      </c>
      <c r="J29" s="31"/>
      <c r="K29" s="380">
        <v>3598</v>
      </c>
      <c r="L29" s="378">
        <f t="shared" si="2"/>
        <v>0</v>
      </c>
      <c r="M29" s="392">
        <v>0.435</v>
      </c>
      <c r="N29" s="311">
        <f t="shared" si="0"/>
        <v>0</v>
      </c>
      <c r="O29" s="378">
        <f>(N29*VLOOKUP($D$9,'Base Costs'!$A$32:$B$37,2,FALSE))</f>
        <v>0</v>
      </c>
      <c r="P29" s="379">
        <f t="shared" si="1"/>
        <v>0</v>
      </c>
      <c r="V29" s="229"/>
      <c r="AB29" s="217"/>
    </row>
    <row r="30" spans="1:28" ht="15" customHeight="1" x14ac:dyDescent="0.15">
      <c r="A30" s="215">
        <v>286</v>
      </c>
      <c r="D30" s="898" t="s">
        <v>1059</v>
      </c>
      <c r="E30" s="460" t="s">
        <v>1068</v>
      </c>
      <c r="F30" s="448">
        <v>0</v>
      </c>
      <c r="G30" s="892">
        <v>1400</v>
      </c>
      <c r="H30" s="892">
        <v>2000</v>
      </c>
      <c r="I30" s="891">
        <v>800</v>
      </c>
      <c r="J30" s="31"/>
      <c r="K30" s="380">
        <v>3675</v>
      </c>
      <c r="L30" s="378">
        <f t="shared" si="2"/>
        <v>0</v>
      </c>
      <c r="M30" s="392">
        <v>0.435</v>
      </c>
      <c r="N30" s="311">
        <f t="shared" ref="N30" si="3">(L30/(1-M30))*(1+$E$9)</f>
        <v>0</v>
      </c>
      <c r="O30" s="378">
        <f>(N30*VLOOKUP($D$9,'Base Costs'!$A$32:$B$37,2,FALSE))</f>
        <v>0</v>
      </c>
      <c r="P30" s="379">
        <f t="shared" ref="P30" si="4">N30-L30</f>
        <v>0</v>
      </c>
      <c r="V30" s="229"/>
      <c r="AB30" s="217"/>
    </row>
    <row r="31" spans="1:28" ht="15" customHeight="1" x14ac:dyDescent="0.15">
      <c r="D31" s="898" t="s">
        <v>1058</v>
      </c>
      <c r="E31" s="460" t="s">
        <v>1069</v>
      </c>
      <c r="F31" s="448">
        <v>0</v>
      </c>
      <c r="G31" s="894">
        <v>1500</v>
      </c>
      <c r="H31" s="893">
        <v>2000</v>
      </c>
      <c r="I31" s="891">
        <v>800</v>
      </c>
      <c r="J31" s="31"/>
      <c r="K31" s="896">
        <v>4302</v>
      </c>
      <c r="L31" s="378">
        <f t="shared" si="2"/>
        <v>0</v>
      </c>
      <c r="M31" s="392">
        <v>0.435</v>
      </c>
      <c r="N31" s="311">
        <f>(L31/(1-M31))*(1+$E$9)</f>
        <v>0</v>
      </c>
      <c r="O31" s="378">
        <f>(N31*VLOOKUP($D$9,'Base Costs'!$A$32:$B$37,2,FALSE))</f>
        <v>0</v>
      </c>
      <c r="P31" s="379">
        <f>N31-L31</f>
        <v>0</v>
      </c>
      <c r="V31" s="229"/>
      <c r="AB31" s="217"/>
    </row>
    <row r="32" spans="1:28" ht="15" customHeight="1" x14ac:dyDescent="0.15">
      <c r="D32" s="269"/>
      <c r="E32" s="460" t="s">
        <v>608</v>
      </c>
      <c r="F32" s="448">
        <v>0</v>
      </c>
      <c r="G32" s="890"/>
      <c r="H32" s="893"/>
      <c r="I32" s="889"/>
      <c r="J32" s="31"/>
      <c r="K32" s="846"/>
      <c r="L32" s="378">
        <f t="shared" si="2"/>
        <v>0</v>
      </c>
      <c r="M32" s="392">
        <v>0.435</v>
      </c>
      <c r="N32" s="311">
        <f>(L32/(1-M32))*(1+$E$9)</f>
        <v>0</v>
      </c>
      <c r="O32" s="378">
        <f>(N32*VLOOKUP($D$9,'Base Costs'!$A$32:$B$37,2,FALSE))</f>
        <v>0</v>
      </c>
      <c r="P32" s="379">
        <f>N32-L32</f>
        <v>0</v>
      </c>
      <c r="V32" s="229"/>
      <c r="AB32" s="217"/>
    </row>
    <row r="33" spans="1:28" ht="15" customHeight="1" x14ac:dyDescent="0.15">
      <c r="I33" s="34" t="s">
        <v>352</v>
      </c>
    </row>
    <row r="34" spans="1:28" ht="15" customHeight="1" x14ac:dyDescent="0.15">
      <c r="D34" s="239"/>
      <c r="E34" s="239"/>
      <c r="F34" s="239"/>
      <c r="G34" s="239"/>
      <c r="H34" s="239"/>
      <c r="I34" s="239"/>
      <c r="J34" s="9"/>
      <c r="K34" s="11"/>
      <c r="L34" s="353"/>
      <c r="M34" s="240"/>
      <c r="N34" s="353"/>
      <c r="O34" s="353"/>
      <c r="V34" s="229"/>
      <c r="AB34" s="217"/>
    </row>
    <row r="35" spans="1:28" ht="15" customHeight="1" x14ac:dyDescent="0.15">
      <c r="D35" s="1097" t="s">
        <v>50</v>
      </c>
      <c r="E35" s="1097"/>
      <c r="F35" s="1097"/>
      <c r="G35" s="1097"/>
      <c r="H35" s="1097"/>
      <c r="I35" s="1097"/>
      <c r="J35" s="236"/>
      <c r="K35" s="330"/>
      <c r="L35" s="154" t="e">
        <f>SUBTOTAL(9,L36:L46)</f>
        <v>#N/A</v>
      </c>
      <c r="M35" s="15" t="e">
        <f>IF(L36=0,"-",P35/N35)</f>
        <v>#N/A</v>
      </c>
      <c r="N35" s="154" t="e">
        <f>SUBTOTAL(9,N36:N46)</f>
        <v>#N/A</v>
      </c>
      <c r="O35" s="464" t="e">
        <f>SUBTOTAL(9,O36:O46)</f>
        <v>#N/A</v>
      </c>
      <c r="P35" s="154">
        <f>SUBTOTAL(9,P37:P46)</f>
        <v>0</v>
      </c>
      <c r="V35" s="229"/>
    </row>
    <row r="36" spans="1:28" ht="15" customHeight="1" x14ac:dyDescent="0.15">
      <c r="A36" s="215">
        <v>222</v>
      </c>
      <c r="D36" s="269" t="s">
        <v>10</v>
      </c>
      <c r="E36" s="242"/>
      <c r="F36" s="309" t="s">
        <v>369</v>
      </c>
      <c r="G36" s="28"/>
      <c r="H36" s="30"/>
      <c r="I36" s="28"/>
      <c r="J36" s="28"/>
      <c r="K36" s="385" t="e">
        <f>VLOOKUP(F36,'Base Costs'!E4:G213,2,FALSE)</f>
        <v>#N/A</v>
      </c>
      <c r="L36" s="378" t="e">
        <f t="shared" ref="L36:L46" si="5">E36*K36</f>
        <v>#N/A</v>
      </c>
      <c r="M36" s="392">
        <v>0.1</v>
      </c>
      <c r="N36" s="311" t="e">
        <f t="shared" ref="N36:N46" si="6">(L36/(1-M36))*(1+$E$9)</f>
        <v>#N/A</v>
      </c>
      <c r="O36" s="378" t="e">
        <f>(N36*VLOOKUP($D$9,'Base Costs'!$A$32:$B$37,2,FALSE))</f>
        <v>#N/A</v>
      </c>
      <c r="P36" s="379" t="e">
        <f t="shared" ref="P36:P46" si="7">N36-L36</f>
        <v>#N/A</v>
      </c>
      <c r="V36" s="229"/>
    </row>
    <row r="37" spans="1:28" ht="15" customHeight="1" x14ac:dyDescent="0.15">
      <c r="A37" s="215">
        <v>257</v>
      </c>
      <c r="D37" s="269" t="s">
        <v>36</v>
      </c>
      <c r="E37" s="242"/>
      <c r="F37" s="309" t="s">
        <v>189</v>
      </c>
      <c r="G37" s="28"/>
      <c r="H37" s="28"/>
      <c r="I37" s="28"/>
      <c r="J37" s="28"/>
      <c r="K37" s="385">
        <f>VLOOKUP(F37,'Base Costs'!$A$4:$B$16,2,FALSE)</f>
        <v>0</v>
      </c>
      <c r="L37" s="378">
        <f t="shared" si="5"/>
        <v>0</v>
      </c>
      <c r="M37" s="392">
        <v>0.37</v>
      </c>
      <c r="N37" s="311">
        <f t="shared" si="6"/>
        <v>0</v>
      </c>
      <c r="O37" s="378">
        <f>(N37*VLOOKUP($D$9,'Base Costs'!$A$32:$B$37,2,FALSE))</f>
        <v>0</v>
      </c>
      <c r="P37" s="379">
        <f t="shared" si="7"/>
        <v>0</v>
      </c>
      <c r="V37" s="229"/>
    </row>
    <row r="38" spans="1:28" ht="15" customHeight="1" x14ac:dyDescent="0.15">
      <c r="A38" s="215">
        <v>257</v>
      </c>
      <c r="D38" s="269" t="s">
        <v>36</v>
      </c>
      <c r="E38" s="242"/>
      <c r="F38" s="309" t="s">
        <v>189</v>
      </c>
      <c r="G38" s="28"/>
      <c r="H38" s="28"/>
      <c r="I38" s="28"/>
      <c r="J38" s="28"/>
      <c r="K38" s="385">
        <f>VLOOKUP(F38,'Base Costs'!$A$4:$B$16,2,FALSE)</f>
        <v>0</v>
      </c>
      <c r="L38" s="378">
        <f t="shared" si="5"/>
        <v>0</v>
      </c>
      <c r="M38" s="392">
        <v>0.37</v>
      </c>
      <c r="N38" s="311">
        <f t="shared" ref="N38" si="8">(L38/(1-M38))*(1+$E$9)</f>
        <v>0</v>
      </c>
      <c r="O38" s="378">
        <f>(N38*VLOOKUP($D$9,'Base Costs'!$A$32:$B$37,2,FALSE))</f>
        <v>0</v>
      </c>
      <c r="P38" s="379">
        <f t="shared" ref="P38" si="9">N38-L38</f>
        <v>0</v>
      </c>
      <c r="V38" s="229"/>
    </row>
    <row r="39" spans="1:28" ht="15" customHeight="1" x14ac:dyDescent="0.15">
      <c r="A39" s="215">
        <v>400</v>
      </c>
      <c r="D39" s="269" t="s">
        <v>16</v>
      </c>
      <c r="E39" s="242"/>
      <c r="F39" s="28" t="s">
        <v>142</v>
      </c>
      <c r="G39" s="28"/>
      <c r="H39" s="28"/>
      <c r="I39" s="28"/>
      <c r="J39" s="28"/>
      <c r="K39" s="385">
        <v>375</v>
      </c>
      <c r="L39" s="378">
        <f t="shared" si="5"/>
        <v>0</v>
      </c>
      <c r="M39" s="392">
        <v>0.37</v>
      </c>
      <c r="N39" s="311">
        <f t="shared" si="6"/>
        <v>0</v>
      </c>
      <c r="O39" s="378">
        <f>(N39*VLOOKUP($D$9,'Base Costs'!$A$32:$B$37,2,FALSE))</f>
        <v>0</v>
      </c>
      <c r="P39" s="379">
        <f t="shared" si="7"/>
        <v>0</v>
      </c>
      <c r="V39" s="229"/>
    </row>
    <row r="40" spans="1:28" ht="15" customHeight="1" x14ac:dyDescent="0.15">
      <c r="A40" s="215">
        <v>102</v>
      </c>
      <c r="D40" s="269" t="s">
        <v>13</v>
      </c>
      <c r="E40" s="242"/>
      <c r="F40" s="28" t="s">
        <v>204</v>
      </c>
      <c r="G40" s="28"/>
      <c r="H40" s="28"/>
      <c r="I40" s="28"/>
      <c r="J40" s="28"/>
      <c r="K40" s="385">
        <v>15</v>
      </c>
      <c r="L40" s="378">
        <f t="shared" si="5"/>
        <v>0</v>
      </c>
      <c r="M40" s="392">
        <v>0.37</v>
      </c>
      <c r="N40" s="311">
        <f t="shared" si="6"/>
        <v>0</v>
      </c>
      <c r="O40" s="378">
        <f>(N40*VLOOKUP($D$9,'Base Costs'!$A$32:$B$37,2,FALSE))</f>
        <v>0</v>
      </c>
      <c r="P40" s="379">
        <f t="shared" si="7"/>
        <v>0</v>
      </c>
      <c r="V40" s="229"/>
    </row>
    <row r="41" spans="1:28" ht="15" customHeight="1" x14ac:dyDescent="0.15">
      <c r="A41" s="215">
        <v>400</v>
      </c>
      <c r="D41" s="269" t="s">
        <v>140</v>
      </c>
      <c r="E41" s="242"/>
      <c r="F41" s="28" t="s">
        <v>896</v>
      </c>
      <c r="G41" s="28"/>
      <c r="H41" s="28"/>
      <c r="I41" s="28"/>
      <c r="J41" s="28"/>
      <c r="K41" s="385">
        <v>500</v>
      </c>
      <c r="L41" s="378">
        <f t="shared" si="5"/>
        <v>0</v>
      </c>
      <c r="M41" s="392">
        <v>0.25</v>
      </c>
      <c r="N41" s="311">
        <f t="shared" si="6"/>
        <v>0</v>
      </c>
      <c r="O41" s="378">
        <f>(N41*VLOOKUP($D$9,'Base Costs'!$A$32:$B$37,2,FALSE))</f>
        <v>0</v>
      </c>
      <c r="P41" s="379">
        <f t="shared" si="7"/>
        <v>0</v>
      </c>
      <c r="V41" s="229"/>
    </row>
    <row r="42" spans="1:28" ht="15" customHeight="1" x14ac:dyDescent="0.15">
      <c r="A42" s="215">
        <v>400</v>
      </c>
      <c r="D42" s="269" t="s">
        <v>141</v>
      </c>
      <c r="E42" s="242"/>
      <c r="F42" s="28" t="s">
        <v>896</v>
      </c>
      <c r="G42" s="28"/>
      <c r="H42" s="28"/>
      <c r="I42" s="28"/>
      <c r="J42" s="28"/>
      <c r="K42" s="385">
        <v>861</v>
      </c>
      <c r="L42" s="378">
        <f t="shared" si="5"/>
        <v>0</v>
      </c>
      <c r="M42" s="392">
        <v>0.25</v>
      </c>
      <c r="N42" s="311">
        <f t="shared" si="6"/>
        <v>0</v>
      </c>
      <c r="O42" s="378">
        <f>(N42*VLOOKUP($D$9,'Base Costs'!$A$32:$B$37,2,FALSE))</f>
        <v>0</v>
      </c>
      <c r="P42" s="379">
        <f t="shared" si="7"/>
        <v>0</v>
      </c>
      <c r="V42" s="229"/>
    </row>
    <row r="43" spans="1:28" ht="15" customHeight="1" x14ac:dyDescent="0.15">
      <c r="A43" s="215">
        <v>253</v>
      </c>
      <c r="D43" s="269" t="s">
        <v>544</v>
      </c>
      <c r="E43" s="242"/>
      <c r="F43" s="28" t="s">
        <v>144</v>
      </c>
      <c r="G43" s="28"/>
      <c r="H43" s="28"/>
      <c r="I43" s="28"/>
      <c r="J43" s="28"/>
      <c r="K43" s="385"/>
      <c r="L43" s="378">
        <f t="shared" si="5"/>
        <v>0</v>
      </c>
      <c r="M43" s="392">
        <v>0.37</v>
      </c>
      <c r="N43" s="311">
        <f t="shared" si="6"/>
        <v>0</v>
      </c>
      <c r="O43" s="378">
        <f>(N43*VLOOKUP($D$9,'Base Costs'!$A$32:$B$37,2,FALSE))</f>
        <v>0</v>
      </c>
      <c r="P43" s="379">
        <f t="shared" si="7"/>
        <v>0</v>
      </c>
      <c r="V43" s="229"/>
    </row>
    <row r="44" spans="1:28" ht="15" customHeight="1" x14ac:dyDescent="0.15">
      <c r="A44" s="215">
        <v>253</v>
      </c>
      <c r="D44" s="269" t="s">
        <v>12</v>
      </c>
      <c r="E44" s="242"/>
      <c r="F44" s="28" t="s">
        <v>144</v>
      </c>
      <c r="G44" s="28"/>
      <c r="H44" s="28"/>
      <c r="I44" s="28"/>
      <c r="J44" s="28"/>
      <c r="K44" s="385">
        <v>170</v>
      </c>
      <c r="L44" s="378">
        <f t="shared" si="5"/>
        <v>0</v>
      </c>
      <c r="M44" s="392">
        <v>0.37</v>
      </c>
      <c r="N44" s="311">
        <f t="shared" si="6"/>
        <v>0</v>
      </c>
      <c r="O44" s="378">
        <f>(N44*VLOOKUP($D$9,'Base Costs'!$A$32:$B$37,2,FALSE))</f>
        <v>0</v>
      </c>
      <c r="P44" s="379">
        <f t="shared" si="7"/>
        <v>0</v>
      </c>
      <c r="V44" s="229"/>
    </row>
    <row r="45" spans="1:28" ht="15" customHeight="1" x14ac:dyDescent="0.15">
      <c r="A45" s="215">
        <v>280</v>
      </c>
      <c r="D45" s="269" t="s">
        <v>32</v>
      </c>
      <c r="E45" s="242"/>
      <c r="F45" s="28" t="s">
        <v>145</v>
      </c>
      <c r="G45" s="28"/>
      <c r="H45" s="28"/>
      <c r="I45" s="28"/>
      <c r="J45" s="28"/>
      <c r="K45" s="385">
        <v>417</v>
      </c>
      <c r="L45" s="378">
        <f t="shared" si="5"/>
        <v>0</v>
      </c>
      <c r="M45" s="392">
        <v>0.37</v>
      </c>
      <c r="N45" s="311">
        <f>(L45/(1-M45))*(1+$E$9)</f>
        <v>0</v>
      </c>
      <c r="O45" s="378">
        <f>(N45*VLOOKUP($D$9,'Base Costs'!$A$32:$B$37,2,FALSE))</f>
        <v>0</v>
      </c>
      <c r="P45" s="379">
        <f>N45-L45</f>
        <v>0</v>
      </c>
      <c r="V45" s="229"/>
    </row>
    <row r="46" spans="1:28" ht="15" customHeight="1" x14ac:dyDescent="0.15">
      <c r="A46" s="215">
        <v>284</v>
      </c>
      <c r="D46" s="269" t="s">
        <v>205</v>
      </c>
      <c r="E46" s="242"/>
      <c r="F46" s="28" t="s">
        <v>206</v>
      </c>
      <c r="G46" s="28"/>
      <c r="H46" s="28"/>
      <c r="I46" s="28"/>
      <c r="J46" s="28"/>
      <c r="K46" s="385">
        <v>200</v>
      </c>
      <c r="L46" s="378">
        <f t="shared" si="5"/>
        <v>0</v>
      </c>
      <c r="M46" s="392">
        <v>0.37</v>
      </c>
      <c r="N46" s="311">
        <f t="shared" si="6"/>
        <v>0</v>
      </c>
      <c r="O46" s="378">
        <f>(N46*VLOOKUP($D$9,'Base Costs'!$A$32:$B$37,2,FALSE))</f>
        <v>0</v>
      </c>
      <c r="P46" s="379">
        <f t="shared" si="7"/>
        <v>0</v>
      </c>
      <c r="V46" s="229"/>
    </row>
    <row r="47" spans="1:28" ht="15" customHeight="1" x14ac:dyDescent="0.15">
      <c r="D47" s="239"/>
      <c r="E47" s="239"/>
      <c r="F47" s="239"/>
      <c r="G47" s="239"/>
      <c r="H47" s="239"/>
      <c r="I47" s="243"/>
      <c r="J47" s="244"/>
      <c r="K47" s="354"/>
      <c r="L47" s="353"/>
      <c r="M47" s="355"/>
      <c r="N47" s="353"/>
      <c r="O47" s="353"/>
      <c r="V47" s="229"/>
    </row>
    <row r="48" spans="1:28" ht="15" customHeight="1" x14ac:dyDescent="0.2">
      <c r="D48" s="197" t="s">
        <v>126</v>
      </c>
      <c r="E48" s="198"/>
      <c r="F48" s="199"/>
      <c r="G48" s="199"/>
      <c r="H48" s="198"/>
      <c r="I48" s="200"/>
      <c r="J48" s="198"/>
      <c r="K48" s="198"/>
      <c r="L48" s="198"/>
      <c r="M48" s="198"/>
      <c r="N48" s="198"/>
      <c r="O48" s="198"/>
      <c r="P48" s="198"/>
      <c r="V48" s="229"/>
    </row>
    <row r="49" spans="4:22" ht="15" customHeight="1" x14ac:dyDescent="0.2">
      <c r="D49" s="202"/>
      <c r="E49" s="203"/>
      <c r="F49" s="202"/>
      <c r="G49" s="204"/>
      <c r="H49" s="202"/>
      <c r="I49" s="209"/>
      <c r="J49" s="203"/>
      <c r="K49" s="203"/>
      <c r="L49" s="205"/>
      <c r="M49" s="205"/>
      <c r="N49" s="205"/>
      <c r="O49" s="205"/>
      <c r="P49" s="205"/>
      <c r="V49" s="229"/>
    </row>
    <row r="50" spans="4:22" ht="15" customHeight="1" x14ac:dyDescent="0.2">
      <c r="D50" s="202"/>
      <c r="E50" s="203"/>
      <c r="F50" s="202"/>
      <c r="G50" s="204"/>
      <c r="H50" s="202"/>
      <c r="I50" s="209"/>
      <c r="J50" s="203"/>
      <c r="K50" s="203"/>
      <c r="L50" s="205"/>
      <c r="M50" s="205"/>
      <c r="N50" s="205"/>
      <c r="O50" s="205"/>
      <c r="P50" s="205"/>
      <c r="V50" s="229"/>
    </row>
    <row r="51" spans="4:22" ht="15" customHeight="1" x14ac:dyDescent="0.2">
      <c r="D51" s="202"/>
      <c r="E51" s="203"/>
      <c r="F51" s="202"/>
      <c r="G51" s="204"/>
      <c r="H51" s="202"/>
      <c r="I51" s="209"/>
      <c r="J51" s="203"/>
      <c r="K51" s="203"/>
      <c r="L51" s="209"/>
      <c r="M51" s="209"/>
      <c r="N51" s="209"/>
      <c r="O51" s="209"/>
      <c r="P51" s="209"/>
      <c r="V51" s="229"/>
    </row>
    <row r="52" spans="4:22" ht="15" customHeight="1" x14ac:dyDescent="0.2">
      <c r="D52" s="202"/>
      <c r="E52" s="203"/>
      <c r="F52" s="202"/>
      <c r="G52" s="204"/>
      <c r="H52" s="202"/>
      <c r="I52" s="209"/>
      <c r="J52" s="206"/>
      <c r="K52" s="203"/>
      <c r="L52" s="209"/>
      <c r="M52" s="209"/>
      <c r="N52" s="209"/>
      <c r="O52" s="209"/>
      <c r="P52" s="209"/>
      <c r="V52" s="229"/>
    </row>
    <row r="53" spans="4:22" ht="15" customHeight="1" x14ac:dyDescent="0.2">
      <c r="D53" s="202"/>
      <c r="E53" s="203"/>
      <c r="F53" s="202"/>
      <c r="G53" s="202"/>
      <c r="H53" s="202"/>
      <c r="I53" s="207"/>
      <c r="J53" s="209"/>
      <c r="K53" s="203"/>
      <c r="L53" s="205"/>
      <c r="M53" s="205"/>
      <c r="N53" s="205"/>
      <c r="O53" s="205"/>
      <c r="P53" s="205"/>
      <c r="V53" s="229"/>
    </row>
    <row r="54" spans="4:22" ht="15" customHeight="1" x14ac:dyDescent="0.2">
      <c r="D54" s="202"/>
      <c r="E54" s="202"/>
      <c r="F54" s="202"/>
      <c r="G54" s="202"/>
      <c r="H54" s="202"/>
      <c r="I54" s="207"/>
      <c r="J54" s="209"/>
      <c r="K54" s="203"/>
      <c r="L54" s="205"/>
      <c r="M54" s="205"/>
      <c r="N54" s="205"/>
      <c r="O54" s="205"/>
      <c r="P54" s="205"/>
      <c r="V54" s="229"/>
    </row>
    <row r="55" spans="4:22" ht="15" customHeight="1" x14ac:dyDescent="0.15">
      <c r="K55" s="228"/>
      <c r="N55" s="228"/>
      <c r="P55" s="228"/>
      <c r="V55" s="229"/>
    </row>
    <row r="56" spans="4:22" ht="15" customHeight="1" x14ac:dyDescent="0.15">
      <c r="K56" s="228"/>
      <c r="N56" s="228"/>
      <c r="P56" s="228"/>
      <c r="V56" s="229"/>
    </row>
    <row r="57" spans="4:22" ht="15" customHeight="1" x14ac:dyDescent="0.15">
      <c r="I57" s="219"/>
      <c r="V57" s="229"/>
    </row>
    <row r="58" spans="4:22" ht="15" customHeight="1" x14ac:dyDescent="0.15">
      <c r="I58" s="219"/>
      <c r="V58" s="229"/>
    </row>
    <row r="59" spans="4:22" ht="15" customHeight="1" x14ac:dyDescent="0.15">
      <c r="I59" s="219"/>
      <c r="V59" s="229"/>
    </row>
    <row r="60" spans="4:22" ht="15" customHeight="1" x14ac:dyDescent="0.15">
      <c r="I60" s="219"/>
      <c r="V60" s="229"/>
    </row>
    <row r="61" spans="4:22" ht="15" customHeight="1" x14ac:dyDescent="0.15">
      <c r="I61" s="219"/>
      <c r="V61" s="229"/>
    </row>
    <row r="62" spans="4:22" ht="15" customHeight="1" x14ac:dyDescent="0.15">
      <c r="I62" s="219"/>
      <c r="V62" s="229"/>
    </row>
    <row r="63" spans="4:22" ht="15" customHeight="1" x14ac:dyDescent="0.15">
      <c r="I63" s="219"/>
      <c r="V63" s="229"/>
    </row>
    <row r="64" spans="4:22" ht="15" customHeight="1" x14ac:dyDescent="0.15">
      <c r="I64" s="219"/>
      <c r="V64" s="229"/>
    </row>
    <row r="65" spans="4:22" ht="15" customHeight="1" x14ac:dyDescent="0.15">
      <c r="I65" s="219"/>
      <c r="V65" s="229"/>
    </row>
    <row r="66" spans="4:22" ht="15" customHeight="1" x14ac:dyDescent="0.15">
      <c r="D66" s="245"/>
      <c r="E66" s="245"/>
      <c r="F66" s="245"/>
      <c r="G66" s="245"/>
      <c r="H66" s="245"/>
      <c r="I66" s="245"/>
      <c r="V66" s="229"/>
    </row>
    <row r="67" spans="4:22" ht="15" customHeight="1" x14ac:dyDescent="0.15">
      <c r="V67" s="229"/>
    </row>
    <row r="68" spans="4:22" ht="15" customHeight="1" x14ac:dyDescent="0.15">
      <c r="V68" s="229"/>
    </row>
    <row r="69" spans="4:22" ht="15" customHeight="1" x14ac:dyDescent="0.15">
      <c r="V69" s="229"/>
    </row>
    <row r="70" spans="4:22" ht="15" customHeight="1" x14ac:dyDescent="0.15">
      <c r="V70" s="229"/>
    </row>
    <row r="71" spans="4:22" ht="15" customHeight="1" x14ac:dyDescent="0.15">
      <c r="V71" s="229"/>
    </row>
    <row r="72" spans="4:22" ht="15" customHeight="1" x14ac:dyDescent="0.15">
      <c r="V72" s="229"/>
    </row>
    <row r="73" spans="4:22" ht="15" customHeight="1" x14ac:dyDescent="0.15">
      <c r="V73" s="229"/>
    </row>
    <row r="74" spans="4:22" ht="15" customHeight="1" x14ac:dyDescent="0.15">
      <c r="V74" s="229"/>
    </row>
    <row r="75" spans="4:22" ht="15" customHeight="1" x14ac:dyDescent="0.15">
      <c r="V75" s="229"/>
    </row>
    <row r="76" spans="4:22" ht="15" customHeight="1" x14ac:dyDescent="0.15">
      <c r="V76" s="229"/>
    </row>
    <row r="77" spans="4:22" ht="15" customHeight="1" x14ac:dyDescent="0.15">
      <c r="V77" s="229"/>
    </row>
    <row r="78" spans="4:22" ht="15" customHeight="1" x14ac:dyDescent="0.15">
      <c r="V78" s="229"/>
    </row>
    <row r="79" spans="4:22" ht="15" customHeight="1" x14ac:dyDescent="0.15">
      <c r="V79" s="229"/>
    </row>
    <row r="80" spans="4:22" ht="15" customHeight="1" x14ac:dyDescent="0.15">
      <c r="V80" s="229"/>
    </row>
    <row r="81" spans="22:22" ht="15" customHeight="1" x14ac:dyDescent="0.15">
      <c r="V81" s="229"/>
    </row>
    <row r="82" spans="22:22" ht="15" customHeight="1" x14ac:dyDescent="0.15">
      <c r="V82" s="229"/>
    </row>
    <row r="83" spans="22:22" ht="15" customHeight="1" x14ac:dyDescent="0.15">
      <c r="V83" s="229"/>
    </row>
    <row r="84" spans="22:22" ht="15" customHeight="1" x14ac:dyDescent="0.15">
      <c r="V84" s="229"/>
    </row>
    <row r="85" spans="22:22" ht="15" customHeight="1" x14ac:dyDescent="0.15">
      <c r="V85" s="229"/>
    </row>
    <row r="86" spans="22:22" ht="15" customHeight="1" x14ac:dyDescent="0.15">
      <c r="V86" s="229"/>
    </row>
    <row r="87" spans="22:22" ht="15" customHeight="1" x14ac:dyDescent="0.15">
      <c r="V87" s="229"/>
    </row>
    <row r="88" spans="22:22" ht="15" customHeight="1" x14ac:dyDescent="0.15">
      <c r="V88" s="229"/>
    </row>
    <row r="89" spans="22:22" ht="15" customHeight="1" x14ac:dyDescent="0.15">
      <c r="V89" s="229"/>
    </row>
    <row r="90" spans="22:22" ht="15" customHeight="1" x14ac:dyDescent="0.15">
      <c r="V90" s="229"/>
    </row>
    <row r="91" spans="22:22" ht="15" customHeight="1" x14ac:dyDescent="0.15">
      <c r="V91" s="229"/>
    </row>
    <row r="92" spans="22:22" ht="15" customHeight="1" x14ac:dyDescent="0.15">
      <c r="V92" s="229"/>
    </row>
    <row r="93" spans="22:22" ht="15" customHeight="1" x14ac:dyDescent="0.15">
      <c r="V93" s="229"/>
    </row>
    <row r="94" spans="22:22" ht="15" customHeight="1" x14ac:dyDescent="0.15">
      <c r="V94" s="229"/>
    </row>
    <row r="95" spans="22:22" ht="15" customHeight="1" x14ac:dyDescent="0.15">
      <c r="V95" s="229"/>
    </row>
    <row r="96" spans="22:22" ht="15" customHeight="1" x14ac:dyDescent="0.15">
      <c r="V96" s="229"/>
    </row>
    <row r="97" spans="22:22" ht="15" customHeight="1" x14ac:dyDescent="0.15">
      <c r="V97" s="229"/>
    </row>
    <row r="98" spans="22:22" ht="15" customHeight="1" x14ac:dyDescent="0.15">
      <c r="V98" s="229"/>
    </row>
    <row r="99" spans="22:22" ht="15" customHeight="1" x14ac:dyDescent="0.15">
      <c r="V99" s="229"/>
    </row>
    <row r="100" spans="22:22" ht="15" customHeight="1" x14ac:dyDescent="0.15">
      <c r="V100" s="229"/>
    </row>
    <row r="101" spans="22:22" ht="15" customHeight="1" x14ac:dyDescent="0.15">
      <c r="V101" s="229"/>
    </row>
    <row r="102" spans="22:22" ht="15" customHeight="1" x14ac:dyDescent="0.15">
      <c r="V102" s="229"/>
    </row>
    <row r="103" spans="22:22" ht="15" customHeight="1" x14ac:dyDescent="0.15">
      <c r="V103" s="229"/>
    </row>
    <row r="104" spans="22:22" ht="15" customHeight="1" x14ac:dyDescent="0.15">
      <c r="V104" s="229"/>
    </row>
    <row r="105" spans="22:22" ht="15" customHeight="1" x14ac:dyDescent="0.15">
      <c r="V105" s="229"/>
    </row>
    <row r="106" spans="22:22" ht="15" customHeight="1" x14ac:dyDescent="0.15">
      <c r="V106" s="229"/>
    </row>
    <row r="107" spans="22:22" ht="15" customHeight="1" x14ac:dyDescent="0.15">
      <c r="V107" s="229"/>
    </row>
    <row r="108" spans="22:22" ht="15" customHeight="1" x14ac:dyDescent="0.15">
      <c r="V108" s="229"/>
    </row>
    <row r="109" spans="22:22" ht="15" customHeight="1" x14ac:dyDescent="0.15">
      <c r="V109" s="229"/>
    </row>
    <row r="110" spans="22:22" ht="15" customHeight="1" x14ac:dyDescent="0.15">
      <c r="V110" s="229"/>
    </row>
    <row r="111" spans="22:22" ht="15" customHeight="1" x14ac:dyDescent="0.15">
      <c r="V111" s="229"/>
    </row>
    <row r="112" spans="22:22" ht="15" customHeight="1" x14ac:dyDescent="0.15">
      <c r="V112" s="229"/>
    </row>
    <row r="113" spans="22:22" ht="15" customHeight="1" x14ac:dyDescent="0.15">
      <c r="V113" s="229"/>
    </row>
    <row r="114" spans="22:22" ht="15" customHeight="1" x14ac:dyDescent="0.15">
      <c r="V114" s="229"/>
    </row>
    <row r="115" spans="22:22" ht="15" customHeight="1" x14ac:dyDescent="0.15">
      <c r="V115" s="229"/>
    </row>
    <row r="116" spans="22:22" ht="15" customHeight="1" x14ac:dyDescent="0.15">
      <c r="V116" s="229"/>
    </row>
    <row r="117" spans="22:22" ht="15" customHeight="1" x14ac:dyDescent="0.15">
      <c r="V117" s="229"/>
    </row>
    <row r="118" spans="22:22" ht="15" customHeight="1" x14ac:dyDescent="0.15">
      <c r="V118" s="229"/>
    </row>
    <row r="119" spans="22:22" ht="15" customHeight="1" x14ac:dyDescent="0.15">
      <c r="V119" s="229"/>
    </row>
    <row r="120" spans="22:22" ht="15" customHeight="1" x14ac:dyDescent="0.15">
      <c r="V120" s="229"/>
    </row>
    <row r="122" spans="22:22" ht="15" customHeight="1" x14ac:dyDescent="0.15">
      <c r="V122" s="229"/>
    </row>
    <row r="123" spans="22:22" ht="15" customHeight="1" x14ac:dyDescent="0.15">
      <c r="V123" s="229"/>
    </row>
    <row r="124" spans="22:22" ht="15" customHeight="1" x14ac:dyDescent="0.15">
      <c r="V124" s="229"/>
    </row>
    <row r="125" spans="22:22" ht="15" customHeight="1" x14ac:dyDescent="0.15">
      <c r="V125" s="229"/>
    </row>
    <row r="126" spans="22:22" ht="15" customHeight="1" x14ac:dyDescent="0.15">
      <c r="V126" s="229"/>
    </row>
    <row r="127" spans="22:22" ht="15" customHeight="1" x14ac:dyDescent="0.15">
      <c r="V127" s="229"/>
    </row>
    <row r="128" spans="22:22" ht="15" customHeight="1" x14ac:dyDescent="0.15">
      <c r="V128" s="229"/>
    </row>
    <row r="129" spans="22:22" ht="15" customHeight="1" x14ac:dyDescent="0.15">
      <c r="V129" s="229"/>
    </row>
    <row r="130" spans="22:22" ht="15" customHeight="1" x14ac:dyDescent="0.15">
      <c r="V130" s="229"/>
    </row>
    <row r="131" spans="22:22" ht="15" customHeight="1" x14ac:dyDescent="0.15">
      <c r="V131" s="229"/>
    </row>
    <row r="132" spans="22:22" ht="15" customHeight="1" x14ac:dyDescent="0.15">
      <c r="V132" s="229"/>
    </row>
    <row r="133" spans="22:22" ht="15" customHeight="1" x14ac:dyDescent="0.15">
      <c r="V133" s="229"/>
    </row>
    <row r="134" spans="22:22" ht="15" customHeight="1" x14ac:dyDescent="0.15">
      <c r="V134" s="229"/>
    </row>
    <row r="135" spans="22:22" ht="15" customHeight="1" x14ac:dyDescent="0.15">
      <c r="V135" s="229"/>
    </row>
    <row r="136" spans="22:22" ht="15" customHeight="1" x14ac:dyDescent="0.15">
      <c r="V136" s="229"/>
    </row>
    <row r="137" spans="22:22" ht="15" customHeight="1" x14ac:dyDescent="0.15">
      <c r="V137" s="229"/>
    </row>
    <row r="138" spans="22:22" ht="15" customHeight="1" x14ac:dyDescent="0.15">
      <c r="V138" s="229"/>
    </row>
    <row r="139" spans="22:22" ht="15" customHeight="1" x14ac:dyDescent="0.15">
      <c r="V139" s="229"/>
    </row>
    <row r="140" spans="22:22" ht="15" customHeight="1" x14ac:dyDescent="0.15">
      <c r="V140" s="229"/>
    </row>
    <row r="141" spans="22:22" ht="15" customHeight="1" x14ac:dyDescent="0.15">
      <c r="V141" s="229"/>
    </row>
    <row r="142" spans="22:22" ht="15" customHeight="1" x14ac:dyDescent="0.15">
      <c r="V142" s="229"/>
    </row>
    <row r="143" spans="22:22" ht="15" customHeight="1" x14ac:dyDescent="0.15">
      <c r="V143" s="229"/>
    </row>
    <row r="144" spans="22:22" ht="15" customHeight="1" x14ac:dyDescent="0.15">
      <c r="V144" s="229"/>
    </row>
    <row r="145" spans="22:22" ht="15" customHeight="1" x14ac:dyDescent="0.15">
      <c r="V145" s="229"/>
    </row>
    <row r="146" spans="22:22" ht="15" customHeight="1" x14ac:dyDescent="0.15">
      <c r="V146" s="229"/>
    </row>
    <row r="147" spans="22:22" ht="15" customHeight="1" x14ac:dyDescent="0.15">
      <c r="V147" s="229"/>
    </row>
    <row r="148" spans="22:22" ht="15" customHeight="1" x14ac:dyDescent="0.15">
      <c r="V148" s="229"/>
    </row>
    <row r="149" spans="22:22" ht="15" customHeight="1" x14ac:dyDescent="0.15">
      <c r="V149" s="229"/>
    </row>
    <row r="150" spans="22:22" ht="15" customHeight="1" x14ac:dyDescent="0.15">
      <c r="V150" s="229"/>
    </row>
    <row r="151" spans="22:22" ht="15" customHeight="1" x14ac:dyDescent="0.15">
      <c r="V151" s="229"/>
    </row>
    <row r="152" spans="22:22" ht="15" customHeight="1" x14ac:dyDescent="0.15">
      <c r="V152" s="229"/>
    </row>
    <row r="153" spans="22:22" ht="15" customHeight="1" x14ac:dyDescent="0.15">
      <c r="V153" s="229"/>
    </row>
    <row r="154" spans="22:22" ht="15" customHeight="1" x14ac:dyDescent="0.15">
      <c r="V154" s="229"/>
    </row>
    <row r="155" spans="22:22" ht="15" customHeight="1" x14ac:dyDescent="0.15">
      <c r="V155" s="229"/>
    </row>
    <row r="156" spans="22:22" ht="15" customHeight="1" x14ac:dyDescent="0.15">
      <c r="V156" s="229"/>
    </row>
    <row r="157" spans="22:22" ht="15" customHeight="1" x14ac:dyDescent="0.15">
      <c r="V157" s="229"/>
    </row>
    <row r="158" spans="22:22" ht="15" customHeight="1" x14ac:dyDescent="0.15">
      <c r="V158" s="229"/>
    </row>
    <row r="159" spans="22:22" ht="15" customHeight="1" x14ac:dyDescent="0.15">
      <c r="V159" s="229"/>
    </row>
  </sheetData>
  <protectedRanges>
    <protectedRange sqref="Q7 S7 D12:D14 P10:P11 P36:P47 E36:F46 K36:K46 P34 I30 I31:J32 P14:P32 I34:K34 J4:K7 J8:L8 K13:K32 E13:I14 G15:I26 J13:J30 E15:F32" name="Estimating" securityDescriptor="O:WDG:WDD:(A;;CC;;;S-1-5-21-1993962763-879983540-839522115-1221)"/>
    <protectedRange sqref="E2:F2 D2:D6 E8:I8 O7:P7 E4:F7 H2:I7" name="Estimating_1" securityDescriptor="O:WDG:WDD:(A;;CC;;;S-1-5-21-1993962763-879983540-839522115-1221)"/>
    <protectedRange sqref="F9" name="Estimating_1_1" securityDescriptor="O:WDG:WDD:(A;;CC;;;S-1-5-21-1993962763-879983540-839522115-1221)"/>
    <protectedRange sqref="H49:H54 D49:D53 L54:P54" name="Full" securityDescriptor="O:WDG:WDD:(A;;CC;;;S-1-5-21-1993962763-879983540-839522115-1156)"/>
    <protectedRange sqref="D54:E54" name="Full_2" securityDescriptor="O:WDG:WDD:(A;;CC;;;S-1-5-21-1993962763-879983540-839522115-1156)"/>
    <protectedRange sqref="E3:F3" name="Estimating_1_3_2" securityDescriptor="O:WDG:WDD:(A;;CC;;;S-1-5-21-1993962763-879983540-839522115-1221)"/>
  </protectedRanges>
  <mergeCells count="8">
    <mergeCell ref="D1:E1"/>
    <mergeCell ref="D35:I35"/>
    <mergeCell ref="E3:F3"/>
    <mergeCell ref="I3:K3"/>
    <mergeCell ref="E5:F5"/>
    <mergeCell ref="I5:K5"/>
    <mergeCell ref="E7:F7"/>
    <mergeCell ref="I7:K7"/>
  </mergeCells>
  <conditionalFormatting sqref="D9">
    <cfRule type="containsText" dxfId="11045" priority="480" operator="containsText" text="SELECT">
      <formula>NOT(ISERROR(SEARCH("SELECT",D9)))</formula>
    </cfRule>
    <cfRule type="expression" dxfId="11044" priority="481">
      <formula>D9="CURRENCY"</formula>
    </cfRule>
  </conditionalFormatting>
  <conditionalFormatting sqref="D14:D32">
    <cfRule type="expression" dxfId="11043" priority="22">
      <formula>$K14&gt;0</formula>
    </cfRule>
  </conditionalFormatting>
  <conditionalFormatting sqref="D36:D46">
    <cfRule type="expression" dxfId="11042" priority="21">
      <formula>$E36&gt;0</formula>
    </cfRule>
  </conditionalFormatting>
  <conditionalFormatting sqref="E36:E37 E39:E46">
    <cfRule type="cellIs" dxfId="11041" priority="570" operator="lessThan">
      <formula>1</formula>
    </cfRule>
  </conditionalFormatting>
  <conditionalFormatting sqref="E38">
    <cfRule type="cellIs" dxfId="11040" priority="402" operator="lessThan">
      <formula>1</formula>
    </cfRule>
  </conditionalFormatting>
  <conditionalFormatting sqref="E9:F9">
    <cfRule type="cellIs" dxfId="11039" priority="418" operator="lessThan">
      <formula>0</formula>
    </cfRule>
    <cfRule type="cellIs" dxfId="11038" priority="419" operator="greaterThan">
      <formula>0</formula>
    </cfRule>
  </conditionalFormatting>
  <conditionalFormatting sqref="G12">
    <cfRule type="expression" dxfId="11037" priority="586">
      <formula>AND((ISNUMBER(SEARCH("I-MUAP",$F$14))),G12&lt;2500)</formula>
    </cfRule>
    <cfRule type="expression" dxfId="11036" priority="587">
      <formula>ISNUMBER(SEARCH("I-MUAP",$F$14))</formula>
    </cfRule>
    <cfRule type="cellIs" dxfId="11035" priority="588" operator="greaterThan">
      <formula>2000</formula>
    </cfRule>
  </conditionalFormatting>
  <conditionalFormatting sqref="G12:H12">
    <cfRule type="cellIs" dxfId="11034" priority="581" operator="lessThan">
      <formula>1000</formula>
    </cfRule>
  </conditionalFormatting>
  <conditionalFormatting sqref="G14:H26">
    <cfRule type="cellIs" dxfId="11033" priority="5" operator="lessThan">
      <formula>1000</formula>
    </cfRule>
  </conditionalFormatting>
  <conditionalFormatting sqref="H12">
    <cfRule type="cellIs" dxfId="11032" priority="582" operator="greaterThan">
      <formula>3001</formula>
    </cfRule>
  </conditionalFormatting>
  <conditionalFormatting sqref="I11">
    <cfRule type="expression" dxfId="11031" priority="584">
      <formula>((H14-50)/J14)&lt;950</formula>
    </cfRule>
  </conditionalFormatting>
  <conditionalFormatting sqref="I12">
    <cfRule type="expression" dxfId="11030" priority="583">
      <formula>((H14-50)/J14)&lt;950</formula>
    </cfRule>
  </conditionalFormatting>
  <conditionalFormatting sqref="I14:I26">
    <cfRule type="cellIs" dxfId="11029" priority="7" operator="lessThan">
      <formula>400</formula>
    </cfRule>
  </conditionalFormatting>
  <conditionalFormatting sqref="I33">
    <cfRule type="expression" dxfId="11028" priority="652">
      <formula>((#REF!-50)/#REF!)&lt;950</formula>
    </cfRule>
  </conditionalFormatting>
  <conditionalFormatting sqref="K14:K30">
    <cfRule type="cellIs" dxfId="11027" priority="32" operator="greaterThan">
      <formula>0</formula>
    </cfRule>
  </conditionalFormatting>
  <conditionalFormatting sqref="K36:K46">
    <cfRule type="expression" dxfId="11026" priority="389">
      <formula>E36&gt;0</formula>
    </cfRule>
  </conditionalFormatting>
  <conditionalFormatting sqref="K48:K54">
    <cfRule type="expression" dxfId="11025" priority="394">
      <formula>#REF!="EURO"</formula>
    </cfRule>
  </conditionalFormatting>
  <conditionalFormatting sqref="L14:L32">
    <cfRule type="cellIs" dxfId="11024" priority="1" operator="greaterThan">
      <formula>0</formula>
    </cfRule>
  </conditionalFormatting>
  <conditionalFormatting sqref="L36:L46">
    <cfRule type="cellIs" dxfId="11023" priority="400" operator="greaterThan">
      <formula>0</formula>
    </cfRule>
  </conditionalFormatting>
  <conditionalFormatting sqref="L48:L54">
    <cfRule type="expression" dxfId="11022" priority="390">
      <formula>$D$9="PLN"</formula>
    </cfRule>
    <cfRule type="expression" dxfId="11021" priority="391">
      <formula>$D$9="CZK"</formula>
    </cfRule>
    <cfRule type="expression" dxfId="11020" priority="392">
      <formula>$D$9="USD"</formula>
    </cfRule>
    <cfRule type="expression" dxfId="11019" priority="393">
      <formula>$D$9="EURO"</formula>
    </cfRule>
  </conditionalFormatting>
  <conditionalFormatting sqref="M14:M32">
    <cfRule type="expression" dxfId="11018" priority="26">
      <formula>$E$9&lt;0</formula>
    </cfRule>
    <cfRule type="expression" dxfId="11017" priority="27">
      <formula>$E$9&gt;0</formula>
    </cfRule>
  </conditionalFormatting>
  <conditionalFormatting sqref="M36:M46">
    <cfRule type="expression" dxfId="11016" priority="24">
      <formula>$E$9&lt;0</formula>
    </cfRule>
    <cfRule type="expression" dxfId="11015" priority="25">
      <formula>$E$9&gt;0</formula>
    </cfRule>
  </conditionalFormatting>
  <conditionalFormatting sqref="O9 O12">
    <cfRule type="expression" dxfId="11014" priority="646">
      <formula>$D$9="PLN"</formula>
    </cfRule>
    <cfRule type="expression" dxfId="11013" priority="647">
      <formula>$D$9="CZK"</formula>
    </cfRule>
    <cfRule type="expression" dxfId="11012" priority="648">
      <formula>$D$9="USD"</formula>
    </cfRule>
    <cfRule type="expression" dxfId="11011" priority="649">
      <formula>$D$9="EURO"</formula>
    </cfRule>
  </conditionalFormatting>
  <conditionalFormatting sqref="O14:O32">
    <cfRule type="expression" dxfId="11010" priority="63">
      <formula>$D$9="PLN"</formula>
    </cfRule>
    <cfRule type="expression" dxfId="11009" priority="64">
      <formula>$D$9="CZK"</formula>
    </cfRule>
    <cfRule type="expression" dxfId="11008" priority="65">
      <formula>$D$9="USD"</formula>
    </cfRule>
    <cfRule type="expression" dxfId="11007" priority="66">
      <formula>$D$9="EURO"</formula>
    </cfRule>
  </conditionalFormatting>
  <conditionalFormatting sqref="O18:O20">
    <cfRule type="cellIs" dxfId="11006" priority="102" operator="greaterThan">
      <formula>0</formula>
    </cfRule>
  </conditionalFormatting>
  <conditionalFormatting sqref="O35:O46">
    <cfRule type="expression" dxfId="11005" priority="12">
      <formula>$D$9="PLN"</formula>
    </cfRule>
    <cfRule type="expression" dxfId="11004" priority="13">
      <formula>$D$9="CZK"</formula>
    </cfRule>
    <cfRule type="expression" dxfId="11003" priority="14">
      <formula>$D$9="USD"</formula>
    </cfRule>
    <cfRule type="expression" dxfId="11002" priority="15">
      <formula>$D$9="EURO"</formula>
    </cfRule>
  </conditionalFormatting>
  <conditionalFormatting sqref="O14:P32">
    <cfRule type="cellIs" dxfId="11001" priority="62" operator="greaterThan">
      <formula>0</formula>
    </cfRule>
  </conditionalFormatting>
  <conditionalFormatting sqref="O36:P46">
    <cfRule type="cellIs" dxfId="11000" priority="11" operator="greaterThan">
      <formula>0</formula>
    </cfRule>
  </conditionalFormatting>
  <conditionalFormatting sqref="P14:P20">
    <cfRule type="cellIs" dxfId="10999" priority="108" operator="greaterThan">
      <formula>0</formula>
    </cfRule>
  </conditionalFormatting>
  <dataValidations count="3">
    <dataValidation type="list" allowBlank="1" showInputMessage="1" showErrorMessage="1" sqref="F14:F32" xr:uid="{00000000-0002-0000-1100-000000000000}">
      <formula1>"0,1,2,3,4,5,6,7,8,9,10,11,12,13,14,15,16,17,18,19,20"</formula1>
    </dataValidation>
    <dataValidation operator="greaterThan" allowBlank="1" showInputMessage="1" showErrorMessage="1" sqref="G14:G26" xr:uid="{00000000-0002-0000-1100-000001000000}"/>
    <dataValidation type="list" allowBlank="1" showInputMessage="1" showErrorMessage="1" sqref="I34" xr:uid="{00000000-0002-0000-11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ignoredErrors>
    <ignoredError sqref="M9 M12 M35"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100-000003000000}">
          <x14:formula1>
            <xm:f>'Base Costs'!$A$32:$A$37</xm:f>
          </x14:formula1>
          <xm:sqref>D9</xm:sqref>
        </x14:dataValidation>
        <x14:dataValidation type="list" allowBlank="1" showInputMessage="1" showErrorMessage="1" xr:uid="{00000000-0002-0000-1100-000004000000}">
          <x14:formula1>
            <xm:f>'Base Costs'!$E$4:$E$213</xm:f>
          </x14:formula1>
          <xm:sqref>F36</xm:sqref>
        </x14:dataValidation>
        <x14:dataValidation type="list" allowBlank="1" showInputMessage="1" showErrorMessage="1" xr:uid="{00000000-0002-0000-1100-000005000000}">
          <x14:formula1>
            <xm:f>'Base Costs'!$A$4:$A$16</xm:f>
          </x14:formula1>
          <xm:sqref>F37:F38</xm:sqref>
        </x14:dataValidation>
      </x14:dataValidations>
    </ext>
  </extLst>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tabColor rgb="FFFF0000"/>
  </sheetPr>
  <dimension ref="A1:BS207"/>
  <sheetViews>
    <sheetView topLeftCell="J1" zoomScale="80" zoomScaleNormal="80" workbookViewId="0">
      <selection activeCell="V40" sqref="V40"/>
    </sheetView>
  </sheetViews>
  <sheetFormatPr baseColWidth="10" defaultColWidth="8.83203125" defaultRowHeight="14.5" customHeight="1" x14ac:dyDescent="0.15"/>
  <cols>
    <col min="1" max="1" width="31.83203125" style="393" customWidth="1"/>
    <col min="2" max="3" width="12" style="394" customWidth="1"/>
    <col min="4" max="4" width="9.83203125" style="393" customWidth="1"/>
    <col min="5" max="5" width="27" style="393" customWidth="1"/>
    <col min="6" max="6" width="14.6640625" style="393" customWidth="1"/>
    <col min="7" max="7" width="10.5" style="596" bestFit="1" customWidth="1"/>
    <col min="8" max="8" width="3.5" style="394" customWidth="1"/>
    <col min="9" max="9" width="26.83203125" style="393" bestFit="1" customWidth="1"/>
    <col min="10" max="10" width="10.83203125" style="394" bestFit="1" customWidth="1"/>
    <col min="11" max="11" width="11.33203125" style="394" bestFit="1" customWidth="1"/>
    <col min="12" max="12" width="6.6640625" style="393" customWidth="1"/>
    <col min="13" max="13" width="21.5" style="393" customWidth="1"/>
    <col min="14" max="15" width="10.6640625" style="394" customWidth="1"/>
    <col min="16" max="16" width="7.33203125" style="393" customWidth="1"/>
    <col min="17" max="17" width="25.83203125" style="393" customWidth="1"/>
    <col min="18" max="18" width="10.5" style="394" customWidth="1"/>
    <col min="19" max="19" width="11.5" style="393" customWidth="1"/>
    <col min="20" max="20" width="16.5" style="393" customWidth="1"/>
    <col min="21" max="21" width="19.6640625" style="393" bestFit="1" customWidth="1"/>
    <col min="22" max="22" width="12" style="394" customWidth="1"/>
    <col min="23" max="23" width="11" style="394" bestFit="1" customWidth="1"/>
    <col min="24" max="24" width="9.6640625" style="393" customWidth="1"/>
    <col min="25" max="25" width="19.5" style="393" bestFit="1" customWidth="1"/>
    <col min="26" max="26" width="19.5" style="393" customWidth="1"/>
    <col min="27" max="28" width="15.33203125" style="393" customWidth="1"/>
    <col min="29" max="29" width="7.1640625" style="395" bestFit="1" customWidth="1"/>
    <col min="30" max="30" width="9.5" style="393" bestFit="1" customWidth="1"/>
    <col min="31" max="31" width="10.5" style="395" bestFit="1" customWidth="1"/>
    <col min="32" max="32" width="11" style="396" customWidth="1"/>
    <col min="33" max="35" width="8.83203125" style="411"/>
    <col min="36" max="36" width="7.33203125" style="411" customWidth="1"/>
    <col min="37" max="37" width="25.83203125" style="393" bestFit="1" customWidth="1"/>
    <col min="38" max="38" width="71.5" style="393" bestFit="1" customWidth="1"/>
    <col min="39" max="39" width="12.5" style="393" customWidth="1"/>
    <col min="40" max="40" width="10.5" style="601" bestFit="1" customWidth="1"/>
    <col min="41" max="41" width="11.5" style="601" customWidth="1"/>
    <col min="42" max="42" width="22.5" style="393" bestFit="1" customWidth="1"/>
    <col min="43" max="43" width="13.83203125" style="394" hidden="1" customWidth="1"/>
    <col min="44" max="45" width="12.83203125" style="394" customWidth="1"/>
    <col min="46" max="46" width="9.5" style="393" customWidth="1"/>
    <col min="47" max="47" width="23.33203125" style="393" bestFit="1" customWidth="1"/>
    <col min="48" max="48" width="7.6640625" style="393" bestFit="1" customWidth="1"/>
    <col min="49" max="49" width="23.6640625" style="393" bestFit="1" customWidth="1"/>
    <col min="50" max="50" width="11.33203125" style="394" bestFit="1" customWidth="1"/>
    <col min="51" max="51" width="11.33203125" style="601" bestFit="1" customWidth="1"/>
    <col min="52" max="52" width="12.83203125" style="393" customWidth="1"/>
    <col min="53" max="53" width="8.83203125" style="393"/>
    <col min="54" max="54" width="12.33203125" style="594" customWidth="1"/>
    <col min="55" max="55" width="10.5" style="594" bestFit="1" customWidth="1"/>
    <col min="56" max="56" width="34.1640625" style="393" bestFit="1" customWidth="1"/>
    <col min="57" max="63" width="8.83203125" style="393"/>
    <col min="64" max="64" width="10.5" style="393" customWidth="1"/>
    <col min="65" max="67" width="8.83203125" style="393"/>
    <col min="68" max="68" width="9.6640625" style="393" bestFit="1" customWidth="1"/>
    <col min="69" max="16384" width="8.83203125" style="393"/>
  </cols>
  <sheetData>
    <row r="1" spans="1:71" ht="14.5" customHeight="1" x14ac:dyDescent="0.15">
      <c r="A1" s="1191" t="s">
        <v>1477</v>
      </c>
      <c r="B1" s="1192"/>
      <c r="C1" s="1193"/>
      <c r="Y1" s="1071"/>
      <c r="AA1" s="592"/>
      <c r="AB1" s="592"/>
      <c r="AC1" s="405" t="s">
        <v>251</v>
      </c>
      <c r="AD1" s="452">
        <v>0.1</v>
      </c>
      <c r="AE1" s="405"/>
      <c r="AF1" s="393"/>
      <c r="AG1" s="397"/>
      <c r="AH1" s="397"/>
      <c r="AI1" s="397"/>
      <c r="AJ1" s="397"/>
      <c r="AN1" s="600" t="s">
        <v>718</v>
      </c>
      <c r="AO1" s="600"/>
    </row>
    <row r="2" spans="1:71" ht="14.5" customHeight="1" x14ac:dyDescent="0.15">
      <c r="A2" s="1194"/>
      <c r="B2" s="1194"/>
      <c r="C2" s="1194"/>
      <c r="Y2" s="1071"/>
      <c r="AA2" s="592"/>
      <c r="AB2" s="592"/>
      <c r="AC2" s="405"/>
      <c r="AD2" s="452"/>
      <c r="AE2" s="405"/>
      <c r="AF2" s="393"/>
      <c r="AG2" s="397"/>
      <c r="AH2" s="397"/>
      <c r="AI2" s="397"/>
      <c r="AJ2" s="397"/>
      <c r="AN2" s="600"/>
      <c r="AO2" s="600"/>
    </row>
    <row r="3" spans="1:71" ht="14.5" customHeight="1" x14ac:dyDescent="0.15">
      <c r="B3" s="1064">
        <v>45658</v>
      </c>
      <c r="C3" s="1070">
        <v>45292</v>
      </c>
      <c r="F3" s="1064">
        <v>45658</v>
      </c>
      <c r="G3" s="1070">
        <v>44835</v>
      </c>
      <c r="J3" s="1064">
        <v>45658</v>
      </c>
      <c r="K3" s="1070">
        <v>45292</v>
      </c>
      <c r="N3" s="1064">
        <v>45658</v>
      </c>
      <c r="O3" s="1070">
        <v>45149</v>
      </c>
      <c r="R3" s="1064">
        <v>45658</v>
      </c>
      <c r="S3" s="1069">
        <v>45108</v>
      </c>
      <c r="V3" s="1082">
        <v>45778</v>
      </c>
      <c r="W3" s="1070">
        <v>45658</v>
      </c>
      <c r="AA3" s="1064">
        <v>45658</v>
      </c>
      <c r="AB3" s="1069">
        <v>45108</v>
      </c>
      <c r="AC3" s="393" t="s">
        <v>253</v>
      </c>
      <c r="AD3" s="395">
        <v>0.2</v>
      </c>
      <c r="AG3" s="397"/>
      <c r="AH3" s="397"/>
      <c r="AI3" s="397"/>
      <c r="AJ3" s="397"/>
      <c r="AL3" s="922"/>
      <c r="AM3" s="1064">
        <v>45658</v>
      </c>
      <c r="AN3" s="1070">
        <v>44835</v>
      </c>
      <c r="AQ3" s="398"/>
      <c r="AR3" s="1064">
        <v>45658</v>
      </c>
      <c r="AS3" s="1068">
        <v>45108</v>
      </c>
      <c r="AX3" s="1064">
        <v>45658</v>
      </c>
      <c r="AY3" s="1070">
        <v>44835</v>
      </c>
      <c r="BB3" s="593" t="s">
        <v>737</v>
      </c>
    </row>
    <row r="4" spans="1:71" s="399" customFormat="1" ht="14.5" customHeight="1" x14ac:dyDescent="0.15">
      <c r="A4" s="415" t="s">
        <v>189</v>
      </c>
      <c r="B4" s="415">
        <v>0</v>
      </c>
      <c r="C4" s="415"/>
      <c r="E4" s="415" t="s">
        <v>48</v>
      </c>
      <c r="F4" s="415">
        <v>0</v>
      </c>
      <c r="G4" s="415">
        <v>0</v>
      </c>
      <c r="H4" s="415"/>
      <c r="I4" s="415" t="s">
        <v>81</v>
      </c>
      <c r="J4" s="415">
        <v>0</v>
      </c>
      <c r="K4" s="415"/>
      <c r="M4" s="415" t="s">
        <v>190</v>
      </c>
      <c r="N4" s="415">
        <v>0</v>
      </c>
      <c r="O4" s="415"/>
      <c r="Q4" s="415" t="s">
        <v>343</v>
      </c>
      <c r="R4" s="415">
        <v>0</v>
      </c>
      <c r="S4" s="415">
        <v>0</v>
      </c>
      <c r="U4" s="415" t="s">
        <v>844</v>
      </c>
      <c r="V4" s="415">
        <v>0</v>
      </c>
      <c r="W4" s="415"/>
      <c r="Y4" s="415" t="s">
        <v>108</v>
      </c>
      <c r="Z4" s="419" t="s">
        <v>254</v>
      </c>
      <c r="AA4" s="415">
        <v>0</v>
      </c>
      <c r="AB4" s="415"/>
      <c r="AC4" s="420" t="s">
        <v>252</v>
      </c>
      <c r="AD4" s="419" t="s">
        <v>134</v>
      </c>
      <c r="AE4" s="420" t="s">
        <v>202</v>
      </c>
      <c r="AF4" s="418"/>
      <c r="AG4" s="421" t="s">
        <v>254</v>
      </c>
      <c r="AH4" s="422"/>
      <c r="AI4" s="422"/>
      <c r="AK4" s="415"/>
      <c r="AL4" s="415" t="s">
        <v>127</v>
      </c>
      <c r="AM4" s="415"/>
      <c r="AN4" s="415"/>
      <c r="AO4" s="597"/>
      <c r="AP4" s="415" t="s">
        <v>129</v>
      </c>
      <c r="AQ4" s="415" t="s">
        <v>218</v>
      </c>
      <c r="AR4" s="415" t="s">
        <v>217</v>
      </c>
      <c r="AS4" s="415"/>
      <c r="AU4" s="415" t="s">
        <v>130</v>
      </c>
      <c r="AV4" s="415"/>
      <c r="AW4" s="415"/>
      <c r="AX4" s="415"/>
      <c r="AY4" s="1072"/>
      <c r="BB4" s="595" t="s">
        <v>736</v>
      </c>
      <c r="BC4" s="595" t="s">
        <v>542</v>
      </c>
      <c r="BD4" s="1075">
        <v>0.06</v>
      </c>
    </row>
    <row r="5" spans="1:71" ht="14.5" customHeight="1" x14ac:dyDescent="0.15">
      <c r="A5" s="393" t="s">
        <v>522</v>
      </c>
      <c r="B5" s="906">
        <v>95.4</v>
      </c>
      <c r="C5" s="598">
        <v>90</v>
      </c>
      <c r="E5" s="919" t="s">
        <v>1134</v>
      </c>
      <c r="F5" s="906">
        <v>1961</v>
      </c>
      <c r="G5" s="598">
        <v>1850</v>
      </c>
      <c r="H5" s="404"/>
      <c r="I5" s="405" t="s">
        <v>711</v>
      </c>
      <c r="J5" s="906">
        <v>1331.3600000000001</v>
      </c>
      <c r="K5" s="598">
        <v>1256</v>
      </c>
      <c r="M5" s="405" t="s">
        <v>1076</v>
      </c>
      <c r="N5" s="906">
        <v>189.96260000000001</v>
      </c>
      <c r="O5" s="598">
        <v>179.21</v>
      </c>
      <c r="Q5" s="405" t="s">
        <v>338</v>
      </c>
      <c r="R5" s="923">
        <v>0</v>
      </c>
      <c r="S5" s="598">
        <v>0</v>
      </c>
      <c r="T5" s="393">
        <f>R5*1.06</f>
        <v>0</v>
      </c>
      <c r="U5" s="405" t="s">
        <v>833</v>
      </c>
      <c r="V5" s="923">
        <v>2144.66</v>
      </c>
      <c r="W5" s="598">
        <v>2092.6</v>
      </c>
      <c r="Y5" s="393" t="s">
        <v>370</v>
      </c>
      <c r="Z5" s="406" t="s">
        <v>262</v>
      </c>
      <c r="AA5" s="923">
        <v>985.10040000000004</v>
      </c>
      <c r="AB5" s="598">
        <v>929.34</v>
      </c>
      <c r="AC5" s="395">
        <v>4</v>
      </c>
      <c r="AD5" s="406" t="s">
        <v>251</v>
      </c>
      <c r="AE5" s="395">
        <v>1</v>
      </c>
      <c r="AF5" s="396">
        <f>IF(AD5="S",AC5*$AD$1*AE5,AC5*$AD$3*AE5)</f>
        <v>0.4</v>
      </c>
      <c r="AG5" s="397" t="str">
        <f t="shared" ref="AG5:AG10" si="0">$AG$4&amp;AH5</f>
        <v>UVR8L</v>
      </c>
      <c r="AH5" s="407" t="s">
        <v>259</v>
      </c>
      <c r="AI5" s="397">
        <v>1.6</v>
      </c>
      <c r="AJ5" s="1065"/>
      <c r="AK5" s="408" t="s">
        <v>63</v>
      </c>
      <c r="AL5" s="814" t="s">
        <v>1331</v>
      </c>
      <c r="AM5" s="923">
        <v>19.027000000000001</v>
      </c>
      <c r="AN5" s="602">
        <v>17.95</v>
      </c>
      <c r="AO5" s="1066"/>
      <c r="AP5" s="423" t="s">
        <v>91</v>
      </c>
      <c r="AQ5" s="417"/>
      <c r="AR5" s="417"/>
      <c r="AS5" s="417"/>
      <c r="AU5" s="423" t="s">
        <v>53</v>
      </c>
      <c r="AV5" s="424" t="s">
        <v>241</v>
      </c>
      <c r="AW5" s="423"/>
      <c r="AX5" s="423"/>
      <c r="AY5" s="1073"/>
      <c r="BB5" s="1076">
        <v>45658</v>
      </c>
      <c r="BC5" s="842"/>
      <c r="BD5" s="620" t="s">
        <v>763</v>
      </c>
    </row>
    <row r="6" spans="1:71" ht="14.5" customHeight="1" x14ac:dyDescent="0.15">
      <c r="A6" s="393" t="s">
        <v>523</v>
      </c>
      <c r="B6" s="906">
        <v>38.467399999999998</v>
      </c>
      <c r="C6" s="598">
        <v>36.29</v>
      </c>
      <c r="E6" s="919" t="s">
        <v>1217</v>
      </c>
      <c r="F6" s="906">
        <v>424</v>
      </c>
      <c r="G6" s="598">
        <v>400</v>
      </c>
      <c r="H6" s="404"/>
      <c r="I6" s="405" t="s">
        <v>817</v>
      </c>
      <c r="J6" s="906">
        <v>1365.28</v>
      </c>
      <c r="K6" s="598">
        <v>1288</v>
      </c>
      <c r="M6" s="405" t="s">
        <v>1077</v>
      </c>
      <c r="N6" s="906">
        <v>228.01660000000004</v>
      </c>
      <c r="O6" s="598">
        <v>215.11</v>
      </c>
      <c r="Q6" s="405" t="s">
        <v>543</v>
      </c>
      <c r="R6" s="923">
        <v>33.018999999999998</v>
      </c>
      <c r="S6" s="598">
        <v>31.15</v>
      </c>
      <c r="T6" s="393">
        <f t="shared" ref="T6:T13" si="1">R6*1.06</f>
        <v>35.000140000000002</v>
      </c>
      <c r="U6" s="405" t="s">
        <v>840</v>
      </c>
      <c r="V6" s="923">
        <v>0</v>
      </c>
      <c r="W6" s="598">
        <v>0</v>
      </c>
      <c r="Y6" s="393" t="s">
        <v>371</v>
      </c>
      <c r="Z6" s="406" t="s">
        <v>263</v>
      </c>
      <c r="AA6" s="923">
        <v>1635.7284000000002</v>
      </c>
      <c r="AB6" s="598">
        <v>1543.14</v>
      </c>
      <c r="AC6" s="395">
        <v>4</v>
      </c>
      <c r="AD6" s="406" t="s">
        <v>251</v>
      </c>
      <c r="AE6" s="395">
        <v>2</v>
      </c>
      <c r="AF6" s="396">
        <f t="shared" ref="AF6:AF16" si="2">IF(AD6="S",AC6*$AD$1*AE6,AC6*$AD$3*AE6)</f>
        <v>0.8</v>
      </c>
      <c r="AG6" s="397" t="str">
        <f t="shared" si="0"/>
        <v>UVR6L</v>
      </c>
      <c r="AH6" s="407" t="s">
        <v>257</v>
      </c>
      <c r="AI6" s="397">
        <v>1.2</v>
      </c>
      <c r="AJ6" s="1065"/>
      <c r="AK6" s="408" t="s">
        <v>64</v>
      </c>
      <c r="AL6" s="814" t="s">
        <v>1332</v>
      </c>
      <c r="AM6" s="923">
        <v>33.994199999999999</v>
      </c>
      <c r="AN6" s="602">
        <v>32.07</v>
      </c>
      <c r="AO6" s="1066"/>
      <c r="AP6" s="405" t="s">
        <v>80</v>
      </c>
      <c r="AQ6" s="394">
        <v>0</v>
      </c>
      <c r="AU6" s="408" t="s">
        <v>468</v>
      </c>
      <c r="AV6" s="410">
        <v>15</v>
      </c>
      <c r="AW6" s="814" t="s">
        <v>919</v>
      </c>
      <c r="AX6" s="924">
        <v>683.56220000000008</v>
      </c>
      <c r="AY6" s="603">
        <v>644.87</v>
      </c>
      <c r="BB6" s="1191" t="s">
        <v>1477</v>
      </c>
      <c r="BC6" s="1192"/>
      <c r="BD6" s="1193"/>
    </row>
    <row r="7" spans="1:71" ht="14.5" customHeight="1" x14ac:dyDescent="0.15">
      <c r="A7" s="393" t="s">
        <v>524</v>
      </c>
      <c r="B7" s="906">
        <v>86.697400000000016</v>
      </c>
      <c r="C7" s="598">
        <v>81.790000000000006</v>
      </c>
      <c r="E7" s="919" t="s">
        <v>1218</v>
      </c>
      <c r="F7" s="906">
        <v>424</v>
      </c>
      <c r="G7" s="598">
        <v>400</v>
      </c>
      <c r="H7" s="404"/>
      <c r="I7" s="405" t="s">
        <v>818</v>
      </c>
      <c r="J7" s="906">
        <v>1565.6200000000001</v>
      </c>
      <c r="K7" s="598">
        <v>1477</v>
      </c>
      <c r="M7" s="405" t="s">
        <v>1078</v>
      </c>
      <c r="N7" s="906">
        <v>294.78600000000006</v>
      </c>
      <c r="O7" s="598">
        <v>278.10000000000002</v>
      </c>
      <c r="Q7" s="405" t="s">
        <v>592</v>
      </c>
      <c r="R7" s="923">
        <v>84.800000000000011</v>
      </c>
      <c r="S7" s="598">
        <v>80</v>
      </c>
      <c r="T7" s="393">
        <f t="shared" si="1"/>
        <v>89.888000000000019</v>
      </c>
      <c r="U7" s="405" t="s">
        <v>839</v>
      </c>
      <c r="V7" s="923">
        <v>2144.66</v>
      </c>
      <c r="W7" s="598">
        <v>2092.6</v>
      </c>
      <c r="Y7" s="393" t="s">
        <v>372</v>
      </c>
      <c r="Z7" s="406" t="s">
        <v>264</v>
      </c>
      <c r="AA7" s="923">
        <v>2286.3245999999999</v>
      </c>
      <c r="AB7" s="598">
        <v>2156.91</v>
      </c>
      <c r="AC7" s="395">
        <v>4</v>
      </c>
      <c r="AD7" s="406" t="s">
        <v>251</v>
      </c>
      <c r="AE7" s="395">
        <v>3</v>
      </c>
      <c r="AF7" s="396">
        <f t="shared" si="2"/>
        <v>1.2000000000000002</v>
      </c>
      <c r="AG7" s="397" t="str">
        <f t="shared" si="0"/>
        <v>UVR4L</v>
      </c>
      <c r="AH7" s="407" t="s">
        <v>255</v>
      </c>
      <c r="AI7" s="397">
        <v>0.8</v>
      </c>
      <c r="AJ7" s="1065"/>
      <c r="AK7" s="408" t="s">
        <v>25</v>
      </c>
      <c r="AL7" s="408" t="s">
        <v>441</v>
      </c>
      <c r="AM7" s="923">
        <v>8.9782000000000011</v>
      </c>
      <c r="AN7" s="602">
        <v>8.4700000000000006</v>
      </c>
      <c r="AO7" s="1066"/>
      <c r="AP7" s="405" t="s">
        <v>633</v>
      </c>
      <c r="AQ7" s="394">
        <f>(POLLUSTOP!$G$39*0.94)+AR7</f>
        <v>2326.08</v>
      </c>
      <c r="AR7" s="930">
        <v>868.1400000000001</v>
      </c>
      <c r="AS7" s="596">
        <v>819</v>
      </c>
      <c r="AU7" s="408" t="s">
        <v>468</v>
      </c>
      <c r="AV7" s="410">
        <v>15</v>
      </c>
      <c r="AW7" s="814" t="s">
        <v>920</v>
      </c>
      <c r="AX7" s="924">
        <v>858.30320000000006</v>
      </c>
      <c r="AY7" s="603">
        <v>809.72</v>
      </c>
      <c r="BB7" s="843" t="s">
        <v>953</v>
      </c>
    </row>
    <row r="8" spans="1:71" ht="14.5" customHeight="1" x14ac:dyDescent="0.15">
      <c r="A8" s="405" t="s">
        <v>720</v>
      </c>
      <c r="B8" s="906">
        <v>132.5</v>
      </c>
      <c r="C8" s="598">
        <v>125</v>
      </c>
      <c r="E8" s="919" t="s">
        <v>1219</v>
      </c>
      <c r="F8" s="906">
        <v>424</v>
      </c>
      <c r="G8" s="598">
        <v>400</v>
      </c>
      <c r="H8" s="404"/>
      <c r="I8" s="405" t="s">
        <v>819</v>
      </c>
      <c r="J8" s="906">
        <v>2280.06</v>
      </c>
      <c r="K8" s="598">
        <v>2151</v>
      </c>
      <c r="M8" s="405" t="s">
        <v>1079</v>
      </c>
      <c r="N8" s="906">
        <v>111.30000000000001</v>
      </c>
      <c r="O8" s="598">
        <v>105</v>
      </c>
      <c r="Q8" s="405" t="s">
        <v>339</v>
      </c>
      <c r="R8" s="923">
        <v>0</v>
      </c>
      <c r="S8" s="598">
        <v>0</v>
      </c>
      <c r="T8" s="393">
        <f t="shared" si="1"/>
        <v>0</v>
      </c>
      <c r="U8" s="405" t="s">
        <v>841</v>
      </c>
      <c r="V8" s="923">
        <v>0</v>
      </c>
      <c r="W8" s="598">
        <v>0</v>
      </c>
      <c r="Y8" s="393" t="s">
        <v>373</v>
      </c>
      <c r="Z8" s="406" t="s">
        <v>265</v>
      </c>
      <c r="AA8" s="923">
        <v>2936.9207999999999</v>
      </c>
      <c r="AB8" s="598">
        <v>2770.68</v>
      </c>
      <c r="AC8" s="395">
        <v>4</v>
      </c>
      <c r="AD8" s="406" t="s">
        <v>251</v>
      </c>
      <c r="AE8" s="395">
        <v>4</v>
      </c>
      <c r="AF8" s="396">
        <f t="shared" si="2"/>
        <v>1.6</v>
      </c>
      <c r="AG8" s="397" t="str">
        <f t="shared" si="0"/>
        <v>UVR8S</v>
      </c>
      <c r="AH8" s="407" t="s">
        <v>258</v>
      </c>
      <c r="AI8" s="397">
        <v>0.8</v>
      </c>
      <c r="AJ8" s="1065"/>
      <c r="AK8" s="408" t="s">
        <v>65</v>
      </c>
      <c r="AL8" s="814" t="s">
        <v>1333</v>
      </c>
      <c r="AM8" s="923">
        <v>162.57220000000001</v>
      </c>
      <c r="AN8" s="602">
        <v>153.37</v>
      </c>
      <c r="AO8" s="1066"/>
      <c r="AP8" s="405" t="s">
        <v>634</v>
      </c>
      <c r="AQ8" s="394">
        <f>AR8+(POLLUSTOP!$G$40*0.94)</f>
        <v>1659.02</v>
      </c>
      <c r="AR8" s="930">
        <v>1111.94</v>
      </c>
      <c r="AS8" s="596">
        <v>1049</v>
      </c>
      <c r="AU8" s="408" t="s">
        <v>469</v>
      </c>
      <c r="AV8" s="410">
        <v>12</v>
      </c>
      <c r="AW8" s="408" t="s">
        <v>482</v>
      </c>
      <c r="AX8" s="924">
        <v>514.32259999999997</v>
      </c>
      <c r="AY8" s="603">
        <v>485.21</v>
      </c>
    </row>
    <row r="9" spans="1:71" ht="14.5" customHeight="1" x14ac:dyDescent="0.15">
      <c r="A9" s="393" t="s">
        <v>525</v>
      </c>
      <c r="B9" s="906">
        <v>275.60000000000002</v>
      </c>
      <c r="C9" s="598">
        <v>260</v>
      </c>
      <c r="E9" s="919" t="s">
        <v>1220</v>
      </c>
      <c r="F9" s="906">
        <v>1203.1000000000001</v>
      </c>
      <c r="G9" s="598">
        <v>1135</v>
      </c>
      <c r="H9" s="404"/>
      <c r="I9" s="405" t="s">
        <v>820</v>
      </c>
      <c r="J9" s="906">
        <v>2629.86</v>
      </c>
      <c r="K9" s="598">
        <v>2481</v>
      </c>
      <c r="M9" s="405" t="s">
        <v>1080</v>
      </c>
      <c r="N9" s="906">
        <v>121.9</v>
      </c>
      <c r="O9" s="598">
        <v>115</v>
      </c>
      <c r="Q9" s="817" t="s">
        <v>89</v>
      </c>
      <c r="R9" s="923">
        <v>46.258400000000002</v>
      </c>
      <c r="S9" s="598">
        <v>43.64</v>
      </c>
      <c r="T9" s="393">
        <f t="shared" si="1"/>
        <v>49.033904000000007</v>
      </c>
      <c r="U9" s="405" t="s">
        <v>842</v>
      </c>
      <c r="V9" s="923">
        <v>0</v>
      </c>
      <c r="W9" s="598">
        <v>0</v>
      </c>
      <c r="Y9" s="393" t="s">
        <v>374</v>
      </c>
      <c r="Z9" s="406" t="s">
        <v>266</v>
      </c>
      <c r="AA9" s="923">
        <v>3587.5169999999998</v>
      </c>
      <c r="AB9" s="598">
        <v>3384.45</v>
      </c>
      <c r="AC9" s="395">
        <v>4</v>
      </c>
      <c r="AD9" s="406" t="s">
        <v>251</v>
      </c>
      <c r="AE9" s="395">
        <v>5</v>
      </c>
      <c r="AF9" s="396">
        <f t="shared" si="2"/>
        <v>2</v>
      </c>
      <c r="AG9" s="397" t="str">
        <f t="shared" si="0"/>
        <v>UVR6S</v>
      </c>
      <c r="AH9" s="407" t="s">
        <v>256</v>
      </c>
      <c r="AI9" s="397">
        <v>0.6</v>
      </c>
      <c r="AJ9" s="1065"/>
      <c r="AK9" s="408" t="s">
        <v>66</v>
      </c>
      <c r="AL9" s="814" t="s">
        <v>1334</v>
      </c>
      <c r="AM9" s="923">
        <v>0</v>
      </c>
      <c r="AN9" s="602">
        <v>0</v>
      </c>
      <c r="AO9" s="1066"/>
      <c r="AP9" s="405" t="s">
        <v>635</v>
      </c>
      <c r="AQ9" s="394">
        <f>AR9+(POLLUSTOP!$G$41*0.94)</f>
        <v>1303.8</v>
      </c>
      <c r="AR9" s="930">
        <v>1303.8</v>
      </c>
      <c r="AS9" s="596">
        <v>1230</v>
      </c>
      <c r="AU9" s="408" t="s">
        <v>469</v>
      </c>
      <c r="AV9" s="410">
        <v>13</v>
      </c>
      <c r="AW9" s="408" t="s">
        <v>483</v>
      </c>
      <c r="AX9" s="924">
        <v>660.80399999999997</v>
      </c>
      <c r="AY9" s="603">
        <v>623.4</v>
      </c>
    </row>
    <row r="10" spans="1:71" ht="14.5" customHeight="1" x14ac:dyDescent="0.15">
      <c r="A10" s="393" t="s">
        <v>526</v>
      </c>
      <c r="B10" s="906">
        <v>86.697400000000016</v>
      </c>
      <c r="C10" s="598">
        <v>81.790000000000006</v>
      </c>
      <c r="E10" s="919" t="s">
        <v>1159</v>
      </c>
      <c r="F10" s="906">
        <v>408.1</v>
      </c>
      <c r="G10" s="598">
        <v>385</v>
      </c>
      <c r="H10" s="404"/>
      <c r="I10" s="405" t="s">
        <v>821</v>
      </c>
      <c r="J10" s="906">
        <v>2799.46</v>
      </c>
      <c r="K10" s="598">
        <v>2641</v>
      </c>
      <c r="M10" s="817" t="s">
        <v>1088</v>
      </c>
      <c r="N10" s="906">
        <v>182.4896</v>
      </c>
      <c r="O10" s="598">
        <v>172.16</v>
      </c>
      <c r="Q10" s="393" t="s">
        <v>107</v>
      </c>
      <c r="R10" s="923">
        <v>73.712400000000017</v>
      </c>
      <c r="S10" s="598">
        <v>69.540000000000006</v>
      </c>
      <c r="T10" s="393">
        <f t="shared" si="1"/>
        <v>78.135144000000025</v>
      </c>
      <c r="U10" s="405" t="s">
        <v>843</v>
      </c>
      <c r="V10" s="923">
        <v>0</v>
      </c>
      <c r="W10" s="598">
        <v>0</v>
      </c>
      <c r="Y10" s="393" t="s">
        <v>375</v>
      </c>
      <c r="Z10" s="406" t="s">
        <v>267</v>
      </c>
      <c r="AA10" s="923">
        <v>4238.1131999999998</v>
      </c>
      <c r="AB10" s="598">
        <v>3998.22</v>
      </c>
      <c r="AC10" s="395">
        <v>4</v>
      </c>
      <c r="AD10" s="406" t="s">
        <v>251</v>
      </c>
      <c r="AE10" s="395">
        <v>6</v>
      </c>
      <c r="AF10" s="396">
        <f t="shared" si="2"/>
        <v>2.4000000000000004</v>
      </c>
      <c r="AG10" s="397" t="str">
        <f t="shared" si="0"/>
        <v>UVR4S</v>
      </c>
      <c r="AH10" s="407" t="s">
        <v>250</v>
      </c>
      <c r="AI10" s="397">
        <v>0.2</v>
      </c>
      <c r="AJ10" s="1065"/>
      <c r="AK10" s="408" t="s">
        <v>22</v>
      </c>
      <c r="AL10" s="408" t="s">
        <v>443</v>
      </c>
      <c r="AM10" s="923">
        <v>45.283200000000001</v>
      </c>
      <c r="AN10" s="602">
        <v>42.72</v>
      </c>
      <c r="AO10" s="1066"/>
      <c r="AP10" s="405" t="s">
        <v>636</v>
      </c>
      <c r="AQ10" s="394">
        <f>AR10+(POLLUSTOP!$G$41*0.94)</f>
        <v>1428.88</v>
      </c>
      <c r="AR10" s="930">
        <v>1428.88</v>
      </c>
      <c r="AS10" s="596">
        <v>1348</v>
      </c>
      <c r="AU10" s="408" t="s">
        <v>469</v>
      </c>
      <c r="AV10" s="410">
        <v>13</v>
      </c>
      <c r="AW10" s="408" t="s">
        <v>484</v>
      </c>
      <c r="AX10" s="924">
        <v>750.53300000000002</v>
      </c>
      <c r="AY10" s="603">
        <v>708.05</v>
      </c>
    </row>
    <row r="11" spans="1:71" ht="14.5" customHeight="1" x14ac:dyDescent="0.15">
      <c r="A11" s="405" t="s">
        <v>888</v>
      </c>
      <c r="B11" s="906">
        <v>127.2</v>
      </c>
      <c r="C11" s="598">
        <v>120</v>
      </c>
      <c r="E11" s="919" t="s">
        <v>1221</v>
      </c>
      <c r="F11" s="906">
        <v>344.5</v>
      </c>
      <c r="G11" s="598">
        <v>325</v>
      </c>
      <c r="H11" s="404"/>
      <c r="M11" s="817" t="s">
        <v>1089</v>
      </c>
      <c r="N11" s="906">
        <v>227.88940000000002</v>
      </c>
      <c r="O11" s="598">
        <v>214.99</v>
      </c>
      <c r="Q11" s="405" t="s">
        <v>351</v>
      </c>
      <c r="R11" s="923">
        <v>1.06</v>
      </c>
      <c r="S11" s="598">
        <v>1</v>
      </c>
      <c r="T11" s="393">
        <f t="shared" si="1"/>
        <v>1.1236000000000002</v>
      </c>
      <c r="U11" s="405" t="s">
        <v>834</v>
      </c>
      <c r="V11" s="923">
        <v>3231.05</v>
      </c>
      <c r="W11" s="598">
        <v>3150.49</v>
      </c>
      <c r="Y11" s="393" t="s">
        <v>376</v>
      </c>
      <c r="Z11" s="406" t="s">
        <v>268</v>
      </c>
      <c r="AA11" s="923">
        <v>4888.7093999999997</v>
      </c>
      <c r="AB11" s="598">
        <v>4611.99</v>
      </c>
      <c r="AC11" s="395">
        <v>4</v>
      </c>
      <c r="AD11" s="406" t="s">
        <v>251</v>
      </c>
      <c r="AE11" s="395">
        <v>7</v>
      </c>
      <c r="AF11" s="396">
        <f t="shared" si="2"/>
        <v>2.8000000000000003</v>
      </c>
      <c r="AI11" s="397"/>
      <c r="AJ11" s="1065"/>
      <c r="AK11" s="408" t="s">
        <v>26</v>
      </c>
      <c r="AL11" s="408" t="s">
        <v>444</v>
      </c>
      <c r="AM11" s="923">
        <v>44.710799999999999</v>
      </c>
      <c r="AN11" s="602">
        <v>42.18</v>
      </c>
      <c r="AO11" s="1066"/>
      <c r="AP11" s="405" t="s">
        <v>637</v>
      </c>
      <c r="AQ11" s="394">
        <f>AR11+(POLLUSTOP!$G$42*0.94)</f>
        <v>1592.1200000000001</v>
      </c>
      <c r="AR11" s="930">
        <v>1592.1200000000001</v>
      </c>
      <c r="AS11" s="596">
        <v>1502</v>
      </c>
      <c r="AU11" s="408" t="s">
        <v>470</v>
      </c>
      <c r="AV11" s="410">
        <v>9</v>
      </c>
      <c r="AW11" s="408" t="s">
        <v>482</v>
      </c>
      <c r="AX11" s="924">
        <v>412.7004</v>
      </c>
      <c r="AY11" s="603">
        <v>389.34</v>
      </c>
    </row>
    <row r="12" spans="1:71" ht="14.5" customHeight="1" x14ac:dyDescent="0.15">
      <c r="A12" s="393" t="s">
        <v>527</v>
      </c>
      <c r="B12" s="906">
        <v>60.494200000000006</v>
      </c>
      <c r="C12" s="598">
        <v>57.07</v>
      </c>
      <c r="E12" s="919" t="s">
        <v>1222</v>
      </c>
      <c r="F12" s="906">
        <v>306.34000000000003</v>
      </c>
      <c r="G12" s="598">
        <v>289</v>
      </c>
      <c r="H12" s="404"/>
      <c r="I12" s="415" t="s">
        <v>82</v>
      </c>
      <c r="J12" s="415"/>
      <c r="K12" s="415"/>
      <c r="M12" s="817" t="s">
        <v>1090</v>
      </c>
      <c r="N12" s="906">
        <v>273.87220000000002</v>
      </c>
      <c r="O12" s="598">
        <v>258.37</v>
      </c>
      <c r="Q12" s="405" t="s">
        <v>1390</v>
      </c>
      <c r="R12" s="923">
        <v>112.678</v>
      </c>
      <c r="S12" s="598">
        <v>106.3</v>
      </c>
      <c r="T12" s="393">
        <f t="shared" si="1"/>
        <v>119.43868000000001</v>
      </c>
      <c r="U12" s="405" t="s">
        <v>845</v>
      </c>
      <c r="V12" s="923">
        <v>0</v>
      </c>
      <c r="W12" s="598">
        <v>0</v>
      </c>
      <c r="Y12" s="393" t="s">
        <v>377</v>
      </c>
      <c r="Z12" s="406" t="s">
        <v>269</v>
      </c>
      <c r="AA12" s="923">
        <v>5539.3056000000006</v>
      </c>
      <c r="AB12" s="598">
        <v>5225.76</v>
      </c>
      <c r="AC12" s="395">
        <v>4</v>
      </c>
      <c r="AD12" s="406" t="s">
        <v>251</v>
      </c>
      <c r="AE12" s="395">
        <v>8</v>
      </c>
      <c r="AF12" s="396">
        <f t="shared" si="2"/>
        <v>3.2</v>
      </c>
      <c r="AI12" s="397"/>
      <c r="AJ12" s="1065"/>
      <c r="AK12" s="408" t="s">
        <v>23</v>
      </c>
      <c r="AL12" s="408" t="s">
        <v>445</v>
      </c>
      <c r="AM12" s="923">
        <v>17.744399999999999</v>
      </c>
      <c r="AN12" s="602">
        <v>16.739999999999998</v>
      </c>
      <c r="AO12" s="1066"/>
      <c r="AP12" s="405" t="s">
        <v>638</v>
      </c>
      <c r="AQ12" s="394">
        <f>AR12+(POLLUSTOP!$G$42*0.94)</f>
        <v>1699.18</v>
      </c>
      <c r="AR12" s="930">
        <v>1699.18</v>
      </c>
      <c r="AS12" s="596">
        <v>1603</v>
      </c>
      <c r="AU12" s="408" t="s">
        <v>470</v>
      </c>
      <c r="AV12" s="410">
        <v>10</v>
      </c>
      <c r="AW12" s="408" t="s">
        <v>483</v>
      </c>
      <c r="AX12" s="924">
        <v>535.6816</v>
      </c>
      <c r="AY12" s="603">
        <v>505.36</v>
      </c>
    </row>
    <row r="13" spans="1:71" ht="14.5" customHeight="1" x14ac:dyDescent="0.2">
      <c r="A13" s="393" t="s">
        <v>528</v>
      </c>
      <c r="B13" s="906">
        <v>566.77140000000009</v>
      </c>
      <c r="C13" s="598">
        <v>534.69000000000005</v>
      </c>
      <c r="E13" s="919" t="s">
        <v>1178</v>
      </c>
      <c r="F13" s="906">
        <v>434.6</v>
      </c>
      <c r="G13" s="598">
        <v>410</v>
      </c>
      <c r="H13" s="404"/>
      <c r="I13" s="393" t="s">
        <v>86</v>
      </c>
      <c r="J13" s="906">
        <v>429.3</v>
      </c>
      <c r="K13" s="598">
        <v>405</v>
      </c>
      <c r="N13" s="792"/>
      <c r="O13" s="598"/>
      <c r="Q13" s="817" t="s">
        <v>1391</v>
      </c>
      <c r="R13" s="930">
        <v>25.334</v>
      </c>
      <c r="S13" s="394">
        <v>23.9</v>
      </c>
      <c r="T13" s="393">
        <f t="shared" si="1"/>
        <v>26.854040000000001</v>
      </c>
      <c r="U13" s="405" t="s">
        <v>846</v>
      </c>
      <c r="V13" s="923">
        <v>3231.05</v>
      </c>
      <c r="W13" s="598">
        <v>3150.49</v>
      </c>
      <c r="Y13" s="393" t="s">
        <v>378</v>
      </c>
      <c r="Z13" s="406" t="s">
        <v>270</v>
      </c>
      <c r="AA13" s="923">
        <v>6189.9017999999996</v>
      </c>
      <c r="AB13" s="598">
        <v>5839.53</v>
      </c>
      <c r="AC13" s="395">
        <v>4</v>
      </c>
      <c r="AD13" s="406" t="s">
        <v>251</v>
      </c>
      <c r="AE13" s="395">
        <v>9</v>
      </c>
      <c r="AF13" s="396">
        <f t="shared" si="2"/>
        <v>3.6</v>
      </c>
      <c r="AI13" s="397"/>
      <c r="AJ13" s="1065"/>
      <c r="AK13" s="408" t="s">
        <v>24</v>
      </c>
      <c r="AL13" s="493" t="s">
        <v>1007</v>
      </c>
      <c r="AM13" s="923">
        <v>198.22</v>
      </c>
      <c r="AN13" s="602">
        <v>187</v>
      </c>
      <c r="AO13" s="1066"/>
      <c r="AP13" s="405" t="s">
        <v>639</v>
      </c>
      <c r="AQ13" s="394">
        <f>AR13+(POLLUSTOP!$G$43*0.94)</f>
        <v>2171.98</v>
      </c>
      <c r="AR13" s="930">
        <v>1889.98</v>
      </c>
      <c r="AS13" s="596">
        <v>1783</v>
      </c>
      <c r="AU13" s="408" t="s">
        <v>470</v>
      </c>
      <c r="AV13" s="410">
        <v>10</v>
      </c>
      <c r="AW13" s="408" t="s">
        <v>484</v>
      </c>
      <c r="AX13" s="924">
        <v>625.4</v>
      </c>
      <c r="AY13" s="603">
        <v>590</v>
      </c>
      <c r="BB13" s="837"/>
      <c r="BC13" s="835"/>
      <c r="BD13" s="838"/>
      <c r="BE13" s="831"/>
      <c r="BF13" s="1162"/>
      <c r="BG13" s="1162"/>
      <c r="BH13" s="1162"/>
      <c r="BI13" s="1162"/>
      <c r="BJ13" s="165"/>
      <c r="BK13" s="165"/>
      <c r="BL13" s="1162"/>
      <c r="BM13" s="1162"/>
      <c r="BN13" s="1162"/>
      <c r="BO13" s="1162"/>
      <c r="BP13" s="165"/>
      <c r="BQ13" s="838"/>
      <c r="BR13" s="831"/>
      <c r="BS13" s="831"/>
    </row>
    <row r="14" spans="1:71" ht="14.5" customHeight="1" x14ac:dyDescent="0.2">
      <c r="A14" s="817" t="s">
        <v>529</v>
      </c>
      <c r="B14" s="906">
        <v>92.442599999999999</v>
      </c>
      <c r="C14" s="598">
        <v>87.21</v>
      </c>
      <c r="E14" s="919" t="s">
        <v>1223</v>
      </c>
      <c r="F14" s="906">
        <v>1203.1000000000001</v>
      </c>
      <c r="G14" s="598">
        <v>1135</v>
      </c>
      <c r="H14" s="404"/>
      <c r="I14" s="393" t="s">
        <v>83</v>
      </c>
      <c r="J14" s="906">
        <v>430.36</v>
      </c>
      <c r="K14" s="598">
        <v>406</v>
      </c>
      <c r="N14" s="792"/>
      <c r="O14" s="598"/>
      <c r="S14" s="394"/>
      <c r="U14" s="405" t="s">
        <v>841</v>
      </c>
      <c r="V14" s="923"/>
      <c r="W14" s="598"/>
      <c r="Y14" s="393" t="s">
        <v>379</v>
      </c>
      <c r="Z14" s="406" t="s">
        <v>271</v>
      </c>
      <c r="AA14" s="923">
        <v>6840.4980000000005</v>
      </c>
      <c r="AB14" s="598">
        <v>6453.3</v>
      </c>
      <c r="AC14" s="395">
        <v>4</v>
      </c>
      <c r="AD14" s="406" t="s">
        <v>251</v>
      </c>
      <c r="AE14" s="395">
        <v>10</v>
      </c>
      <c r="AF14" s="396">
        <f t="shared" si="2"/>
        <v>4</v>
      </c>
      <c r="AI14" s="397"/>
      <c r="AJ14" s="1065"/>
      <c r="AK14" s="408" t="s">
        <v>27</v>
      </c>
      <c r="AL14" s="493" t="s">
        <v>1008</v>
      </c>
      <c r="AM14" s="923">
        <v>267.12</v>
      </c>
      <c r="AN14" s="602">
        <v>252</v>
      </c>
      <c r="AO14" s="1066"/>
      <c r="AP14" s="405" t="s">
        <v>640</v>
      </c>
      <c r="AQ14" s="394">
        <f>AR14+(POLLUSTOP!$G$43*0.94)</f>
        <v>2284.34</v>
      </c>
      <c r="AR14" s="930">
        <v>2002.3400000000001</v>
      </c>
      <c r="AS14" s="596">
        <v>1889</v>
      </c>
      <c r="AU14" s="408" t="s">
        <v>471</v>
      </c>
      <c r="AV14" s="410">
        <v>12</v>
      </c>
      <c r="AW14" s="814" t="s">
        <v>990</v>
      </c>
      <c r="AX14" s="924">
        <v>877.40440000000001</v>
      </c>
      <c r="AY14" s="603">
        <v>827.74</v>
      </c>
      <c r="BB14" s="835"/>
      <c r="BC14" s="826"/>
      <c r="BD14" s="815"/>
      <c r="BE14" s="815"/>
      <c r="BF14" s="831"/>
      <c r="BG14" s="831"/>
      <c r="BH14" s="831"/>
      <c r="BI14" s="831"/>
      <c r="BJ14" s="831"/>
      <c r="BK14" s="831"/>
      <c r="BL14" s="831"/>
      <c r="BM14" s="831"/>
      <c r="BN14" s="831"/>
      <c r="BO14" s="831"/>
      <c r="BP14" s="831"/>
      <c r="BQ14" s="831"/>
      <c r="BR14" s="831"/>
      <c r="BS14" s="831"/>
    </row>
    <row r="15" spans="1:71" ht="14.5" customHeight="1" x14ac:dyDescent="0.2">
      <c r="A15" s="393" t="s">
        <v>530</v>
      </c>
      <c r="B15" s="906">
        <v>123.70200000000001</v>
      </c>
      <c r="C15" s="598">
        <v>116.7</v>
      </c>
      <c r="E15" s="919" t="s">
        <v>1224</v>
      </c>
      <c r="F15" s="906">
        <v>344.5</v>
      </c>
      <c r="G15" s="598">
        <v>325</v>
      </c>
      <c r="H15" s="404"/>
      <c r="I15" s="393" t="s">
        <v>84</v>
      </c>
      <c r="J15" s="906">
        <v>327.54000000000002</v>
      </c>
      <c r="K15" s="598">
        <v>309</v>
      </c>
      <c r="M15" s="393" t="s">
        <v>42</v>
      </c>
      <c r="N15" s="394">
        <v>0</v>
      </c>
      <c r="Q15" s="415" t="s">
        <v>606</v>
      </c>
      <c r="R15" s="415">
        <v>0</v>
      </c>
      <c r="S15" s="415">
        <v>0</v>
      </c>
      <c r="U15" s="405" t="s">
        <v>842</v>
      </c>
      <c r="V15" s="923"/>
      <c r="W15" s="598"/>
      <c r="Y15" s="393" t="s">
        <v>380</v>
      </c>
      <c r="Z15" s="406" t="s">
        <v>272</v>
      </c>
      <c r="AA15" s="923">
        <v>7491.0942000000005</v>
      </c>
      <c r="AB15" s="598">
        <v>7067.07</v>
      </c>
      <c r="AC15" s="395">
        <v>4</v>
      </c>
      <c r="AD15" s="406" t="s">
        <v>251</v>
      </c>
      <c r="AE15" s="395">
        <v>11</v>
      </c>
      <c r="AF15" s="396">
        <f t="shared" si="2"/>
        <v>4.4000000000000004</v>
      </c>
      <c r="AI15" s="397"/>
      <c r="AJ15" s="1065"/>
      <c r="AK15" s="409"/>
      <c r="AL15" s="405" t="s">
        <v>1080</v>
      </c>
      <c r="AM15" s="923">
        <v>119.78</v>
      </c>
      <c r="AN15" s="602">
        <v>113</v>
      </c>
      <c r="AO15" s="1066"/>
      <c r="AP15" s="405" t="s">
        <v>641</v>
      </c>
      <c r="AQ15" s="394">
        <f>AR15+(POLLUSTOP!$G$43*0.94)</f>
        <v>2579.02</v>
      </c>
      <c r="AR15" s="930">
        <v>2297.02</v>
      </c>
      <c r="AS15" s="596">
        <v>2167</v>
      </c>
      <c r="AU15" s="408" t="s">
        <v>471</v>
      </c>
      <c r="AV15" s="410">
        <v>13</v>
      </c>
      <c r="AW15" s="814" t="s">
        <v>991</v>
      </c>
      <c r="AX15" s="924">
        <v>1061.6218000000001</v>
      </c>
      <c r="AY15" s="603">
        <v>1001.53</v>
      </c>
      <c r="BB15" s="830"/>
      <c r="BC15" s="830"/>
      <c r="BD15" s="822"/>
      <c r="BE15" s="815"/>
      <c r="BF15" s="185"/>
      <c r="BG15" s="185"/>
      <c r="BH15" s="185"/>
      <c r="BI15" s="185"/>
      <c r="BJ15" s="822"/>
      <c r="BK15" s="165"/>
      <c r="BL15" s="185"/>
      <c r="BM15" s="185"/>
      <c r="BN15" s="185"/>
      <c r="BO15" s="185"/>
      <c r="BP15" s="822"/>
      <c r="BQ15" s="831"/>
      <c r="BR15" s="831"/>
      <c r="BS15" s="831"/>
    </row>
    <row r="16" spans="1:71" ht="14.5" customHeight="1" x14ac:dyDescent="0.2">
      <c r="A16" s="405" t="s">
        <v>895</v>
      </c>
      <c r="B16" s="906">
        <v>0</v>
      </c>
      <c r="C16" s="598">
        <v>0</v>
      </c>
      <c r="E16" s="919" t="s">
        <v>1225</v>
      </c>
      <c r="F16" s="906">
        <v>376.3</v>
      </c>
      <c r="G16" s="598">
        <v>355</v>
      </c>
      <c r="H16" s="404"/>
      <c r="I16" s="393" t="s">
        <v>85</v>
      </c>
      <c r="J16" s="906">
        <v>604.20000000000005</v>
      </c>
      <c r="K16" s="598">
        <v>570</v>
      </c>
      <c r="M16" s="393" t="s">
        <v>43</v>
      </c>
      <c r="N16" s="394">
        <v>0</v>
      </c>
      <c r="Q16" s="393" t="s">
        <v>537</v>
      </c>
      <c r="R16" s="906">
        <v>1023.96</v>
      </c>
      <c r="S16" s="598">
        <v>966</v>
      </c>
      <c r="T16" s="393">
        <f>R16*1.06</f>
        <v>1085.3976</v>
      </c>
      <c r="U16" s="405" t="s">
        <v>843</v>
      </c>
      <c r="V16" s="923"/>
      <c r="W16" s="598"/>
      <c r="Y16" s="393" t="s">
        <v>381</v>
      </c>
      <c r="Z16" s="406" t="s">
        <v>273</v>
      </c>
      <c r="AA16" s="923">
        <v>8141.6904000000004</v>
      </c>
      <c r="AB16" s="598">
        <v>7680.84</v>
      </c>
      <c r="AC16" s="395">
        <v>4</v>
      </c>
      <c r="AD16" s="406" t="s">
        <v>251</v>
      </c>
      <c r="AE16" s="395">
        <v>12</v>
      </c>
      <c r="AF16" s="396">
        <f t="shared" si="2"/>
        <v>4.8000000000000007</v>
      </c>
      <c r="AG16" s="397"/>
      <c r="AH16" s="397"/>
      <c r="AI16" s="397"/>
      <c r="AJ16" s="1065"/>
      <c r="AK16" s="409" t="s">
        <v>67</v>
      </c>
      <c r="AL16" s="408" t="s">
        <v>446</v>
      </c>
      <c r="AM16" s="923">
        <v>5.4484000000000004</v>
      </c>
      <c r="AN16" s="602">
        <v>5.14</v>
      </c>
      <c r="AO16" s="1066"/>
      <c r="AP16" s="405" t="s">
        <v>642</v>
      </c>
      <c r="AQ16" s="394">
        <f>AR16+(POLLUSTOP!$G$44*0.94)</f>
        <v>2697.36</v>
      </c>
      <c r="AR16" s="930">
        <v>2603.36</v>
      </c>
      <c r="AS16" s="596">
        <v>2456</v>
      </c>
      <c r="AU16" s="408" t="s">
        <v>471</v>
      </c>
      <c r="AV16" s="410">
        <v>13</v>
      </c>
      <c r="AW16" s="814" t="s">
        <v>992</v>
      </c>
      <c r="AX16" s="924">
        <v>1326.2084000000002</v>
      </c>
      <c r="AY16" s="603">
        <v>1251.1400000000001</v>
      </c>
      <c r="BB16" s="830"/>
      <c r="BC16" s="830"/>
      <c r="BD16" s="822"/>
      <c r="BE16" s="815"/>
      <c r="BF16" s="185"/>
      <c r="BG16" s="185"/>
      <c r="BH16" s="185"/>
      <c r="BI16" s="185"/>
      <c r="BJ16" s="822"/>
      <c r="BK16" s="165"/>
      <c r="BL16" s="185"/>
      <c r="BM16" s="185"/>
      <c r="BN16" s="185"/>
      <c r="BO16" s="185"/>
      <c r="BP16" s="822"/>
      <c r="BQ16" s="831"/>
      <c r="BR16" s="831"/>
      <c r="BS16" s="831"/>
    </row>
    <row r="17" spans="1:71" ht="14.5" customHeight="1" x14ac:dyDescent="0.2">
      <c r="A17" s="405"/>
      <c r="B17" s="906"/>
      <c r="C17" s="598"/>
      <c r="E17" s="919"/>
      <c r="F17" s="906"/>
      <c r="G17" s="598"/>
      <c r="H17" s="404"/>
      <c r="J17" s="903"/>
      <c r="K17" s="598"/>
      <c r="R17" s="906"/>
      <c r="S17" s="598"/>
      <c r="U17" s="405"/>
      <c r="V17" s="923"/>
      <c r="W17" s="598"/>
      <c r="Z17" s="406"/>
      <c r="AA17" s="923"/>
      <c r="AB17" s="598"/>
      <c r="AD17" s="406"/>
      <c r="AG17" s="397"/>
      <c r="AH17" s="397"/>
      <c r="AI17" s="397"/>
      <c r="AJ17" s="1065"/>
      <c r="AK17" s="409"/>
      <c r="AL17" s="408"/>
      <c r="AM17" s="923">
        <v>0</v>
      </c>
      <c r="AN17" s="602"/>
      <c r="AO17" s="1066"/>
      <c r="AP17" s="405"/>
      <c r="AR17" s="930"/>
      <c r="AS17" s="930"/>
      <c r="AU17" s="814" t="s">
        <v>1351</v>
      </c>
      <c r="AV17" s="410">
        <v>1</v>
      </c>
      <c r="AW17" s="814" t="s">
        <v>1405</v>
      </c>
      <c r="AX17" s="924">
        <v>53</v>
      </c>
      <c r="AY17" s="603">
        <v>50</v>
      </c>
      <c r="BB17" s="830"/>
      <c r="BC17" s="830"/>
      <c r="BD17" s="822"/>
      <c r="BE17" s="815"/>
      <c r="BF17" s="185"/>
      <c r="BG17" s="185"/>
      <c r="BH17" s="185"/>
      <c r="BI17" s="185"/>
      <c r="BJ17" s="822"/>
      <c r="BK17" s="165"/>
      <c r="BL17" s="185"/>
      <c r="BM17" s="185"/>
      <c r="BN17" s="185"/>
      <c r="BO17" s="185"/>
      <c r="BP17" s="822"/>
      <c r="BQ17" s="831"/>
      <c r="BR17" s="831"/>
      <c r="BS17" s="831"/>
    </row>
    <row r="18" spans="1:71" ht="14.5" customHeight="1" x14ac:dyDescent="0.2">
      <c r="A18" s="393" t="s">
        <v>442</v>
      </c>
      <c r="E18" s="919" t="s">
        <v>1226</v>
      </c>
      <c r="F18" s="906">
        <v>858.6</v>
      </c>
      <c r="G18" s="598">
        <v>810</v>
      </c>
      <c r="H18" s="404"/>
      <c r="M18" s="393" t="s">
        <v>44</v>
      </c>
      <c r="N18" s="394">
        <v>0</v>
      </c>
      <c r="Q18" s="393" t="s">
        <v>538</v>
      </c>
      <c r="R18" s="906">
        <v>1214.76</v>
      </c>
      <c r="S18" s="598">
        <v>1146</v>
      </c>
      <c r="T18" s="393">
        <f t="shared" ref="T18:T20" si="3">R18*1.06</f>
        <v>1287.6456000000001</v>
      </c>
      <c r="U18" s="405" t="s">
        <v>835</v>
      </c>
      <c r="V18" s="923">
        <v>4267.32</v>
      </c>
      <c r="W18" s="598">
        <v>4162.8500000000004</v>
      </c>
      <c r="Y18" s="393" t="s">
        <v>382</v>
      </c>
      <c r="Z18" s="406" t="s">
        <v>274</v>
      </c>
      <c r="AA18" s="923">
        <v>1022.6562</v>
      </c>
      <c r="AB18" s="598">
        <v>964.77</v>
      </c>
      <c r="AC18" s="395">
        <v>4</v>
      </c>
      <c r="AD18" s="406" t="s">
        <v>253</v>
      </c>
      <c r="AE18" s="395">
        <v>1</v>
      </c>
      <c r="AF18" s="396">
        <f>IF(AD18="S",AC18*#REF!*AE18,AC18*$AD$3*AE18)</f>
        <v>0.8</v>
      </c>
      <c r="AG18" s="397"/>
      <c r="AH18" s="402"/>
      <c r="AJ18" s="1065"/>
      <c r="AK18" s="409" t="s">
        <v>67</v>
      </c>
      <c r="AL18" s="408" t="s">
        <v>447</v>
      </c>
      <c r="AM18" s="923">
        <v>27.220800000000001</v>
      </c>
      <c r="AN18" s="602">
        <v>25.68</v>
      </c>
      <c r="AO18" s="1066"/>
      <c r="AP18" s="405"/>
      <c r="AU18" s="408" t="s">
        <v>6</v>
      </c>
      <c r="AV18" s="410">
        <v>12</v>
      </c>
      <c r="AW18" s="408" t="s">
        <v>488</v>
      </c>
      <c r="AX18" s="924">
        <v>476.95760000000001</v>
      </c>
      <c r="AY18" s="603">
        <v>449.96</v>
      </c>
      <c r="BB18" s="830"/>
      <c r="BC18" s="830"/>
      <c r="BD18" s="822"/>
      <c r="BE18" s="815"/>
      <c r="BF18" s="185"/>
      <c r="BG18" s="185"/>
      <c r="BH18" s="185"/>
      <c r="BI18" s="185"/>
      <c r="BJ18" s="822"/>
      <c r="BK18" s="165"/>
      <c r="BL18" s="185"/>
      <c r="BM18" s="185"/>
      <c r="BN18" s="185"/>
      <c r="BO18" s="185"/>
      <c r="BP18" s="822"/>
      <c r="BQ18" s="831"/>
      <c r="BR18" s="831"/>
      <c r="BS18" s="831"/>
    </row>
    <row r="19" spans="1:71" ht="14.5" customHeight="1" x14ac:dyDescent="0.2">
      <c r="A19" s="417" t="s">
        <v>570</v>
      </c>
      <c r="B19" s="417"/>
      <c r="C19" s="417"/>
      <c r="E19" s="919" t="s">
        <v>1227</v>
      </c>
      <c r="F19" s="906">
        <v>633.88</v>
      </c>
      <c r="G19" s="598">
        <v>598</v>
      </c>
      <c r="H19" s="404"/>
      <c r="I19" s="415" t="s">
        <v>5</v>
      </c>
      <c r="J19" s="415"/>
      <c r="K19" s="415"/>
      <c r="M19" s="405" t="s">
        <v>883</v>
      </c>
      <c r="N19" s="394">
        <v>0</v>
      </c>
      <c r="Q19" s="393" t="s">
        <v>539</v>
      </c>
      <c r="R19" s="906">
        <v>1444.78</v>
      </c>
      <c r="S19" s="598">
        <v>1363</v>
      </c>
      <c r="T19" s="393">
        <f t="shared" si="3"/>
        <v>1531.4668000000001</v>
      </c>
      <c r="U19" s="405" t="s">
        <v>847</v>
      </c>
      <c r="V19" s="923">
        <v>0</v>
      </c>
      <c r="W19" s="598">
        <v>0</v>
      </c>
      <c r="Y19" s="393" t="s">
        <v>383</v>
      </c>
      <c r="Z19" s="406" t="s">
        <v>275</v>
      </c>
      <c r="AA19" s="923">
        <v>1710.7764000000002</v>
      </c>
      <c r="AB19" s="598">
        <v>1613.94</v>
      </c>
      <c r="AC19" s="395">
        <v>4</v>
      </c>
      <c r="AD19" s="406" t="s">
        <v>253</v>
      </c>
      <c r="AE19" s="395">
        <v>2</v>
      </c>
      <c r="AF19" s="396">
        <f>IF(AD19="S",AC19*#REF!*AE19,AC19*$AD$3*AE19)</f>
        <v>1.6</v>
      </c>
      <c r="AJ19" s="1065"/>
      <c r="AK19" s="408"/>
      <c r="AL19" s="408" t="s">
        <v>448</v>
      </c>
      <c r="AM19" s="923">
        <v>0</v>
      </c>
      <c r="AN19" s="602">
        <v>0</v>
      </c>
      <c r="AO19" s="1066"/>
      <c r="AP19" s="423" t="s">
        <v>94</v>
      </c>
      <c r="AQ19" s="417"/>
      <c r="AR19" s="417"/>
      <c r="AS19" s="417"/>
      <c r="AU19" s="408" t="s">
        <v>6</v>
      </c>
      <c r="AV19" s="410">
        <v>14</v>
      </c>
      <c r="AW19" s="408" t="s">
        <v>489</v>
      </c>
      <c r="AX19" s="924">
        <v>633.62560000000008</v>
      </c>
      <c r="AY19" s="603">
        <v>597.76</v>
      </c>
      <c r="BB19" s="830"/>
      <c r="BC19" s="830"/>
      <c r="BD19" s="822"/>
      <c r="BE19" s="815"/>
      <c r="BF19" s="185"/>
      <c r="BG19" s="185"/>
      <c r="BH19" s="185"/>
      <c r="BI19" s="185"/>
      <c r="BJ19" s="822"/>
      <c r="BK19" s="165"/>
      <c r="BL19" s="185"/>
      <c r="BM19" s="185"/>
      <c r="BN19" s="185"/>
      <c r="BO19" s="185"/>
      <c r="BP19" s="822"/>
      <c r="BQ19" s="831"/>
      <c r="BR19" s="831"/>
      <c r="BS19" s="831"/>
    </row>
    <row r="20" spans="1:71" ht="14.5" customHeight="1" x14ac:dyDescent="0.2">
      <c r="A20" s="405" t="s">
        <v>571</v>
      </c>
      <c r="B20" s="906">
        <v>133.56</v>
      </c>
      <c r="C20" s="598">
        <v>126</v>
      </c>
      <c r="E20" s="919" t="s">
        <v>1228</v>
      </c>
      <c r="F20" s="906">
        <v>1203.1000000000001</v>
      </c>
      <c r="G20" s="598">
        <v>1135</v>
      </c>
      <c r="H20" s="404"/>
      <c r="I20" s="405" t="s">
        <v>829</v>
      </c>
      <c r="J20" s="906">
        <v>354.34740000000005</v>
      </c>
      <c r="K20" s="598">
        <v>334.29</v>
      </c>
      <c r="M20" s="405" t="s">
        <v>882</v>
      </c>
      <c r="N20" s="394">
        <v>0</v>
      </c>
      <c r="Q20" s="393" t="s">
        <v>540</v>
      </c>
      <c r="R20" s="906">
        <v>1585.76</v>
      </c>
      <c r="S20" s="598">
        <v>1496</v>
      </c>
      <c r="T20" s="393">
        <f t="shared" si="3"/>
        <v>1680.9056</v>
      </c>
      <c r="U20" s="405" t="s">
        <v>848</v>
      </c>
      <c r="V20" s="923">
        <v>4267.32</v>
      </c>
      <c r="W20" s="598">
        <v>4162.8500000000004</v>
      </c>
      <c r="Y20" s="393" t="s">
        <v>384</v>
      </c>
      <c r="Z20" s="406" t="s">
        <v>276</v>
      </c>
      <c r="AA20" s="923">
        <v>2398.8966</v>
      </c>
      <c r="AB20" s="598">
        <v>2263.11</v>
      </c>
      <c r="AC20" s="395">
        <v>4</v>
      </c>
      <c r="AD20" s="406" t="s">
        <v>253</v>
      </c>
      <c r="AE20" s="395">
        <v>3</v>
      </c>
      <c r="AF20" s="396">
        <f>IF(AD20="S",AC20*#REF!*AE20,AC20*$AD$3*AE20)</f>
        <v>2.4000000000000004</v>
      </c>
      <c r="AJ20" s="1065"/>
      <c r="AK20" s="493" t="s">
        <v>670</v>
      </c>
      <c r="AL20" s="493" t="s">
        <v>671</v>
      </c>
      <c r="AM20" s="923">
        <v>262.03199999999998</v>
      </c>
      <c r="AN20" s="602">
        <v>247.2</v>
      </c>
      <c r="AO20" s="1066"/>
      <c r="AP20" s="405" t="s">
        <v>80</v>
      </c>
      <c r="AQ20" s="394">
        <v>0</v>
      </c>
      <c r="AR20" s="844"/>
      <c r="AS20" s="844"/>
      <c r="AU20" s="408" t="s">
        <v>6</v>
      </c>
      <c r="AV20" s="410">
        <v>16</v>
      </c>
      <c r="AW20" s="408" t="s">
        <v>490</v>
      </c>
      <c r="AX20" s="924">
        <v>734.64359999999999</v>
      </c>
      <c r="AY20" s="603">
        <v>693.06</v>
      </c>
      <c r="BB20" s="830"/>
      <c r="BC20" s="830"/>
      <c r="BD20" s="822"/>
      <c r="BE20" s="815"/>
      <c r="BF20" s="185"/>
      <c r="BG20" s="185"/>
      <c r="BH20" s="185"/>
      <c r="BI20" s="185"/>
      <c r="BJ20" s="822"/>
      <c r="BK20" s="165"/>
      <c r="BL20" s="185"/>
      <c r="BM20" s="185"/>
      <c r="BN20" s="185"/>
      <c r="BO20" s="185"/>
      <c r="BP20" s="822"/>
      <c r="BQ20" s="831"/>
      <c r="BR20" s="831"/>
      <c r="BS20" s="831"/>
    </row>
    <row r="21" spans="1:71" ht="14.5" customHeight="1" x14ac:dyDescent="0.2">
      <c r="A21" s="405"/>
      <c r="E21" s="919" t="s">
        <v>1229</v>
      </c>
      <c r="F21" s="906">
        <v>344.5</v>
      </c>
      <c r="G21" s="598">
        <v>325</v>
      </c>
      <c r="H21" s="404"/>
      <c r="I21" s="405" t="s">
        <v>830</v>
      </c>
      <c r="J21" s="906">
        <v>395.35880000000003</v>
      </c>
      <c r="K21" s="598">
        <v>372.98</v>
      </c>
      <c r="M21" s="405" t="s">
        <v>884</v>
      </c>
      <c r="N21" s="394">
        <v>0</v>
      </c>
      <c r="S21" s="394"/>
      <c r="U21" s="405" t="s">
        <v>841</v>
      </c>
      <c r="V21" s="923"/>
      <c r="W21" s="598"/>
      <c r="Y21" s="393" t="s">
        <v>385</v>
      </c>
      <c r="Z21" s="406" t="s">
        <v>277</v>
      </c>
      <c r="AA21" s="923">
        <v>3087.0168000000003</v>
      </c>
      <c r="AB21" s="598">
        <v>2912.28</v>
      </c>
      <c r="AC21" s="395">
        <v>4</v>
      </c>
      <c r="AD21" s="406" t="s">
        <v>253</v>
      </c>
      <c r="AE21" s="395">
        <v>4</v>
      </c>
      <c r="AF21" s="396">
        <f>IF(AD21="S",AC21*#REF!*AE21,AC21*$AD$3*AE21)</f>
        <v>3.2</v>
      </c>
      <c r="AJ21" s="1065"/>
      <c r="AK21" s="408"/>
      <c r="AL21" s="408" t="s">
        <v>449</v>
      </c>
      <c r="AM21" s="923">
        <v>0</v>
      </c>
      <c r="AN21" s="602">
        <v>0</v>
      </c>
      <c r="AO21" s="1066"/>
      <c r="AP21" s="405" t="s">
        <v>643</v>
      </c>
      <c r="AQ21" s="394">
        <f>(POLLUSTOP!$G$39*1.15)+AR21</f>
        <v>4459.09</v>
      </c>
      <c r="AR21" s="930">
        <v>2675.44</v>
      </c>
      <c r="AS21" s="596">
        <v>2524</v>
      </c>
      <c r="AU21" s="408" t="s">
        <v>7</v>
      </c>
      <c r="AV21" s="410">
        <v>3</v>
      </c>
      <c r="AW21" s="408" t="s">
        <v>442</v>
      </c>
      <c r="AX21" s="924">
        <v>188.36199999999999</v>
      </c>
      <c r="AY21" s="603">
        <v>177.7</v>
      </c>
      <c r="BB21" s="830"/>
      <c r="BC21" s="830"/>
      <c r="BD21" s="822"/>
      <c r="BE21" s="815"/>
      <c r="BF21" s="185"/>
      <c r="BG21" s="185"/>
      <c r="BH21" s="185"/>
      <c r="BI21" s="185"/>
      <c r="BJ21" s="822"/>
      <c r="BK21" s="165"/>
      <c r="BL21" s="185"/>
      <c r="BM21" s="185"/>
      <c r="BN21" s="185"/>
      <c r="BO21" s="185"/>
      <c r="BP21" s="822"/>
      <c r="BQ21" s="831"/>
      <c r="BR21" s="831"/>
      <c r="BS21" s="831"/>
    </row>
    <row r="22" spans="1:71" ht="14.5" customHeight="1" x14ac:dyDescent="0.2">
      <c r="A22" s="405"/>
      <c r="E22" s="919" t="s">
        <v>1160</v>
      </c>
      <c r="F22" s="906">
        <v>333.90000000000003</v>
      </c>
      <c r="G22" s="598">
        <v>315</v>
      </c>
      <c r="H22" s="404"/>
      <c r="I22" s="405" t="s">
        <v>832</v>
      </c>
      <c r="J22" s="906">
        <v>502.72620000000001</v>
      </c>
      <c r="K22" s="598">
        <v>474.27</v>
      </c>
      <c r="M22" s="393" t="s">
        <v>120</v>
      </c>
      <c r="N22" s="394">
        <v>0</v>
      </c>
      <c r="Q22" s="415" t="s">
        <v>575</v>
      </c>
      <c r="R22" s="415">
        <v>0</v>
      </c>
      <c r="S22" s="415">
        <v>0</v>
      </c>
      <c r="U22" s="405" t="s">
        <v>842</v>
      </c>
      <c r="V22" s="923"/>
      <c r="W22" s="598"/>
      <c r="Y22" s="393" t="s">
        <v>386</v>
      </c>
      <c r="Z22" s="406" t="s">
        <v>278</v>
      </c>
      <c r="AA22" s="923">
        <v>3775.1370000000002</v>
      </c>
      <c r="AB22" s="598">
        <v>3561.45</v>
      </c>
      <c r="AC22" s="395">
        <v>4</v>
      </c>
      <c r="AD22" s="406" t="s">
        <v>253</v>
      </c>
      <c r="AE22" s="395">
        <v>5</v>
      </c>
      <c r="AF22" s="396">
        <f>IF(AD22="S",AC22*#REF!*AE22,AC22*$AD$3*AE22)</f>
        <v>4</v>
      </c>
      <c r="AJ22" s="1065"/>
      <c r="AL22" s="412" t="s">
        <v>450</v>
      </c>
      <c r="AM22" s="923">
        <v>0</v>
      </c>
      <c r="AN22" s="602">
        <v>0</v>
      </c>
      <c r="AO22" s="1066"/>
      <c r="AP22" s="405" t="s">
        <v>644</v>
      </c>
      <c r="AQ22" s="394">
        <f>AR22+(POLLUSTOP!$G$40*1.15)</f>
        <v>3920.3199999999997</v>
      </c>
      <c r="AR22" s="930">
        <v>3251.02</v>
      </c>
      <c r="AS22" s="596">
        <v>3067</v>
      </c>
      <c r="AU22" s="408" t="s">
        <v>54</v>
      </c>
      <c r="AV22" s="410">
        <v>6</v>
      </c>
      <c r="AW22" s="408" t="s">
        <v>491</v>
      </c>
      <c r="AX22" s="924">
        <v>700</v>
      </c>
      <c r="AY22" s="603">
        <v>335.99</v>
      </c>
      <c r="BB22" s="830"/>
      <c r="BC22" s="830"/>
      <c r="BD22" s="822"/>
      <c r="BE22" s="815"/>
      <c r="BF22" s="166"/>
      <c r="BG22" s="165"/>
      <c r="BH22" s="165"/>
      <c r="BI22" s="165"/>
      <c r="BJ22" s="165"/>
      <c r="BK22" s="165"/>
      <c r="BL22" s="823"/>
      <c r="BM22" s="823"/>
      <c r="BN22" s="823"/>
      <c r="BO22" s="823"/>
      <c r="BP22" s="836"/>
      <c r="BQ22" s="831"/>
      <c r="BR22" s="831"/>
      <c r="BS22" s="831"/>
    </row>
    <row r="23" spans="1:71" ht="14.5" customHeight="1" x14ac:dyDescent="0.2">
      <c r="A23" s="393" t="s">
        <v>442</v>
      </c>
      <c r="E23" s="919" t="s">
        <v>1135</v>
      </c>
      <c r="F23" s="906">
        <v>588.30000000000007</v>
      </c>
      <c r="G23" s="598">
        <v>555</v>
      </c>
      <c r="H23" s="404"/>
      <c r="I23" s="405" t="s">
        <v>831</v>
      </c>
      <c r="J23" s="906">
        <v>572.67560000000003</v>
      </c>
      <c r="K23" s="598">
        <v>540.26</v>
      </c>
      <c r="M23" s="393" t="s">
        <v>119</v>
      </c>
      <c r="N23" s="394">
        <v>0</v>
      </c>
      <c r="Q23" s="405" t="s">
        <v>581</v>
      </c>
      <c r="R23" s="906">
        <v>174.68800000000002</v>
      </c>
      <c r="S23" s="598">
        <v>164.8</v>
      </c>
      <c r="T23" s="393">
        <f>R23*1.06</f>
        <v>185.16928000000001</v>
      </c>
      <c r="U23" s="405" t="s">
        <v>843</v>
      </c>
      <c r="V23" s="923"/>
      <c r="W23" s="598"/>
      <c r="Y23" s="393" t="s">
        <v>387</v>
      </c>
      <c r="Z23" s="406" t="s">
        <v>279</v>
      </c>
      <c r="AA23" s="923">
        <v>4463.2572</v>
      </c>
      <c r="AB23" s="598">
        <v>4210.62</v>
      </c>
      <c r="AC23" s="395">
        <v>4</v>
      </c>
      <c r="AD23" s="406" t="s">
        <v>253</v>
      </c>
      <c r="AE23" s="395">
        <v>6</v>
      </c>
      <c r="AF23" s="396">
        <f>IF(AD23="S",AC23*#REF!*AE23,AC23*$AD$3*AE23)</f>
        <v>4.8000000000000007</v>
      </c>
      <c r="AJ23" s="1065"/>
      <c r="AK23" s="394" t="s">
        <v>68</v>
      </c>
      <c r="AL23" s="408" t="s">
        <v>451</v>
      </c>
      <c r="AM23" s="923">
        <v>0</v>
      </c>
      <c r="AN23" s="602">
        <v>0</v>
      </c>
      <c r="AO23" s="1066"/>
      <c r="AP23" s="405" t="s">
        <v>645</v>
      </c>
      <c r="AQ23" s="394">
        <f>AR23+(POLLUSTOP!$G$41*1.15)</f>
        <v>4643.8600000000006</v>
      </c>
      <c r="AR23" s="930">
        <v>4643.8600000000006</v>
      </c>
      <c r="AS23" s="596">
        <v>4381</v>
      </c>
      <c r="AU23" s="408" t="s">
        <v>55</v>
      </c>
      <c r="AV23" s="410">
        <v>3</v>
      </c>
      <c r="AW23" s="408" t="s">
        <v>491</v>
      </c>
      <c r="AX23" s="924">
        <v>380</v>
      </c>
      <c r="AY23" s="603">
        <v>178.83</v>
      </c>
      <c r="BB23" s="830"/>
      <c r="BC23" s="830"/>
      <c r="BD23" s="822"/>
      <c r="BE23" s="815"/>
      <c r="BF23" s="166"/>
      <c r="BG23" s="165"/>
      <c r="BH23" s="165"/>
      <c r="BI23" s="165"/>
      <c r="BJ23" s="165"/>
      <c r="BK23" s="165"/>
      <c r="BL23" s="823"/>
      <c r="BM23" s="823"/>
      <c r="BN23" s="823"/>
      <c r="BO23" s="823"/>
      <c r="BP23" s="836"/>
      <c r="BQ23" s="831"/>
      <c r="BR23" s="831"/>
      <c r="BS23" s="831"/>
    </row>
    <row r="24" spans="1:71" ht="14.5" customHeight="1" x14ac:dyDescent="0.2">
      <c r="A24" s="393" t="s">
        <v>442</v>
      </c>
      <c r="E24" s="919" t="s">
        <v>1205</v>
      </c>
      <c r="F24" s="906">
        <v>413.40000000000003</v>
      </c>
      <c r="G24" s="598">
        <v>390</v>
      </c>
      <c r="H24" s="404"/>
      <c r="Q24" s="405" t="s">
        <v>578</v>
      </c>
      <c r="R24" s="906">
        <v>19.111800000000002</v>
      </c>
      <c r="S24" s="598">
        <v>18.03</v>
      </c>
      <c r="T24" s="393">
        <f t="shared" ref="T24:T33" si="4">R24*1.06</f>
        <v>20.258508000000003</v>
      </c>
      <c r="U24" s="405" t="s">
        <v>836</v>
      </c>
      <c r="V24" s="923">
        <v>5813.35</v>
      </c>
      <c r="W24" s="598">
        <v>5669.54</v>
      </c>
      <c r="Y24" s="393" t="s">
        <v>388</v>
      </c>
      <c r="Z24" s="406" t="s">
        <v>280</v>
      </c>
      <c r="AA24" s="923">
        <v>5151.3774000000003</v>
      </c>
      <c r="AB24" s="598">
        <v>4859.79</v>
      </c>
      <c r="AC24" s="395">
        <v>4</v>
      </c>
      <c r="AD24" s="406" t="s">
        <v>253</v>
      </c>
      <c r="AE24" s="395">
        <v>7</v>
      </c>
      <c r="AF24" s="396">
        <f>IF(AD24="S",AC24*#REF!*AE24,AC24*$AD$3*AE24)</f>
        <v>5.6000000000000005</v>
      </c>
      <c r="AJ24" s="1065"/>
      <c r="AK24" s="817" t="s">
        <v>1349</v>
      </c>
      <c r="AL24" s="814" t="s">
        <v>1350</v>
      </c>
      <c r="AM24" s="923">
        <v>5</v>
      </c>
      <c r="AN24" s="602">
        <v>5</v>
      </c>
      <c r="AO24" s="1066"/>
      <c r="AP24" s="405" t="s">
        <v>646</v>
      </c>
      <c r="AQ24" s="394">
        <f>AR24+(POLLUSTOP!$G$41*1.15)</f>
        <v>5477.02</v>
      </c>
      <c r="AR24" s="930">
        <v>5477.02</v>
      </c>
      <c r="AS24" s="596">
        <v>5167</v>
      </c>
      <c r="AU24" s="408" t="s">
        <v>56</v>
      </c>
      <c r="AV24" s="410">
        <v>3</v>
      </c>
      <c r="AW24" s="408" t="s">
        <v>442</v>
      </c>
      <c r="AX24" s="924">
        <v>358</v>
      </c>
      <c r="AY24" s="603">
        <v>168.71</v>
      </c>
      <c r="BB24" s="830"/>
      <c r="BC24" s="830"/>
      <c r="BD24" s="822"/>
      <c r="BE24" s="815"/>
      <c r="BF24" s="166"/>
      <c r="BG24" s="165"/>
      <c r="BH24" s="165"/>
      <c r="BI24" s="165"/>
      <c r="BJ24" s="165"/>
      <c r="BK24" s="165"/>
      <c r="BL24" s="166"/>
      <c r="BM24" s="165"/>
      <c r="BN24" s="165"/>
      <c r="BO24" s="165"/>
      <c r="BP24" s="165"/>
      <c r="BQ24" s="831"/>
      <c r="BR24" s="831"/>
      <c r="BS24" s="831"/>
    </row>
    <row r="25" spans="1:71" ht="14.5" customHeight="1" x14ac:dyDescent="0.2">
      <c r="A25" s="417" t="s">
        <v>208</v>
      </c>
      <c r="B25" s="417"/>
      <c r="C25" s="417"/>
      <c r="E25" s="919" t="s">
        <v>1230</v>
      </c>
      <c r="F25" s="906">
        <v>1203.1000000000001</v>
      </c>
      <c r="G25" s="598">
        <v>1135</v>
      </c>
      <c r="H25" s="404"/>
      <c r="I25" s="415" t="s">
        <v>88</v>
      </c>
      <c r="J25" s="415"/>
      <c r="K25" s="415"/>
      <c r="M25" s="415" t="s">
        <v>190</v>
      </c>
      <c r="N25" s="415">
        <v>0</v>
      </c>
      <c r="O25" s="415"/>
      <c r="Q25" s="405" t="s">
        <v>582</v>
      </c>
      <c r="R25" s="906">
        <v>1200.98</v>
      </c>
      <c r="S25" s="598">
        <v>1133</v>
      </c>
      <c r="T25" s="393">
        <f t="shared" si="4"/>
        <v>1273.0388</v>
      </c>
      <c r="U25" s="405" t="s">
        <v>849</v>
      </c>
      <c r="V25" s="923">
        <v>0</v>
      </c>
      <c r="W25" s="598">
        <v>0</v>
      </c>
      <c r="Y25" s="393" t="s">
        <v>389</v>
      </c>
      <c r="Z25" s="406" t="s">
        <v>281</v>
      </c>
      <c r="AA25" s="923">
        <v>5839.4976000000006</v>
      </c>
      <c r="AB25" s="598">
        <v>5508.96</v>
      </c>
      <c r="AC25" s="395">
        <v>4</v>
      </c>
      <c r="AD25" s="406" t="s">
        <v>253</v>
      </c>
      <c r="AE25" s="395">
        <v>8</v>
      </c>
      <c r="AF25" s="396">
        <f>IF(AD25="S",AC25*#REF!*AE25,AC25*$AD$3*AE25)</f>
        <v>6.4</v>
      </c>
      <c r="AJ25" s="1065"/>
      <c r="AL25" s="408" t="s">
        <v>452</v>
      </c>
      <c r="AM25" s="923">
        <v>0</v>
      </c>
      <c r="AN25" s="602">
        <v>0</v>
      </c>
      <c r="AO25" s="1066"/>
      <c r="AP25" s="405" t="s">
        <v>647</v>
      </c>
      <c r="AQ25" s="394">
        <f>AR25+(POLLUSTOP!$G$42*1.15)</f>
        <v>6952.54</v>
      </c>
      <c r="AR25" s="930">
        <v>6952.54</v>
      </c>
      <c r="AS25" s="596">
        <v>6559</v>
      </c>
      <c r="AU25" s="423" t="s">
        <v>57</v>
      </c>
      <c r="AV25" s="424"/>
      <c r="AW25" s="425" t="s">
        <v>442</v>
      </c>
      <c r="AX25" s="423"/>
      <c r="AY25" s="1073"/>
      <c r="BB25" s="830"/>
      <c r="BC25" s="830"/>
      <c r="BD25" s="822"/>
      <c r="BE25" s="815"/>
      <c r="BF25" s="166"/>
      <c r="BG25" s="165"/>
      <c r="BH25" s="165"/>
      <c r="BI25" s="165"/>
      <c r="BJ25" s="165"/>
      <c r="BK25" s="165"/>
      <c r="BL25" s="166"/>
      <c r="BM25" s="165"/>
      <c r="BN25" s="165"/>
      <c r="BO25" s="165"/>
      <c r="BP25" s="165"/>
      <c r="BQ25" s="831"/>
      <c r="BR25" s="831"/>
      <c r="BS25" s="831"/>
    </row>
    <row r="26" spans="1:71" ht="14.5" customHeight="1" x14ac:dyDescent="0.2">
      <c r="A26" s="393" t="s">
        <v>531</v>
      </c>
      <c r="B26" s="906">
        <v>108.2578</v>
      </c>
      <c r="C26" s="598">
        <v>102.13</v>
      </c>
      <c r="E26" s="919" t="s">
        <v>1231</v>
      </c>
      <c r="F26" s="906">
        <v>344.5</v>
      </c>
      <c r="G26" s="598">
        <v>325</v>
      </c>
      <c r="H26" s="404"/>
      <c r="I26" s="405" t="s">
        <v>711</v>
      </c>
      <c r="J26" s="906">
        <v>1331.3600000000001</v>
      </c>
      <c r="K26" s="598">
        <v>1256</v>
      </c>
      <c r="M26" s="405" t="s">
        <v>808</v>
      </c>
      <c r="N26" s="394">
        <v>0</v>
      </c>
      <c r="Q26" s="405" t="s">
        <v>583</v>
      </c>
      <c r="R26" s="906">
        <v>1419.3400000000001</v>
      </c>
      <c r="S26" s="598">
        <v>1339</v>
      </c>
      <c r="T26" s="393">
        <f t="shared" si="4"/>
        <v>1504.5004000000001</v>
      </c>
      <c r="U26" s="405" t="s">
        <v>850</v>
      </c>
      <c r="V26" s="923">
        <v>5813.35</v>
      </c>
      <c r="W26" s="598">
        <v>5669.54</v>
      </c>
      <c r="Y26" s="393" t="s">
        <v>390</v>
      </c>
      <c r="Z26" s="406" t="s">
        <v>282</v>
      </c>
      <c r="AA26" s="923">
        <v>6527.6178000000009</v>
      </c>
      <c r="AB26" s="598">
        <v>6158.13</v>
      </c>
      <c r="AC26" s="395">
        <v>4</v>
      </c>
      <c r="AD26" s="406" t="s">
        <v>253</v>
      </c>
      <c r="AE26" s="395">
        <v>9</v>
      </c>
      <c r="AF26" s="396">
        <f>IF(AD26="S",AC26*#REF!*AE26,AC26*$AD$3*AE26)</f>
        <v>7.2</v>
      </c>
      <c r="AJ26" s="1065"/>
      <c r="AM26" s="394"/>
      <c r="AP26" s="405" t="s">
        <v>648</v>
      </c>
      <c r="AQ26" s="394">
        <f>AR26+(POLLUSTOP!$G$42*1.15)</f>
        <v>7044.76</v>
      </c>
      <c r="AR26" s="930">
        <v>7044.76</v>
      </c>
      <c r="AS26" s="596">
        <v>6646</v>
      </c>
      <c r="AU26" s="423"/>
      <c r="AV26" s="424"/>
      <c r="AW26" s="425"/>
      <c r="AX26" s="423"/>
      <c r="AY26" s="1073"/>
      <c r="BB26" s="830"/>
      <c r="BC26" s="830"/>
      <c r="BD26" s="822"/>
      <c r="BE26" s="815"/>
      <c r="BF26" s="166"/>
      <c r="BG26" s="165"/>
      <c r="BH26" s="165"/>
      <c r="BI26" s="165"/>
      <c r="BJ26" s="165"/>
      <c r="BK26" s="165"/>
      <c r="BL26" s="166"/>
      <c r="BM26" s="165"/>
      <c r="BN26" s="165"/>
      <c r="BO26" s="165"/>
      <c r="BP26" s="165"/>
      <c r="BQ26" s="831"/>
      <c r="BR26" s="831"/>
      <c r="BS26" s="831"/>
    </row>
    <row r="27" spans="1:71" ht="14.5" customHeight="1" x14ac:dyDescent="0.2">
      <c r="A27" s="393" t="s">
        <v>442</v>
      </c>
      <c r="E27" s="919" t="s">
        <v>1232</v>
      </c>
      <c r="F27" s="906">
        <v>940.22</v>
      </c>
      <c r="G27" s="598">
        <v>887</v>
      </c>
      <c r="H27" s="404"/>
      <c r="I27" s="405" t="s">
        <v>817</v>
      </c>
      <c r="J27" s="906">
        <v>1365.28</v>
      </c>
      <c r="K27" s="598">
        <v>1288</v>
      </c>
      <c r="M27" s="405" t="s">
        <v>710</v>
      </c>
      <c r="N27" s="394">
        <v>0</v>
      </c>
      <c r="Q27" s="405" t="s">
        <v>584</v>
      </c>
      <c r="R27" s="906">
        <v>1556.0800000000002</v>
      </c>
      <c r="S27" s="598">
        <v>1468</v>
      </c>
      <c r="T27" s="393">
        <f t="shared" si="4"/>
        <v>1649.4448000000002</v>
      </c>
      <c r="U27" s="405" t="s">
        <v>841</v>
      </c>
      <c r="V27" s="923"/>
      <c r="W27" s="598"/>
      <c r="Y27" s="393" t="s">
        <v>391</v>
      </c>
      <c r="Z27" s="406" t="s">
        <v>283</v>
      </c>
      <c r="AA27" s="923">
        <v>7215.7380000000003</v>
      </c>
      <c r="AB27" s="598">
        <v>6807.3</v>
      </c>
      <c r="AC27" s="395">
        <v>4</v>
      </c>
      <c r="AD27" s="406" t="s">
        <v>253</v>
      </c>
      <c r="AE27" s="395">
        <v>10</v>
      </c>
      <c r="AF27" s="396">
        <f>IF(AD27="S",AC27*#REF!*AE27,AC27*$AD$3*AE27)</f>
        <v>8</v>
      </c>
      <c r="AJ27" s="1065"/>
      <c r="AK27" s="415" t="s">
        <v>128</v>
      </c>
      <c r="AL27" s="415"/>
      <c r="AM27" s="415"/>
      <c r="AN27" s="415"/>
      <c r="AP27" s="405" t="s">
        <v>649</v>
      </c>
      <c r="AQ27" s="394">
        <f>AR27+(POLLUSTOP!$G$43*1.15)</f>
        <v>8876.94</v>
      </c>
      <c r="AR27" s="930">
        <v>8531.94</v>
      </c>
      <c r="AS27" s="596">
        <v>8049</v>
      </c>
      <c r="AU27" s="826" t="s">
        <v>899</v>
      </c>
      <c r="AV27" s="827"/>
      <c r="AW27" s="828"/>
      <c r="AX27" s="829"/>
      <c r="BB27" s="830"/>
      <c r="BC27" s="830"/>
      <c r="BD27" s="822"/>
      <c r="BE27" s="815"/>
      <c r="BF27" s="166"/>
      <c r="BG27" s="165"/>
      <c r="BH27" s="165"/>
      <c r="BI27" s="165"/>
      <c r="BJ27" s="165"/>
      <c r="BK27" s="165"/>
      <c r="BL27" s="166"/>
      <c r="BM27" s="165"/>
      <c r="BN27" s="165"/>
      <c r="BO27" s="165"/>
      <c r="BP27" s="165"/>
      <c r="BQ27" s="831"/>
      <c r="BR27" s="831"/>
      <c r="BS27" s="831"/>
    </row>
    <row r="28" spans="1:71" ht="14.5" customHeight="1" x14ac:dyDescent="0.2">
      <c r="A28" s="417" t="s">
        <v>46</v>
      </c>
      <c r="B28" s="417"/>
      <c r="C28" s="417"/>
      <c r="E28" s="919" t="s">
        <v>1194</v>
      </c>
      <c r="F28" s="906">
        <v>630.70000000000005</v>
      </c>
      <c r="G28" s="598">
        <v>595</v>
      </c>
      <c r="H28" s="404"/>
      <c r="I28" s="405" t="s">
        <v>818</v>
      </c>
      <c r="J28" s="906">
        <v>1565.6200000000001</v>
      </c>
      <c r="K28" s="598">
        <v>1477</v>
      </c>
      <c r="M28" s="864" t="s">
        <v>989</v>
      </c>
      <c r="N28" s="394">
        <v>0</v>
      </c>
      <c r="Q28" s="405" t="s">
        <v>585</v>
      </c>
      <c r="R28" s="906">
        <v>1856.0600000000002</v>
      </c>
      <c r="S28" s="598">
        <v>1751</v>
      </c>
      <c r="T28" s="393">
        <f t="shared" si="4"/>
        <v>1967.4236000000003</v>
      </c>
      <c r="U28" s="405" t="s">
        <v>842</v>
      </c>
      <c r="V28" s="923"/>
      <c r="W28" s="598"/>
      <c r="Y28" s="393" t="s">
        <v>392</v>
      </c>
      <c r="Z28" s="406" t="s">
        <v>284</v>
      </c>
      <c r="AA28" s="923">
        <v>7903.8582000000006</v>
      </c>
      <c r="AB28" s="598">
        <v>7456.47</v>
      </c>
      <c r="AC28" s="395">
        <v>4</v>
      </c>
      <c r="AD28" s="406" t="s">
        <v>253</v>
      </c>
      <c r="AE28" s="395">
        <v>11</v>
      </c>
      <c r="AF28" s="396">
        <f>IF(AD28="S",AC28*#REF!*AE28,AC28*$AD$3*AE28)</f>
        <v>8.8000000000000007</v>
      </c>
      <c r="AJ28" s="1065"/>
      <c r="AK28" s="417" t="s">
        <v>109</v>
      </c>
      <c r="AL28" s="417" t="s">
        <v>442</v>
      </c>
      <c r="AM28" s="417"/>
      <c r="AN28" s="415"/>
      <c r="AP28" s="405" t="s">
        <v>650</v>
      </c>
      <c r="AQ28" s="394">
        <f>AR28+(POLLUSTOP!$G$43*1.15)</f>
        <v>9752.5</v>
      </c>
      <c r="AR28" s="930">
        <v>9407.5</v>
      </c>
      <c r="AS28" s="596">
        <v>8875</v>
      </c>
      <c r="AU28" s="830" t="s">
        <v>900</v>
      </c>
      <c r="AV28" s="827"/>
      <c r="AW28" s="828"/>
      <c r="AX28" s="929">
        <v>273.08780000000002</v>
      </c>
      <c r="AY28" s="601">
        <v>257.63</v>
      </c>
      <c r="BB28" s="830"/>
      <c r="BC28" s="830"/>
      <c r="BD28" s="822"/>
      <c r="BE28" s="815"/>
      <c r="BF28" s="166"/>
      <c r="BG28" s="165"/>
      <c r="BH28" s="165"/>
      <c r="BI28" s="165"/>
      <c r="BJ28" s="165"/>
      <c r="BK28" s="165"/>
      <c r="BL28" s="166"/>
      <c r="BM28" s="165"/>
      <c r="BN28" s="165"/>
      <c r="BO28" s="165"/>
      <c r="BP28" s="165"/>
      <c r="BQ28" s="831"/>
      <c r="BR28" s="831"/>
      <c r="BS28" s="831"/>
    </row>
    <row r="29" spans="1:71" ht="14.5" customHeight="1" x14ac:dyDescent="0.2">
      <c r="A29" s="393" t="s">
        <v>532</v>
      </c>
      <c r="B29" s="906">
        <v>116.60000000000001</v>
      </c>
      <c r="C29" s="598">
        <v>110</v>
      </c>
      <c r="E29" s="919" t="s">
        <v>1233</v>
      </c>
      <c r="F29" s="906">
        <v>376.3</v>
      </c>
      <c r="G29" s="598">
        <v>355</v>
      </c>
      <c r="H29" s="404"/>
      <c r="I29" s="405" t="s">
        <v>819</v>
      </c>
      <c r="J29" s="906">
        <v>2280.06</v>
      </c>
      <c r="K29" s="598">
        <v>2151</v>
      </c>
      <c r="M29" s="405" t="s">
        <v>881</v>
      </c>
      <c r="N29" s="394">
        <v>0</v>
      </c>
      <c r="Q29" s="405" t="s">
        <v>586</v>
      </c>
      <c r="R29" s="906">
        <v>793.94</v>
      </c>
      <c r="S29" s="598">
        <v>749</v>
      </c>
      <c r="T29" s="393">
        <f t="shared" si="4"/>
        <v>841.57640000000015</v>
      </c>
      <c r="U29" s="405" t="s">
        <v>843</v>
      </c>
      <c r="V29" s="923"/>
      <c r="W29" s="598"/>
      <c r="Y29" s="393" t="s">
        <v>393</v>
      </c>
      <c r="Z29" s="406" t="s">
        <v>285</v>
      </c>
      <c r="AA29" s="923">
        <v>8591.9784</v>
      </c>
      <c r="AB29" s="598">
        <v>8105.64</v>
      </c>
      <c r="AC29" s="395">
        <v>4</v>
      </c>
      <c r="AD29" s="406" t="s">
        <v>253</v>
      </c>
      <c r="AE29" s="395">
        <v>12</v>
      </c>
      <c r="AF29" s="396">
        <f>IF(AD29="S",AC29*#REF!*AE29,AC29*$AD$3*AE29)</f>
        <v>9.6000000000000014</v>
      </c>
      <c r="AJ29" s="1065"/>
      <c r="AK29" s="817" t="s">
        <v>1374</v>
      </c>
      <c r="AL29" s="817" t="s">
        <v>1375</v>
      </c>
      <c r="AM29" s="923">
        <v>1374.1734000000001</v>
      </c>
      <c r="AN29" s="596">
        <v>1296.3900000000001</v>
      </c>
      <c r="AO29" s="602"/>
      <c r="AP29" s="405" t="s">
        <v>651</v>
      </c>
      <c r="AQ29" s="394">
        <f>AR29+(POLLUSTOP!$G$43*1.15)</f>
        <v>11594.78</v>
      </c>
      <c r="AR29" s="930">
        <v>11249.78</v>
      </c>
      <c r="AS29" s="596">
        <v>10613</v>
      </c>
      <c r="AU29" s="830" t="s">
        <v>901</v>
      </c>
      <c r="AV29" s="827"/>
      <c r="AW29" s="828"/>
      <c r="AX29" s="929">
        <v>300.34039999999999</v>
      </c>
      <c r="AY29" s="601">
        <v>283.33999999999997</v>
      </c>
      <c r="BB29" s="830"/>
      <c r="BC29" s="830"/>
      <c r="BD29" s="822"/>
      <c r="BE29" s="815"/>
      <c r="BF29" s="166"/>
      <c r="BG29" s="165"/>
      <c r="BH29" s="165"/>
      <c r="BI29" s="165"/>
      <c r="BJ29" s="165"/>
      <c r="BK29" s="165"/>
      <c r="BL29" s="166"/>
      <c r="BM29" s="165"/>
      <c r="BN29" s="165"/>
      <c r="BO29" s="165"/>
      <c r="BP29" s="165"/>
      <c r="BQ29" s="831"/>
      <c r="BR29" s="831"/>
      <c r="BS29" s="831"/>
    </row>
    <row r="30" spans="1:71" ht="14.5" customHeight="1" x14ac:dyDescent="0.2">
      <c r="A30" s="393" t="s">
        <v>442</v>
      </c>
      <c r="E30" s="919" t="s">
        <v>1234</v>
      </c>
      <c r="F30" s="906">
        <v>940.22</v>
      </c>
      <c r="G30" s="598">
        <v>887</v>
      </c>
      <c r="H30" s="404"/>
      <c r="I30" s="405" t="s">
        <v>820</v>
      </c>
      <c r="J30" s="906">
        <v>2629.86</v>
      </c>
      <c r="K30" s="598">
        <v>2481</v>
      </c>
      <c r="Q30" s="405" t="s">
        <v>587</v>
      </c>
      <c r="R30" s="906">
        <v>877.68000000000006</v>
      </c>
      <c r="S30" s="598">
        <v>828</v>
      </c>
      <c r="T30" s="393">
        <f t="shared" si="4"/>
        <v>930.34080000000006</v>
      </c>
      <c r="U30" s="405" t="s">
        <v>837</v>
      </c>
      <c r="V30" s="923">
        <v>7201.18</v>
      </c>
      <c r="W30" s="598">
        <v>7024.67</v>
      </c>
      <c r="Y30" s="393" t="s">
        <v>394</v>
      </c>
      <c r="Z30" s="406" t="s">
        <v>286</v>
      </c>
      <c r="AA30" s="923">
        <v>1081.6451999999999</v>
      </c>
      <c r="AB30" s="598">
        <v>1020.42</v>
      </c>
      <c r="AC30" s="395">
        <v>6</v>
      </c>
      <c r="AD30" s="406" t="s">
        <v>251</v>
      </c>
      <c r="AE30" s="395">
        <v>1</v>
      </c>
      <c r="AF30" s="396">
        <f>IF(AD30="S",AC30*$AD$1*AE30,AC30*$AD$3*AE30)</f>
        <v>0.60000000000000009</v>
      </c>
      <c r="AJ30" s="1065"/>
      <c r="AK30" s="817" t="s">
        <v>1368</v>
      </c>
      <c r="AL30" s="817" t="s">
        <v>1377</v>
      </c>
      <c r="AM30" s="923">
        <v>281.43</v>
      </c>
      <c r="AN30" s="596">
        <v>265.5</v>
      </c>
      <c r="AO30" s="602"/>
      <c r="AP30" s="405" t="s">
        <v>652</v>
      </c>
      <c r="AQ30" s="394">
        <f>AR30+(POLLUSTOP!$G$44*1.15)</f>
        <v>13116.960000000001</v>
      </c>
      <c r="AR30" s="930">
        <v>13001.960000000001</v>
      </c>
      <c r="AS30" s="596">
        <v>12266</v>
      </c>
      <c r="AU30" s="830" t="s">
        <v>902</v>
      </c>
      <c r="AV30" s="827"/>
      <c r="AW30" s="828"/>
      <c r="AX30" s="929">
        <v>311.77780000000001</v>
      </c>
      <c r="AY30" s="601">
        <v>294.13</v>
      </c>
      <c r="BB30" s="830"/>
      <c r="BC30" s="830"/>
      <c r="BD30" s="822"/>
      <c r="BE30" s="815"/>
      <c r="BF30" s="166"/>
      <c r="BG30" s="165"/>
      <c r="BH30" s="165"/>
      <c r="BI30" s="165"/>
      <c r="BJ30" s="165"/>
      <c r="BK30" s="165"/>
      <c r="BL30" s="166"/>
      <c r="BM30" s="165"/>
      <c r="BN30" s="165"/>
      <c r="BO30" s="165"/>
      <c r="BP30" s="165"/>
      <c r="BQ30" s="831"/>
      <c r="BR30" s="831"/>
      <c r="BS30" s="831"/>
    </row>
    <row r="31" spans="1:71" ht="14.5" customHeight="1" x14ac:dyDescent="0.2">
      <c r="A31" s="393" t="s">
        <v>442</v>
      </c>
      <c r="E31" s="919" t="s">
        <v>1161</v>
      </c>
      <c r="F31" s="906">
        <v>943.40000000000009</v>
      </c>
      <c r="G31" s="598">
        <v>890</v>
      </c>
      <c r="H31" s="404"/>
      <c r="I31" s="405" t="s">
        <v>821</v>
      </c>
      <c r="J31" s="906">
        <v>2799.46</v>
      </c>
      <c r="K31" s="598">
        <v>2641</v>
      </c>
      <c r="M31" s="415" t="s">
        <v>131</v>
      </c>
      <c r="N31" s="415"/>
      <c r="O31" s="415"/>
      <c r="Q31" s="405" t="s">
        <v>588</v>
      </c>
      <c r="R31" s="906">
        <v>992.16000000000008</v>
      </c>
      <c r="S31" s="598">
        <v>936</v>
      </c>
      <c r="T31" s="393">
        <f t="shared" si="4"/>
        <v>1051.6896000000002</v>
      </c>
      <c r="U31" s="405" t="s">
        <v>851</v>
      </c>
      <c r="V31" s="923">
        <v>0</v>
      </c>
      <c r="W31" s="598">
        <v>0</v>
      </c>
      <c r="Y31" s="393" t="s">
        <v>395</v>
      </c>
      <c r="Z31" s="406" t="s">
        <v>287</v>
      </c>
      <c r="AA31" s="923">
        <v>1828.8710000000001</v>
      </c>
      <c r="AB31" s="598">
        <v>1725.35</v>
      </c>
      <c r="AC31" s="395">
        <v>6</v>
      </c>
      <c r="AD31" s="406" t="s">
        <v>251</v>
      </c>
      <c r="AE31" s="395">
        <v>2</v>
      </c>
      <c r="AF31" s="396">
        <f t="shared" ref="AF31:AF41" si="5">IF(AD31="S",AC31*$AD$1*AE31,AC31*$AD$3*AE31)</f>
        <v>1.2000000000000002</v>
      </c>
      <c r="AJ31" s="1065"/>
      <c r="AK31" s="393" t="s">
        <v>110</v>
      </c>
      <c r="AL31" s="817" t="s">
        <v>1376</v>
      </c>
      <c r="AM31" s="923">
        <v>69.37700000000001</v>
      </c>
      <c r="AN31" s="596">
        <v>65.45</v>
      </c>
      <c r="AO31" s="602"/>
      <c r="AP31" s="405"/>
      <c r="AU31" s="830" t="s">
        <v>903</v>
      </c>
      <c r="AV31" s="827"/>
      <c r="AW31" s="828"/>
      <c r="AX31" s="929">
        <v>353.49940000000004</v>
      </c>
      <c r="AY31" s="601">
        <v>333.49</v>
      </c>
      <c r="BB31" s="830"/>
      <c r="BC31" s="830"/>
      <c r="BD31" s="822"/>
      <c r="BE31" s="815"/>
      <c r="BF31" s="166"/>
      <c r="BG31" s="165"/>
      <c r="BH31" s="165"/>
      <c r="BI31" s="165"/>
      <c r="BJ31" s="165"/>
      <c r="BK31" s="165"/>
      <c r="BL31" s="166"/>
      <c r="BM31" s="165"/>
      <c r="BN31" s="165"/>
      <c r="BO31" s="165"/>
      <c r="BP31" s="165"/>
      <c r="BQ31" s="831"/>
      <c r="BR31" s="831"/>
      <c r="BS31" s="831"/>
    </row>
    <row r="32" spans="1:71" ht="14.5" customHeight="1" x14ac:dyDescent="0.2">
      <c r="A32" s="417" t="s">
        <v>353</v>
      </c>
      <c r="B32" s="418">
        <v>1</v>
      </c>
      <c r="C32" s="418"/>
      <c r="E32" s="919" t="s">
        <v>1235</v>
      </c>
      <c r="F32" s="906">
        <v>540.6</v>
      </c>
      <c r="G32" s="598">
        <v>510</v>
      </c>
      <c r="H32" s="404"/>
      <c r="M32" s="395">
        <v>1000</v>
      </c>
      <c r="N32" s="394" t="s">
        <v>121</v>
      </c>
      <c r="Q32" s="405" t="s">
        <v>589</v>
      </c>
      <c r="R32" s="906">
        <v>1055.76</v>
      </c>
      <c r="S32" s="598">
        <v>996</v>
      </c>
      <c r="T32" s="393">
        <f t="shared" si="4"/>
        <v>1119.1056000000001</v>
      </c>
      <c r="U32" s="405" t="s">
        <v>852</v>
      </c>
      <c r="V32" s="923">
        <v>7201.18</v>
      </c>
      <c r="W32" s="598">
        <v>7024.67</v>
      </c>
      <c r="Y32" s="393" t="s">
        <v>396</v>
      </c>
      <c r="Z32" s="406" t="s">
        <v>288</v>
      </c>
      <c r="AA32" s="923">
        <v>2576.0968000000003</v>
      </c>
      <c r="AB32" s="598">
        <v>2430.2800000000002</v>
      </c>
      <c r="AC32" s="395">
        <v>6</v>
      </c>
      <c r="AD32" s="406" t="s">
        <v>251</v>
      </c>
      <c r="AE32" s="395">
        <v>3</v>
      </c>
      <c r="AF32" s="396">
        <f t="shared" si="5"/>
        <v>1.8000000000000003</v>
      </c>
      <c r="AJ32" s="1065"/>
      <c r="AK32" s="817"/>
      <c r="AL32" s="817"/>
      <c r="AM32" s="923">
        <v>0</v>
      </c>
      <c r="AN32" s="596"/>
      <c r="AO32" s="602"/>
      <c r="AP32" s="423" t="s">
        <v>95</v>
      </c>
      <c r="AQ32" s="417"/>
      <c r="AR32" s="417"/>
      <c r="AS32" s="417"/>
      <c r="AU32" s="830" t="s">
        <v>903</v>
      </c>
      <c r="AV32" s="827"/>
      <c r="AW32" s="828"/>
      <c r="AX32" s="929">
        <v>485.16200000000003</v>
      </c>
      <c r="AY32" s="601">
        <v>457.7</v>
      </c>
      <c r="BB32" s="866"/>
      <c r="BC32" s="830"/>
      <c r="BD32" s="822"/>
      <c r="BE32" s="815"/>
      <c r="BF32" s="166"/>
      <c r="BG32" s="165"/>
      <c r="BH32" s="165"/>
      <c r="BI32" s="165"/>
      <c r="BJ32" s="165"/>
      <c r="BK32" s="165"/>
      <c r="BL32" s="166"/>
      <c r="BM32" s="165"/>
      <c r="BN32" s="165"/>
      <c r="BO32" s="165"/>
      <c r="BP32" s="165"/>
      <c r="BQ32" s="831"/>
      <c r="BR32" s="831"/>
      <c r="BS32" s="831"/>
    </row>
    <row r="33" spans="1:71" ht="14.5" customHeight="1" x14ac:dyDescent="0.2">
      <c r="A33" s="405" t="s">
        <v>354</v>
      </c>
      <c r="B33" s="401">
        <v>0</v>
      </c>
      <c r="C33" s="401"/>
      <c r="E33" s="919" t="s">
        <v>1147</v>
      </c>
      <c r="F33" s="906">
        <v>938.1</v>
      </c>
      <c r="G33" s="598">
        <v>885</v>
      </c>
      <c r="H33" s="404"/>
      <c r="I33" s="415" t="s">
        <v>87</v>
      </c>
      <c r="J33" s="415"/>
      <c r="K33" s="415"/>
      <c r="M33" s="395">
        <v>1250</v>
      </c>
      <c r="N33" s="394" t="s">
        <v>122</v>
      </c>
      <c r="Q33" s="405" t="s">
        <v>579</v>
      </c>
      <c r="R33" s="906">
        <v>390.08000000000004</v>
      </c>
      <c r="S33" s="598">
        <v>368</v>
      </c>
      <c r="T33" s="393">
        <f t="shared" si="4"/>
        <v>413.48480000000006</v>
      </c>
      <c r="U33" s="405" t="s">
        <v>841</v>
      </c>
      <c r="V33" s="923"/>
      <c r="W33" s="598"/>
      <c r="Y33" s="393" t="s">
        <v>397</v>
      </c>
      <c r="Z33" s="406" t="s">
        <v>289</v>
      </c>
      <c r="AA33" s="923">
        <v>3323.3226000000004</v>
      </c>
      <c r="AB33" s="598">
        <v>3135.21</v>
      </c>
      <c r="AC33" s="395">
        <v>6</v>
      </c>
      <c r="AD33" s="406" t="s">
        <v>251</v>
      </c>
      <c r="AE33" s="395">
        <v>4</v>
      </c>
      <c r="AF33" s="396">
        <f t="shared" si="5"/>
        <v>2.4000000000000004</v>
      </c>
      <c r="AJ33" s="1065"/>
      <c r="AK33" s="817" t="s">
        <v>1349</v>
      </c>
      <c r="AL33" s="817"/>
      <c r="AM33" s="923">
        <v>50</v>
      </c>
      <c r="AN33" s="596">
        <v>50</v>
      </c>
      <c r="AO33" s="602"/>
      <c r="AP33" s="414" t="s">
        <v>80</v>
      </c>
      <c r="AQ33" s="394">
        <v>0</v>
      </c>
      <c r="AR33" s="908"/>
      <c r="AS33" s="908"/>
      <c r="AU33" s="830" t="s">
        <v>904</v>
      </c>
      <c r="AV33" s="827"/>
      <c r="AW33" s="828"/>
      <c r="AX33" s="929">
        <v>543.89660000000003</v>
      </c>
      <c r="AY33" s="601">
        <v>513.11</v>
      </c>
      <c r="BB33" s="830"/>
      <c r="BC33" s="830"/>
      <c r="BD33" s="822"/>
      <c r="BE33" s="815"/>
      <c r="BF33" s="166"/>
      <c r="BG33" s="165"/>
      <c r="BH33" s="165"/>
      <c r="BI33" s="165"/>
      <c r="BJ33" s="165"/>
      <c r="BK33" s="165"/>
      <c r="BL33" s="165"/>
      <c r="BM33" s="165"/>
      <c r="BN33" s="165"/>
      <c r="BO33" s="165"/>
      <c r="BP33" s="165"/>
      <c r="BQ33" s="831"/>
      <c r="BR33" s="831"/>
      <c r="BS33" s="831"/>
    </row>
    <row r="34" spans="1:71" ht="14.5" customHeight="1" x14ac:dyDescent="0.2">
      <c r="A34" s="405" t="s">
        <v>355</v>
      </c>
      <c r="B34" s="401">
        <v>0</v>
      </c>
      <c r="C34" s="401"/>
      <c r="E34" s="919" t="s">
        <v>1236</v>
      </c>
      <c r="F34" s="906">
        <v>478.06</v>
      </c>
      <c r="G34" s="598">
        <v>451</v>
      </c>
      <c r="H34" s="404"/>
      <c r="I34" s="393" t="s">
        <v>86</v>
      </c>
      <c r="J34" s="906">
        <v>429.3</v>
      </c>
      <c r="K34" s="598">
        <v>405</v>
      </c>
      <c r="M34" s="395">
        <v>1500</v>
      </c>
      <c r="N34" s="394" t="s">
        <v>122</v>
      </c>
      <c r="S34" s="394"/>
      <c r="U34" s="405" t="s">
        <v>842</v>
      </c>
      <c r="V34" s="923"/>
      <c r="W34" s="598"/>
      <c r="Y34" s="393" t="s">
        <v>398</v>
      </c>
      <c r="Z34" s="406" t="s">
        <v>290</v>
      </c>
      <c r="AA34" s="923">
        <v>4070.5484000000001</v>
      </c>
      <c r="AB34" s="598">
        <v>3840.14</v>
      </c>
      <c r="AC34" s="395">
        <v>6</v>
      </c>
      <c r="AD34" s="406" t="s">
        <v>251</v>
      </c>
      <c r="AE34" s="395">
        <v>5</v>
      </c>
      <c r="AF34" s="396">
        <f t="shared" si="5"/>
        <v>3.0000000000000004</v>
      </c>
      <c r="AJ34" s="1065"/>
      <c r="AK34" s="817" t="s">
        <v>1378</v>
      </c>
      <c r="AM34" s="923">
        <v>362.65780000000001</v>
      </c>
      <c r="AN34" s="596">
        <v>342.13</v>
      </c>
      <c r="AO34" s="602"/>
      <c r="AP34" s="414" t="s">
        <v>653</v>
      </c>
      <c r="AQ34" s="394">
        <f>(POLLUSTOP!$G$39*0.79)+AR34</f>
        <v>1933.37</v>
      </c>
      <c r="AR34" s="930">
        <v>708.08</v>
      </c>
      <c r="AS34" s="596">
        <v>668</v>
      </c>
      <c r="AU34" s="830" t="s">
        <v>905</v>
      </c>
      <c r="AV34" s="827"/>
      <c r="AW34" s="828"/>
      <c r="AX34" s="929">
        <v>809.4054000000001</v>
      </c>
      <c r="AY34" s="601">
        <v>763.59</v>
      </c>
      <c r="BB34" s="830"/>
      <c r="BC34" s="830"/>
      <c r="BD34" s="822"/>
      <c r="BE34" s="815"/>
      <c r="BF34" s="166"/>
      <c r="BG34" s="165"/>
      <c r="BH34" s="165"/>
      <c r="BI34" s="165"/>
      <c r="BJ34" s="165"/>
      <c r="BK34" s="165"/>
      <c r="BL34" s="165"/>
      <c r="BM34" s="165"/>
      <c r="BN34" s="165"/>
      <c r="BO34" s="165"/>
      <c r="BP34" s="165"/>
      <c r="BQ34" s="831"/>
      <c r="BR34" s="831"/>
      <c r="BS34" s="831"/>
    </row>
    <row r="35" spans="1:71" ht="14.5" customHeight="1" x14ac:dyDescent="0.2">
      <c r="A35" s="405" t="s">
        <v>520</v>
      </c>
      <c r="B35" s="401">
        <v>0</v>
      </c>
      <c r="C35" s="401"/>
      <c r="E35" s="919" t="s">
        <v>1162</v>
      </c>
      <c r="F35" s="906">
        <v>901</v>
      </c>
      <c r="G35" s="598">
        <v>850</v>
      </c>
      <c r="H35" s="404"/>
      <c r="I35" s="393" t="s">
        <v>83</v>
      </c>
      <c r="J35" s="906">
        <v>430.36</v>
      </c>
      <c r="K35" s="598">
        <v>406</v>
      </c>
      <c r="M35" s="395">
        <v>1750</v>
      </c>
      <c r="N35" s="394" t="s">
        <v>123</v>
      </c>
      <c r="Q35" s="415" t="s">
        <v>719</v>
      </c>
      <c r="R35" s="415">
        <v>0</v>
      </c>
      <c r="S35" s="415">
        <v>0</v>
      </c>
      <c r="U35" s="405" t="s">
        <v>843</v>
      </c>
      <c r="V35" s="923"/>
      <c r="W35" s="598"/>
      <c r="Y35" s="393" t="s">
        <v>399</v>
      </c>
      <c r="Z35" s="406" t="s">
        <v>291</v>
      </c>
      <c r="AA35" s="923">
        <v>4817.7741999999998</v>
      </c>
      <c r="AB35" s="598">
        <v>4545.07</v>
      </c>
      <c r="AC35" s="395">
        <v>6</v>
      </c>
      <c r="AD35" s="406" t="s">
        <v>251</v>
      </c>
      <c r="AE35" s="395">
        <v>6</v>
      </c>
      <c r="AF35" s="396">
        <f t="shared" si="5"/>
        <v>3.6000000000000005</v>
      </c>
      <c r="AJ35" s="1065"/>
      <c r="AM35" s="1067">
        <v>0</v>
      </c>
      <c r="AN35" s="596">
        <v>0</v>
      </c>
      <c r="AO35" s="602"/>
      <c r="AP35" s="414" t="s">
        <v>654</v>
      </c>
      <c r="AQ35" s="394">
        <f>AR35+(POLLUSTOP!$G$40*0.79)</f>
        <v>1373.5</v>
      </c>
      <c r="AR35" s="930">
        <v>913.72</v>
      </c>
      <c r="AS35" s="596">
        <v>862</v>
      </c>
      <c r="AU35" s="830" t="s">
        <v>906</v>
      </c>
      <c r="AV35" s="827"/>
      <c r="AW35" s="828"/>
      <c r="AX35" s="929">
        <v>593.1866</v>
      </c>
      <c r="AY35" s="601">
        <v>559.61</v>
      </c>
      <c r="BB35" s="830"/>
      <c r="BC35" s="830"/>
      <c r="BD35" s="822"/>
      <c r="BE35" s="815"/>
      <c r="BF35" s="166"/>
      <c r="BG35" s="165"/>
      <c r="BH35" s="165"/>
      <c r="BI35" s="165"/>
      <c r="BJ35" s="165"/>
      <c r="BK35" s="165"/>
      <c r="BL35" s="165"/>
      <c r="BM35" s="165"/>
      <c r="BN35" s="165"/>
      <c r="BO35" s="165"/>
      <c r="BP35" s="165"/>
      <c r="BQ35" s="831"/>
      <c r="BR35" s="831"/>
      <c r="BS35" s="831"/>
    </row>
    <row r="36" spans="1:71" ht="14.5" customHeight="1" x14ac:dyDescent="0.2">
      <c r="A36" s="405"/>
      <c r="B36" s="401">
        <v>0</v>
      </c>
      <c r="C36" s="401"/>
      <c r="E36" s="919" t="s">
        <v>1237</v>
      </c>
      <c r="F36" s="906">
        <v>672.04000000000008</v>
      </c>
      <c r="G36" s="598">
        <v>634</v>
      </c>
      <c r="H36" s="404"/>
      <c r="I36" s="393" t="s">
        <v>84</v>
      </c>
      <c r="J36" s="906">
        <v>327.54000000000002</v>
      </c>
      <c r="K36" s="598">
        <v>309</v>
      </c>
      <c r="M36" s="395">
        <v>2000</v>
      </c>
      <c r="N36" s="394" t="s">
        <v>123</v>
      </c>
      <c r="Q36" s="452" t="s">
        <v>594</v>
      </c>
      <c r="R36" s="906">
        <v>778.33680000000004</v>
      </c>
      <c r="S36" s="598">
        <v>734.28</v>
      </c>
      <c r="T36" s="393">
        <f>R36*1.06</f>
        <v>825.03700800000013</v>
      </c>
      <c r="U36" s="405" t="s">
        <v>838</v>
      </c>
      <c r="V36" s="923">
        <v>8354.61</v>
      </c>
      <c r="W36" s="598">
        <v>8151.82</v>
      </c>
      <c r="Y36" s="393" t="s">
        <v>400</v>
      </c>
      <c r="Z36" s="406" t="s">
        <v>292</v>
      </c>
      <c r="AA36" s="923">
        <v>5565</v>
      </c>
      <c r="AB36" s="598">
        <v>5250</v>
      </c>
      <c r="AC36" s="395">
        <v>6</v>
      </c>
      <c r="AD36" s="406" t="s">
        <v>251</v>
      </c>
      <c r="AE36" s="395">
        <v>7</v>
      </c>
      <c r="AF36" s="396">
        <f t="shared" si="5"/>
        <v>4.2000000000000011</v>
      </c>
      <c r="AJ36" s="1065"/>
      <c r="AM36" s="1067">
        <v>0</v>
      </c>
      <c r="AN36" s="596">
        <v>0</v>
      </c>
      <c r="AO36" s="602"/>
      <c r="AP36" s="414" t="s">
        <v>655</v>
      </c>
      <c r="AQ36" s="394">
        <f>AR36+(POLLUSTOP!$G$41*0.79)</f>
        <v>1029.26</v>
      </c>
      <c r="AR36" s="930">
        <v>1029.26</v>
      </c>
      <c r="AS36" s="596">
        <v>971</v>
      </c>
      <c r="AU36" s="830" t="s">
        <v>907</v>
      </c>
      <c r="AV36" s="827"/>
      <c r="AW36" s="828"/>
      <c r="AX36" s="929">
        <v>620.43920000000003</v>
      </c>
      <c r="AY36" s="601">
        <v>585.32000000000005</v>
      </c>
      <c r="BB36" s="830"/>
      <c r="BC36" s="830"/>
      <c r="BD36" s="822"/>
      <c r="BE36" s="815"/>
      <c r="BF36" s="166"/>
      <c r="BG36" s="165"/>
      <c r="BH36" s="165"/>
      <c r="BI36" s="165"/>
      <c r="BJ36" s="165"/>
      <c r="BK36" s="165"/>
      <c r="BL36" s="165"/>
      <c r="BM36" s="165"/>
      <c r="BN36" s="165"/>
      <c r="BO36" s="165"/>
      <c r="BP36" s="165"/>
      <c r="BQ36" s="831"/>
      <c r="BR36" s="831"/>
      <c r="BS36" s="831"/>
    </row>
    <row r="37" spans="1:71" ht="14.5" customHeight="1" x14ac:dyDescent="0.2">
      <c r="A37" s="405" t="s">
        <v>521</v>
      </c>
      <c r="B37" s="400">
        <v>0</v>
      </c>
      <c r="C37" s="400"/>
      <c r="E37" s="919" t="s">
        <v>1153</v>
      </c>
      <c r="F37" s="906">
        <v>540.6</v>
      </c>
      <c r="G37" s="598">
        <v>510</v>
      </c>
      <c r="H37" s="404"/>
      <c r="I37" s="393" t="s">
        <v>85</v>
      </c>
      <c r="J37" s="906">
        <v>604.20000000000005</v>
      </c>
      <c r="K37" s="598">
        <v>570</v>
      </c>
      <c r="M37" s="395">
        <v>2250</v>
      </c>
      <c r="N37" s="394" t="s">
        <v>124</v>
      </c>
      <c r="Q37" s="452" t="s">
        <v>596</v>
      </c>
      <c r="R37" s="906">
        <v>873.94880000000012</v>
      </c>
      <c r="S37" s="598">
        <v>824.48</v>
      </c>
      <c r="T37" s="393">
        <f t="shared" ref="T37:T45" si="6">R37*1.06</f>
        <v>926.3857280000002</v>
      </c>
      <c r="U37" s="405" t="s">
        <v>853</v>
      </c>
      <c r="V37" s="923">
        <v>0</v>
      </c>
      <c r="W37" s="598">
        <v>0</v>
      </c>
      <c r="Y37" s="393" t="s">
        <v>401</v>
      </c>
      <c r="Z37" s="406" t="s">
        <v>293</v>
      </c>
      <c r="AA37" s="923">
        <v>6312.2258000000011</v>
      </c>
      <c r="AB37" s="598">
        <v>5954.93</v>
      </c>
      <c r="AC37" s="395">
        <v>6</v>
      </c>
      <c r="AD37" s="406" t="s">
        <v>251</v>
      </c>
      <c r="AE37" s="395">
        <v>8</v>
      </c>
      <c r="AF37" s="396">
        <f t="shared" si="5"/>
        <v>4.8000000000000007</v>
      </c>
      <c r="AJ37" s="1065"/>
      <c r="AK37" s="405" t="s">
        <v>1407</v>
      </c>
      <c r="AL37" s="405"/>
      <c r="AM37" s="923">
        <v>53</v>
      </c>
      <c r="AN37" s="596">
        <v>50</v>
      </c>
      <c r="AO37" s="602"/>
      <c r="AP37" s="414" t="s">
        <v>656</v>
      </c>
      <c r="AQ37" s="394">
        <f>AR37+(POLLUSTOP!$G$41*0.79)</f>
        <v>1103.46</v>
      </c>
      <c r="AR37" s="930">
        <v>1103.46</v>
      </c>
      <c r="AS37" s="596">
        <v>1041</v>
      </c>
      <c r="AU37" s="830" t="s">
        <v>908</v>
      </c>
      <c r="AV37" s="827"/>
      <c r="AW37" s="828"/>
      <c r="AX37" s="929">
        <v>631.87660000000005</v>
      </c>
      <c r="AY37" s="601">
        <v>596.11</v>
      </c>
      <c r="BB37" s="830"/>
      <c r="BC37" s="835"/>
      <c r="BD37" s="831"/>
      <c r="BE37" s="831"/>
      <c r="BF37" s="831"/>
      <c r="BG37" s="831"/>
      <c r="BH37" s="831"/>
      <c r="BI37" s="831"/>
      <c r="BJ37" s="831"/>
      <c r="BK37" s="831"/>
      <c r="BL37" s="831"/>
      <c r="BM37" s="831"/>
      <c r="BN37" s="831"/>
      <c r="BO37" s="831"/>
      <c r="BP37" s="831"/>
      <c r="BQ37" s="831"/>
      <c r="BR37" s="831"/>
      <c r="BS37" s="831"/>
    </row>
    <row r="38" spans="1:71" ht="14.5" customHeight="1" x14ac:dyDescent="0.2">
      <c r="E38" s="919" t="s">
        <v>1238</v>
      </c>
      <c r="F38" s="906">
        <v>578.76</v>
      </c>
      <c r="G38" s="598">
        <v>546</v>
      </c>
      <c r="H38" s="404"/>
      <c r="M38" s="395">
        <v>2500</v>
      </c>
      <c r="N38" s="394" t="s">
        <v>125</v>
      </c>
      <c r="Q38" s="452" t="s">
        <v>598</v>
      </c>
      <c r="R38" s="906">
        <v>1152.8453999999999</v>
      </c>
      <c r="S38" s="598">
        <v>1087.5899999999999</v>
      </c>
      <c r="T38" s="393">
        <f t="shared" si="6"/>
        <v>1222.016124</v>
      </c>
      <c r="U38" s="405" t="s">
        <v>854</v>
      </c>
      <c r="V38" s="923">
        <v>8354.61</v>
      </c>
      <c r="W38" s="598">
        <v>8151.82</v>
      </c>
      <c r="Y38" s="393" t="s">
        <v>402</v>
      </c>
      <c r="Z38" s="406" t="s">
        <v>294</v>
      </c>
      <c r="AA38" s="923">
        <v>7059.4516000000003</v>
      </c>
      <c r="AB38" s="598">
        <v>6659.86</v>
      </c>
      <c r="AC38" s="395">
        <v>6</v>
      </c>
      <c r="AD38" s="406" t="s">
        <v>251</v>
      </c>
      <c r="AE38" s="395">
        <v>9</v>
      </c>
      <c r="AF38" s="396">
        <f t="shared" si="5"/>
        <v>5.4</v>
      </c>
      <c r="AJ38" s="1065"/>
      <c r="AP38" s="414" t="s">
        <v>657</v>
      </c>
      <c r="AQ38" s="394">
        <f>AR38+(POLLUSTOP!$G$42*0.79)</f>
        <v>1232.78</v>
      </c>
      <c r="AR38" s="930">
        <v>1232.78</v>
      </c>
      <c r="AS38" s="596">
        <v>1163</v>
      </c>
      <c r="AU38" s="830" t="s">
        <v>909</v>
      </c>
      <c r="AV38" s="827"/>
      <c r="AW38" s="828"/>
      <c r="AX38" s="929">
        <v>673.59820000000002</v>
      </c>
      <c r="AY38" s="601">
        <v>635.47</v>
      </c>
      <c r="BB38" s="830"/>
      <c r="BC38" s="835"/>
      <c r="BD38" s="831"/>
      <c r="BE38" s="831"/>
      <c r="BF38" s="831"/>
      <c r="BG38" s="831"/>
      <c r="BH38" s="831"/>
      <c r="BI38" s="831"/>
      <c r="BJ38" s="831"/>
      <c r="BK38" s="831"/>
      <c r="BL38" s="831"/>
      <c r="BM38" s="831"/>
      <c r="BN38" s="831"/>
      <c r="BO38" s="831"/>
      <c r="BP38" s="831"/>
      <c r="BQ38" s="831"/>
      <c r="BR38" s="831"/>
      <c r="BS38" s="831"/>
    </row>
    <row r="39" spans="1:71" ht="14.5" customHeight="1" x14ac:dyDescent="0.2">
      <c r="A39" s="417" t="s">
        <v>135</v>
      </c>
      <c r="B39" s="418" t="s">
        <v>343</v>
      </c>
      <c r="C39" s="418" t="s">
        <v>1390</v>
      </c>
      <c r="E39" s="919" t="s">
        <v>1239</v>
      </c>
      <c r="F39" s="906">
        <v>218.36</v>
      </c>
      <c r="G39" s="598">
        <v>206</v>
      </c>
      <c r="H39" s="404"/>
      <c r="I39" s="415" t="s">
        <v>712</v>
      </c>
      <c r="J39" s="415"/>
      <c r="K39" s="415"/>
      <c r="M39" s="395">
        <v>2750</v>
      </c>
      <c r="N39" s="394" t="s">
        <v>125</v>
      </c>
      <c r="Q39" s="452" t="s">
        <v>600</v>
      </c>
      <c r="R39" s="906">
        <v>1183.3522</v>
      </c>
      <c r="S39" s="598">
        <v>1116.3699999999999</v>
      </c>
      <c r="T39" s="393">
        <f t="shared" si="6"/>
        <v>1254.3533320000001</v>
      </c>
      <c r="U39" s="405" t="s">
        <v>841</v>
      </c>
      <c r="V39" s="923"/>
      <c r="W39" s="598"/>
      <c r="Y39" s="393" t="s">
        <v>403</v>
      </c>
      <c r="Z39" s="406" t="s">
        <v>295</v>
      </c>
      <c r="AA39" s="923">
        <v>7806.6774000000005</v>
      </c>
      <c r="AB39" s="598">
        <v>7364.79</v>
      </c>
      <c r="AC39" s="395">
        <v>6</v>
      </c>
      <c r="AD39" s="406" t="s">
        <v>251</v>
      </c>
      <c r="AE39" s="395">
        <v>10</v>
      </c>
      <c r="AF39" s="396">
        <f t="shared" si="5"/>
        <v>6.0000000000000009</v>
      </c>
      <c r="AJ39" s="1065"/>
      <c r="AP39" s="414" t="s">
        <v>658</v>
      </c>
      <c r="AQ39" s="394">
        <f>AR39+(POLLUSTOP!$G$42*0.79)</f>
        <v>1323.94</v>
      </c>
      <c r="AR39" s="930">
        <v>1323.94</v>
      </c>
      <c r="AS39" s="596">
        <v>1249</v>
      </c>
      <c r="AU39" s="830" t="s">
        <v>909</v>
      </c>
      <c r="AV39" s="827"/>
      <c r="AW39" s="828"/>
      <c r="AX39" s="929">
        <v>801.02080000000001</v>
      </c>
      <c r="AY39" s="601">
        <v>755.68</v>
      </c>
      <c r="BB39" s="830"/>
      <c r="BC39" s="835"/>
      <c r="BD39" s="831"/>
      <c r="BE39" s="831"/>
      <c r="BF39" s="831"/>
      <c r="BG39" s="831"/>
      <c r="BH39" s="831"/>
      <c r="BI39" s="831"/>
      <c r="BJ39" s="831"/>
      <c r="BK39" s="831"/>
      <c r="BL39" s="831"/>
      <c r="BM39" s="831"/>
      <c r="BN39" s="831"/>
      <c r="BO39" s="831"/>
      <c r="BP39" s="831"/>
      <c r="BQ39" s="831"/>
      <c r="BR39" s="831"/>
      <c r="BS39" s="831"/>
    </row>
    <row r="40" spans="1:71" ht="14.5" customHeight="1" x14ac:dyDescent="0.2">
      <c r="A40" s="405" t="s">
        <v>191</v>
      </c>
      <c r="B40" s="401" t="s">
        <v>89</v>
      </c>
      <c r="C40" s="401" t="s">
        <v>1390</v>
      </c>
      <c r="E40" s="919" t="s">
        <v>1240</v>
      </c>
      <c r="F40" s="906">
        <v>858.6</v>
      </c>
      <c r="G40" s="598">
        <v>810</v>
      </c>
      <c r="H40" s="404"/>
      <c r="I40" s="405" t="s">
        <v>713</v>
      </c>
      <c r="J40" s="906">
        <v>687.00720000000001</v>
      </c>
      <c r="K40" s="598">
        <v>648.12</v>
      </c>
      <c r="M40" s="395">
        <v>3000</v>
      </c>
      <c r="N40" s="394" t="s">
        <v>125</v>
      </c>
      <c r="Q40" s="452" t="s">
        <v>601</v>
      </c>
      <c r="R40" s="906">
        <v>1317.4104</v>
      </c>
      <c r="S40" s="598">
        <v>1242.8399999999999</v>
      </c>
      <c r="T40" s="393">
        <f t="shared" si="6"/>
        <v>1396.4550240000001</v>
      </c>
      <c r="U40" s="405" t="s">
        <v>842</v>
      </c>
      <c r="V40" s="923"/>
      <c r="W40" s="598"/>
      <c r="Y40" s="393" t="s">
        <v>404</v>
      </c>
      <c r="Z40" s="406" t="s">
        <v>296</v>
      </c>
      <c r="AA40" s="923">
        <v>8553.9032000000007</v>
      </c>
      <c r="AB40" s="598">
        <v>8069.72</v>
      </c>
      <c r="AC40" s="395">
        <v>6</v>
      </c>
      <c r="AD40" s="406" t="s">
        <v>251</v>
      </c>
      <c r="AE40" s="395">
        <v>11</v>
      </c>
      <c r="AF40" s="396">
        <f t="shared" si="5"/>
        <v>6.6000000000000014</v>
      </c>
      <c r="AJ40" s="1065"/>
      <c r="AK40" s="417" t="s">
        <v>111</v>
      </c>
      <c r="AL40" s="417" t="s">
        <v>112</v>
      </c>
      <c r="AM40" s="417"/>
      <c r="AP40" s="414" t="s">
        <v>659</v>
      </c>
      <c r="AQ40" s="394">
        <f>AR40+(POLLUSTOP!$G$43*0.79)</f>
        <v>1577.9</v>
      </c>
      <c r="AR40" s="930">
        <v>1340.9</v>
      </c>
      <c r="AS40" s="596">
        <v>1265</v>
      </c>
      <c r="AU40" s="830" t="s">
        <v>910</v>
      </c>
      <c r="AV40" s="827"/>
      <c r="AW40" s="828"/>
      <c r="AX40" s="929">
        <v>863.99540000000013</v>
      </c>
      <c r="AY40" s="601">
        <v>815.09</v>
      </c>
      <c r="BB40" s="830"/>
    </row>
    <row r="41" spans="1:71" ht="14.5" customHeight="1" x14ac:dyDescent="0.2">
      <c r="A41" s="405" t="s">
        <v>767</v>
      </c>
      <c r="B41" s="401" t="s">
        <v>89</v>
      </c>
      <c r="C41" s="401" t="s">
        <v>1390</v>
      </c>
      <c r="E41" s="919" t="s">
        <v>1241</v>
      </c>
      <c r="F41" s="906">
        <v>633.88</v>
      </c>
      <c r="G41" s="598">
        <v>598</v>
      </c>
      <c r="H41" s="404"/>
      <c r="I41" s="405" t="s">
        <v>714</v>
      </c>
      <c r="J41" s="906">
        <v>894.02520000000004</v>
      </c>
      <c r="K41" s="598">
        <v>843.42</v>
      </c>
      <c r="M41" s="395">
        <v>1000</v>
      </c>
      <c r="N41" s="394" t="s">
        <v>805</v>
      </c>
      <c r="O41" s="393"/>
      <c r="Q41" s="452" t="s">
        <v>595</v>
      </c>
      <c r="R41" s="906">
        <v>1102.1562000000001</v>
      </c>
      <c r="S41" s="598">
        <v>1039.77</v>
      </c>
      <c r="T41" s="393">
        <f t="shared" si="6"/>
        <v>1168.2855720000002</v>
      </c>
      <c r="U41" s="405" t="s">
        <v>843</v>
      </c>
      <c r="V41" s="923"/>
      <c r="W41" s="598"/>
      <c r="Y41" s="393" t="s">
        <v>405</v>
      </c>
      <c r="Z41" s="406" t="s">
        <v>297</v>
      </c>
      <c r="AA41" s="923">
        <v>9301.1290000000008</v>
      </c>
      <c r="AB41" s="598">
        <v>8774.65</v>
      </c>
      <c r="AC41" s="395">
        <v>6</v>
      </c>
      <c r="AD41" s="406" t="s">
        <v>251</v>
      </c>
      <c r="AE41" s="395">
        <v>12</v>
      </c>
      <c r="AF41" s="396">
        <f t="shared" si="5"/>
        <v>7.2000000000000011</v>
      </c>
      <c r="AJ41" s="1065"/>
      <c r="AK41" s="393" t="s">
        <v>117</v>
      </c>
      <c r="AL41" s="817" t="s">
        <v>1379</v>
      </c>
      <c r="AM41" s="923">
        <v>226.84</v>
      </c>
      <c r="AN41" s="596">
        <v>214</v>
      </c>
      <c r="AO41" s="602"/>
      <c r="AP41" s="414" t="s">
        <v>660</v>
      </c>
      <c r="AQ41" s="394">
        <f>AR41+(POLLUSTOP!$G$43*0.79)</f>
        <v>1830.18</v>
      </c>
      <c r="AR41" s="930">
        <v>1593.18</v>
      </c>
      <c r="AS41" s="596">
        <v>1503</v>
      </c>
      <c r="AU41" s="830" t="s">
        <v>911</v>
      </c>
      <c r="AV41" s="827"/>
      <c r="AW41" s="828"/>
      <c r="AX41" s="929">
        <v>1129.5042000000001</v>
      </c>
      <c r="AY41" s="601">
        <v>1065.57</v>
      </c>
      <c r="BB41" s="830"/>
    </row>
    <row r="42" spans="1:71" ht="14.5" customHeight="1" x14ac:dyDescent="0.2">
      <c r="A42" s="405" t="s">
        <v>136</v>
      </c>
      <c r="B42" s="401" t="s">
        <v>89</v>
      </c>
      <c r="C42" s="401" t="s">
        <v>1390</v>
      </c>
      <c r="E42" s="919" t="s">
        <v>1242</v>
      </c>
      <c r="F42" s="906">
        <v>477</v>
      </c>
      <c r="G42" s="598">
        <v>450</v>
      </c>
      <c r="H42" s="404"/>
      <c r="I42" s="405" t="s">
        <v>717</v>
      </c>
      <c r="J42" s="906">
        <v>1228.01</v>
      </c>
      <c r="K42" s="598">
        <v>1158.5</v>
      </c>
      <c r="M42" s="395">
        <v>1250</v>
      </c>
      <c r="N42" s="394" t="s">
        <v>805</v>
      </c>
      <c r="Q42" s="452" t="s">
        <v>597</v>
      </c>
      <c r="R42" s="906">
        <v>1281.1584000000003</v>
      </c>
      <c r="S42" s="598">
        <v>1208.6400000000001</v>
      </c>
      <c r="T42" s="393">
        <f t="shared" si="6"/>
        <v>1358.0279040000003</v>
      </c>
      <c r="U42" s="405"/>
      <c r="V42" s="923"/>
      <c r="W42" s="598"/>
      <c r="Y42" s="393" t="s">
        <v>406</v>
      </c>
      <c r="Z42" s="406" t="s">
        <v>298</v>
      </c>
      <c r="AA42" s="923">
        <v>1123.3456000000001</v>
      </c>
      <c r="AB42" s="598">
        <v>1059.76</v>
      </c>
      <c r="AC42" s="395">
        <v>6</v>
      </c>
      <c r="AD42" s="406" t="s">
        <v>253</v>
      </c>
      <c r="AE42" s="395">
        <v>1</v>
      </c>
      <c r="AF42" s="396">
        <f>IF(AD42="S",AC42*#REF!*AE42,AC42*$AD$3*AE42)</f>
        <v>1.2000000000000002</v>
      </c>
      <c r="AJ42" s="1065"/>
      <c r="AK42" s="393" t="s">
        <v>536</v>
      </c>
      <c r="AL42" s="393" t="s">
        <v>459</v>
      </c>
      <c r="AM42" s="923">
        <v>2.0670000000000002</v>
      </c>
      <c r="AN42" s="596">
        <v>1.95</v>
      </c>
      <c r="AO42" s="602"/>
      <c r="AP42" s="414" t="s">
        <v>661</v>
      </c>
      <c r="AQ42" s="394">
        <f>AR42+(POLLUSTOP!$G$43*0.79)</f>
        <v>1986</v>
      </c>
      <c r="AR42" s="930">
        <v>1749</v>
      </c>
      <c r="AS42" s="596">
        <v>1650</v>
      </c>
      <c r="AU42" s="830" t="s">
        <v>912</v>
      </c>
      <c r="AV42" s="827"/>
      <c r="AW42" s="828"/>
      <c r="AX42" s="929">
        <v>699.03820000000007</v>
      </c>
      <c r="AY42" s="601">
        <v>659.47</v>
      </c>
      <c r="BB42" s="830"/>
    </row>
    <row r="43" spans="1:71" ht="14.5" customHeight="1" x14ac:dyDescent="0.2">
      <c r="A43" s="405" t="s">
        <v>137</v>
      </c>
      <c r="B43" s="401" t="s">
        <v>89</v>
      </c>
      <c r="C43" s="401" t="s">
        <v>1390</v>
      </c>
      <c r="E43" s="919" t="s">
        <v>1136</v>
      </c>
      <c r="F43" s="906">
        <v>598.9</v>
      </c>
      <c r="G43" s="598">
        <v>565</v>
      </c>
      <c r="H43" s="404"/>
      <c r="I43" s="405" t="s">
        <v>716</v>
      </c>
      <c r="J43" s="906">
        <v>1241.5038000000002</v>
      </c>
      <c r="K43" s="598">
        <v>1171.23</v>
      </c>
      <c r="M43" s="395">
        <v>1500</v>
      </c>
      <c r="N43" s="394" t="s">
        <v>805</v>
      </c>
      <c r="Q43" s="452" t="s">
        <v>599</v>
      </c>
      <c r="R43" s="906">
        <v>1826.7192</v>
      </c>
      <c r="S43" s="598">
        <v>1723.32</v>
      </c>
      <c r="T43" s="393">
        <f t="shared" si="6"/>
        <v>1936.3223520000001</v>
      </c>
      <c r="V43" s="1064">
        <v>45658</v>
      </c>
      <c r="W43" s="990">
        <v>45566</v>
      </c>
      <c r="Y43" s="393" t="s">
        <v>407</v>
      </c>
      <c r="Z43" s="406" t="s">
        <v>299</v>
      </c>
      <c r="AA43" s="923">
        <v>1913.777</v>
      </c>
      <c r="AB43" s="598">
        <v>1805.45</v>
      </c>
      <c r="AC43" s="395">
        <v>6</v>
      </c>
      <c r="AD43" s="406" t="s">
        <v>253</v>
      </c>
      <c r="AE43" s="395">
        <v>2</v>
      </c>
      <c r="AF43" s="396">
        <f>IF(AD43="S",AC43*#REF!*AE43,AC43*$AD$3*AE43)</f>
        <v>2.4000000000000004</v>
      </c>
      <c r="AJ43" s="1065"/>
      <c r="AM43" s="923">
        <v>0</v>
      </c>
      <c r="AN43" s="596">
        <v>0</v>
      </c>
      <c r="AO43" s="602"/>
      <c r="AP43" s="414" t="s">
        <v>662</v>
      </c>
      <c r="AQ43" s="394">
        <f>AR43+(POLLUSTOP!$G$44*0.79)</f>
        <v>2080.2800000000002</v>
      </c>
      <c r="AR43" s="930">
        <v>2001.2800000000002</v>
      </c>
      <c r="AS43" s="596">
        <v>1888</v>
      </c>
      <c r="AU43" s="830" t="s">
        <v>913</v>
      </c>
      <c r="AV43" s="827"/>
      <c r="AW43" s="828"/>
      <c r="AX43" s="929">
        <v>726.29079999999999</v>
      </c>
      <c r="AY43" s="601">
        <v>685.18</v>
      </c>
      <c r="BB43" s="830"/>
    </row>
    <row r="44" spans="1:71" ht="14.5" customHeight="1" x14ac:dyDescent="0.2">
      <c r="A44" s="405" t="s">
        <v>192</v>
      </c>
      <c r="B44" s="401" t="s">
        <v>89</v>
      </c>
      <c r="C44" s="401" t="s">
        <v>1390</v>
      </c>
      <c r="E44" s="919" t="s">
        <v>1137</v>
      </c>
      <c r="F44" s="906">
        <v>424</v>
      </c>
      <c r="G44" s="598">
        <v>400</v>
      </c>
      <c r="H44" s="404"/>
      <c r="I44" s="405" t="s">
        <v>715</v>
      </c>
      <c r="J44" s="906">
        <v>1332.6002000000001</v>
      </c>
      <c r="K44" s="598">
        <v>1257.17</v>
      </c>
      <c r="M44" s="395">
        <v>1750</v>
      </c>
      <c r="N44" s="394" t="s">
        <v>806</v>
      </c>
      <c r="Q44" s="452" t="s">
        <v>602</v>
      </c>
      <c r="R44" s="906">
        <v>1875.5216</v>
      </c>
      <c r="S44" s="598">
        <v>1769.36</v>
      </c>
      <c r="T44" s="393">
        <f t="shared" si="6"/>
        <v>1988.0528960000001</v>
      </c>
      <c r="U44" s="415" t="s">
        <v>1433</v>
      </c>
      <c r="V44" s="415"/>
      <c r="W44" s="415"/>
      <c r="Y44" s="393" t="s">
        <v>408</v>
      </c>
      <c r="Z44" s="406" t="s">
        <v>300</v>
      </c>
      <c r="AA44" s="923">
        <v>2704.2084</v>
      </c>
      <c r="AB44" s="598">
        <v>2551.14</v>
      </c>
      <c r="AC44" s="395">
        <v>6</v>
      </c>
      <c r="AD44" s="406" t="s">
        <v>253</v>
      </c>
      <c r="AE44" s="395">
        <v>3</v>
      </c>
      <c r="AF44" s="396">
        <f>IF(AD44="S",AC44*#REF!*AE44,AC44*$AD$3*AE44)</f>
        <v>3.6000000000000005</v>
      </c>
      <c r="AJ44" s="1065"/>
      <c r="AK44" s="817" t="s">
        <v>1380</v>
      </c>
      <c r="AL44" s="393" t="s">
        <v>459</v>
      </c>
      <c r="AM44" s="923">
        <v>7.2292000000000005</v>
      </c>
      <c r="AN44" s="596">
        <v>6.82</v>
      </c>
      <c r="AO44" s="602"/>
      <c r="AP44" s="405"/>
      <c r="AU44" s="830" t="s">
        <v>1340</v>
      </c>
      <c r="AV44" s="827"/>
      <c r="AW44" s="828"/>
      <c r="AX44" s="929">
        <v>737.72820000000002</v>
      </c>
      <c r="AY44" s="601">
        <v>695.97</v>
      </c>
      <c r="BB44" s="830"/>
    </row>
    <row r="45" spans="1:71" ht="14.5" customHeight="1" x14ac:dyDescent="0.2">
      <c r="A45" s="405" t="s">
        <v>768</v>
      </c>
      <c r="B45" s="401" t="s">
        <v>89</v>
      </c>
      <c r="C45" s="401" t="s">
        <v>1390</v>
      </c>
      <c r="E45" s="919" t="s">
        <v>1243</v>
      </c>
      <c r="F45" s="906">
        <v>672.04000000000008</v>
      </c>
      <c r="G45" s="598">
        <v>634</v>
      </c>
      <c r="H45" s="404"/>
      <c r="M45" s="395">
        <v>2000</v>
      </c>
      <c r="N45" s="394" t="s">
        <v>806</v>
      </c>
      <c r="Q45" s="452" t="s">
        <v>603</v>
      </c>
      <c r="R45" s="906">
        <v>2131.4162000000001</v>
      </c>
      <c r="S45" s="598">
        <v>2010.77</v>
      </c>
      <c r="T45" s="393">
        <f t="shared" si="6"/>
        <v>2259.3011720000004</v>
      </c>
      <c r="U45" s="817" t="s">
        <v>1427</v>
      </c>
      <c r="V45" s="930">
        <v>700</v>
      </c>
      <c r="W45" s="596">
        <v>700</v>
      </c>
      <c r="Y45" s="393" t="s">
        <v>409</v>
      </c>
      <c r="Z45" s="406" t="s">
        <v>301</v>
      </c>
      <c r="AA45" s="923">
        <v>3494.6397999999999</v>
      </c>
      <c r="AB45" s="598">
        <v>3296.83</v>
      </c>
      <c r="AC45" s="395">
        <v>6</v>
      </c>
      <c r="AD45" s="406" t="s">
        <v>253</v>
      </c>
      <c r="AE45" s="395">
        <v>4</v>
      </c>
      <c r="AF45" s="396">
        <f>IF(AD45="S",AC45*#REF!*AE45,AC45*$AD$3*AE45)</f>
        <v>4.8000000000000007</v>
      </c>
      <c r="AJ45" s="1065"/>
      <c r="AK45" s="817" t="s">
        <v>1381</v>
      </c>
      <c r="AL45" s="817" t="s">
        <v>459</v>
      </c>
      <c r="AM45" s="923">
        <v>136.83540000000002</v>
      </c>
      <c r="AN45" s="596">
        <v>129.09</v>
      </c>
      <c r="AO45" s="602"/>
      <c r="AP45" s="423" t="s">
        <v>31</v>
      </c>
      <c r="AQ45" s="417"/>
      <c r="AR45" s="417"/>
      <c r="AS45" s="417"/>
      <c r="AU45" s="830" t="s">
        <v>914</v>
      </c>
      <c r="AV45" s="827"/>
      <c r="AW45" s="828"/>
      <c r="AX45" s="929">
        <v>779.4498000000001</v>
      </c>
      <c r="AY45" s="601">
        <v>735.33</v>
      </c>
      <c r="BB45" s="830"/>
    </row>
    <row r="46" spans="1:71" ht="14.5" customHeight="1" x14ac:dyDescent="0.2">
      <c r="A46" s="405" t="s">
        <v>138</v>
      </c>
      <c r="B46" s="401" t="s">
        <v>89</v>
      </c>
      <c r="C46" s="401" t="s">
        <v>1390</v>
      </c>
      <c r="E46" s="919" t="s">
        <v>1244</v>
      </c>
      <c r="F46" s="906">
        <v>598.9</v>
      </c>
      <c r="G46" s="598">
        <v>565</v>
      </c>
      <c r="H46" s="404"/>
      <c r="M46" s="395">
        <v>2250</v>
      </c>
      <c r="N46" s="394" t="s">
        <v>806</v>
      </c>
      <c r="S46" s="394"/>
      <c r="U46" s="817" t="s">
        <v>839</v>
      </c>
      <c r="V46" s="930">
        <v>930</v>
      </c>
      <c r="W46" s="596">
        <v>930</v>
      </c>
      <c r="Y46" s="393" t="s">
        <v>410</v>
      </c>
      <c r="Z46" s="406" t="s">
        <v>302</v>
      </c>
      <c r="AA46" s="923">
        <v>4285.0712000000003</v>
      </c>
      <c r="AB46" s="598">
        <v>4042.52</v>
      </c>
      <c r="AC46" s="395">
        <v>6</v>
      </c>
      <c r="AD46" s="406" t="s">
        <v>253</v>
      </c>
      <c r="AE46" s="395">
        <v>5</v>
      </c>
      <c r="AF46" s="396">
        <f>IF(AD46="S",AC46*#REF!*AE46,AC46*$AD$3*AE46)</f>
        <v>6.0000000000000009</v>
      </c>
      <c r="AJ46" s="1065"/>
      <c r="AK46" s="393" t="s">
        <v>238</v>
      </c>
      <c r="AL46" s="817" t="s">
        <v>1130</v>
      </c>
      <c r="AM46" s="923">
        <v>409.22360000000003</v>
      </c>
      <c r="AN46" s="596">
        <v>386.06</v>
      </c>
      <c r="AO46" s="602"/>
      <c r="AP46" s="414" t="s">
        <v>80</v>
      </c>
      <c r="AQ46" s="394">
        <v>0</v>
      </c>
      <c r="AR46" s="908"/>
      <c r="AS46" s="908"/>
      <c r="AU46" s="830" t="s">
        <v>914</v>
      </c>
      <c r="AV46" s="827"/>
      <c r="AW46" s="828"/>
      <c r="AX46" s="929">
        <v>906.87239999999997</v>
      </c>
      <c r="AY46" s="601">
        <v>855.54</v>
      </c>
      <c r="BB46" s="830"/>
    </row>
    <row r="47" spans="1:71" ht="14.5" customHeight="1" x14ac:dyDescent="0.2">
      <c r="A47" s="405" t="s">
        <v>178</v>
      </c>
      <c r="B47" s="401" t="s">
        <v>89</v>
      </c>
      <c r="C47" s="401" t="s">
        <v>1390</v>
      </c>
      <c r="E47" s="919" t="s">
        <v>1245</v>
      </c>
      <c r="F47" s="906">
        <v>408.1</v>
      </c>
      <c r="G47" s="598">
        <v>385</v>
      </c>
      <c r="H47" s="404"/>
      <c r="M47" s="395">
        <v>2500</v>
      </c>
      <c r="N47" s="394" t="s">
        <v>807</v>
      </c>
      <c r="S47" s="394"/>
      <c r="U47" s="817" t="s">
        <v>1428</v>
      </c>
      <c r="V47" s="930">
        <v>1250</v>
      </c>
      <c r="W47" s="596">
        <v>1250</v>
      </c>
      <c r="Y47" s="393" t="s">
        <v>411</v>
      </c>
      <c r="Z47" s="406" t="s">
        <v>303</v>
      </c>
      <c r="AA47" s="923">
        <v>5075.5026000000007</v>
      </c>
      <c r="AB47" s="598">
        <v>4788.21</v>
      </c>
      <c r="AC47" s="395">
        <v>6</v>
      </c>
      <c r="AD47" s="406" t="s">
        <v>253</v>
      </c>
      <c r="AE47" s="395">
        <v>6</v>
      </c>
      <c r="AF47" s="396">
        <f>IF(AD47="S",AC47*#REF!*AE47,AC47*$AD$3*AE47)</f>
        <v>7.2000000000000011</v>
      </c>
      <c r="AJ47" s="1065"/>
      <c r="AK47" s="393" t="s">
        <v>237</v>
      </c>
      <c r="AL47" s="393" t="s">
        <v>460</v>
      </c>
      <c r="AM47" s="923">
        <v>298.32640000000004</v>
      </c>
      <c r="AN47" s="596">
        <v>281.44</v>
      </c>
      <c r="AO47" s="602"/>
      <c r="AP47" s="414" t="s">
        <v>97</v>
      </c>
      <c r="AQ47" s="394">
        <f>(POLLUSTOP!$G$39*0.6)+AR47</f>
        <v>1915.34</v>
      </c>
      <c r="AR47" s="930">
        <v>984.74</v>
      </c>
      <c r="AS47" s="596">
        <v>929</v>
      </c>
      <c r="AU47" s="830" t="s">
        <v>915</v>
      </c>
      <c r="AV47" s="827"/>
      <c r="AW47" s="828"/>
      <c r="AX47" s="929">
        <v>969.84700000000009</v>
      </c>
      <c r="AY47" s="601">
        <v>914.95</v>
      </c>
      <c r="BB47" s="830"/>
    </row>
    <row r="48" spans="1:71" ht="14.5" customHeight="1" x14ac:dyDescent="0.2">
      <c r="A48" s="405" t="s">
        <v>663</v>
      </c>
      <c r="B48" s="401" t="s">
        <v>89</v>
      </c>
      <c r="C48" s="401" t="s">
        <v>1390</v>
      </c>
      <c r="E48" s="919" t="s">
        <v>1143</v>
      </c>
      <c r="F48" s="906">
        <v>455.8</v>
      </c>
      <c r="G48" s="598">
        <v>430</v>
      </c>
      <c r="H48" s="404"/>
      <c r="M48" s="395">
        <v>2750</v>
      </c>
      <c r="N48" s="394" t="s">
        <v>807</v>
      </c>
      <c r="Q48" s="415" t="s">
        <v>707</v>
      </c>
      <c r="R48" s="415">
        <v>0</v>
      </c>
      <c r="S48" s="415">
        <v>0</v>
      </c>
      <c r="U48" s="817" t="s">
        <v>846</v>
      </c>
      <c r="V48" s="930">
        <v>1480</v>
      </c>
      <c r="W48" s="596">
        <v>1480</v>
      </c>
      <c r="Y48" s="393" t="s">
        <v>412</v>
      </c>
      <c r="Z48" s="406" t="s">
        <v>304</v>
      </c>
      <c r="AA48" s="923">
        <v>5865.9340000000002</v>
      </c>
      <c r="AB48" s="598">
        <v>5533.9</v>
      </c>
      <c r="AC48" s="395">
        <v>6</v>
      </c>
      <c r="AD48" s="406" t="s">
        <v>253</v>
      </c>
      <c r="AE48" s="395">
        <v>7</v>
      </c>
      <c r="AF48" s="396">
        <f>IF(AD48="S",AC48*#REF!*AE48,AC48*$AD$3*AE48)</f>
        <v>8.4000000000000021</v>
      </c>
      <c r="AJ48" s="1065"/>
      <c r="AK48" s="393" t="s">
        <v>236</v>
      </c>
      <c r="AL48" s="393" t="s">
        <v>461</v>
      </c>
      <c r="AM48" s="923">
        <v>333.63499999999999</v>
      </c>
      <c r="AN48" s="596">
        <v>314.75</v>
      </c>
      <c r="AO48" s="602"/>
      <c r="AP48" s="414" t="s">
        <v>98</v>
      </c>
      <c r="AQ48" s="394">
        <f>AR48+(POLLUSTOP!$G$40*0.6)</f>
        <v>1725.0800000000002</v>
      </c>
      <c r="AR48" s="930">
        <v>1375.88</v>
      </c>
      <c r="AS48" s="596">
        <v>1298</v>
      </c>
      <c r="AU48" s="830" t="s">
        <v>916</v>
      </c>
      <c r="AV48" s="827"/>
      <c r="AW48" s="828"/>
      <c r="AX48" s="929">
        <v>1235.3558</v>
      </c>
      <c r="AY48" s="601">
        <v>1165.43</v>
      </c>
      <c r="BB48" s="830"/>
    </row>
    <row r="49" spans="1:55" ht="14.5" customHeight="1" x14ac:dyDescent="0.15">
      <c r="A49" s="405" t="s">
        <v>765</v>
      </c>
      <c r="B49" s="401" t="s">
        <v>339</v>
      </c>
      <c r="C49" s="401" t="s">
        <v>1390</v>
      </c>
      <c r="E49" s="919" t="s">
        <v>1187</v>
      </c>
      <c r="F49" s="906">
        <v>651.9</v>
      </c>
      <c r="G49" s="598">
        <v>615</v>
      </c>
      <c r="H49" s="404"/>
      <c r="M49" s="395">
        <v>3000</v>
      </c>
      <c r="N49" s="394" t="s">
        <v>807</v>
      </c>
      <c r="Q49" s="405" t="s">
        <v>673</v>
      </c>
      <c r="S49" s="394"/>
      <c r="U49" s="817" t="s">
        <v>1429</v>
      </c>
      <c r="V49" s="930">
        <v>1800</v>
      </c>
      <c r="W49" s="596">
        <v>1800</v>
      </c>
      <c r="Y49" s="393" t="s">
        <v>413</v>
      </c>
      <c r="Z49" s="406" t="s">
        <v>305</v>
      </c>
      <c r="AA49" s="923">
        <v>6656.3654000000006</v>
      </c>
      <c r="AB49" s="598">
        <v>6279.59</v>
      </c>
      <c r="AC49" s="395">
        <v>6</v>
      </c>
      <c r="AD49" s="406" t="s">
        <v>253</v>
      </c>
      <c r="AE49" s="395">
        <v>8</v>
      </c>
      <c r="AF49" s="396">
        <f>IF(AD49="S",AC49*#REF!*AE49,AC49*$AD$3*AE49)</f>
        <v>9.6000000000000014</v>
      </c>
      <c r="AJ49" s="1065"/>
      <c r="AP49" s="414" t="s">
        <v>99</v>
      </c>
      <c r="AQ49" s="394">
        <f>AR49+(POLLUSTOP!$G$41*0.6)</f>
        <v>1770.2</v>
      </c>
      <c r="AR49" s="930">
        <v>1770.2</v>
      </c>
      <c r="AS49" s="596">
        <v>1670</v>
      </c>
      <c r="AU49" s="814"/>
      <c r="AV49" s="413"/>
      <c r="AW49" s="408"/>
      <c r="AX49" s="808"/>
    </row>
    <row r="50" spans="1:55" ht="14.5" customHeight="1" x14ac:dyDescent="0.15">
      <c r="A50" s="405" t="s">
        <v>764</v>
      </c>
      <c r="B50" s="401" t="s">
        <v>339</v>
      </c>
      <c r="C50" s="401" t="s">
        <v>1390</v>
      </c>
      <c r="E50" s="919" t="s">
        <v>1246</v>
      </c>
      <c r="F50" s="906">
        <v>344.5</v>
      </c>
      <c r="G50" s="598">
        <v>325</v>
      </c>
      <c r="H50" s="404"/>
      <c r="U50" s="817" t="s">
        <v>848</v>
      </c>
      <c r="V50" s="930">
        <v>2160</v>
      </c>
      <c r="W50" s="596">
        <v>2160</v>
      </c>
      <c r="Y50" s="817" t="s">
        <v>1384</v>
      </c>
      <c r="Z50" s="406" t="s">
        <v>306</v>
      </c>
      <c r="AA50" s="923">
        <v>7446.7968000000001</v>
      </c>
      <c r="AB50" s="598">
        <v>7025.28</v>
      </c>
      <c r="AC50" s="395">
        <v>6</v>
      </c>
      <c r="AD50" s="406" t="s">
        <v>253</v>
      </c>
      <c r="AE50" s="395">
        <v>9</v>
      </c>
      <c r="AF50" s="396">
        <f>IF(AD50="S",AC50*#REF!*AE50,AC50*$AD$3*AE50)</f>
        <v>10.8</v>
      </c>
      <c r="AJ50" s="1065"/>
      <c r="AP50" s="414" t="s">
        <v>100</v>
      </c>
      <c r="AQ50" s="394">
        <f>AR50+(POLLUSTOP!$G$41*0.6)</f>
        <v>1965.24</v>
      </c>
      <c r="AR50" s="930">
        <v>1965.24</v>
      </c>
      <c r="AS50" s="596">
        <v>1854</v>
      </c>
      <c r="AU50" s="814" t="s">
        <v>921</v>
      </c>
      <c r="AV50" s="413"/>
      <c r="AW50" s="408"/>
      <c r="AX50" s="1074">
        <v>151.72839999999999</v>
      </c>
      <c r="AY50" s="601">
        <v>143.13999999999999</v>
      </c>
    </row>
    <row r="51" spans="1:55" ht="14.5" customHeight="1" x14ac:dyDescent="0.15">
      <c r="A51" s="405" t="s">
        <v>766</v>
      </c>
      <c r="B51" s="401" t="s">
        <v>543</v>
      </c>
      <c r="C51" s="401" t="s">
        <v>1391</v>
      </c>
      <c r="E51" s="919" t="s">
        <v>1193</v>
      </c>
      <c r="F51" s="906">
        <v>673.1</v>
      </c>
      <c r="G51" s="598">
        <v>635</v>
      </c>
      <c r="H51" s="404"/>
      <c r="U51" s="817" t="s">
        <v>1430</v>
      </c>
      <c r="V51" s="930">
        <v>2100</v>
      </c>
      <c r="W51" s="596">
        <v>2100</v>
      </c>
      <c r="Y51" s="393" t="s">
        <v>414</v>
      </c>
      <c r="Z51" s="406" t="s">
        <v>307</v>
      </c>
      <c r="AA51" s="923">
        <v>8237.2282000000014</v>
      </c>
      <c r="AB51" s="598">
        <v>7770.97</v>
      </c>
      <c r="AC51" s="395">
        <v>6</v>
      </c>
      <c r="AD51" s="406" t="s">
        <v>253</v>
      </c>
      <c r="AE51" s="395">
        <v>10</v>
      </c>
      <c r="AF51" s="396">
        <f>IF(AD51="S",AC51*#REF!*AE51,AC51*$AD$3*AE51)</f>
        <v>12.000000000000002</v>
      </c>
      <c r="AJ51" s="1065"/>
      <c r="AK51" s="417" t="s">
        <v>111</v>
      </c>
      <c r="AL51" s="417" t="s">
        <v>112</v>
      </c>
      <c r="AM51" s="417"/>
      <c r="AP51" s="414" t="s">
        <v>101</v>
      </c>
      <c r="AQ51" s="394">
        <f>AR51+(POLLUSTOP!$G$42*0.6)</f>
        <v>2354.2600000000002</v>
      </c>
      <c r="AR51" s="930">
        <v>2354.2600000000002</v>
      </c>
      <c r="AS51" s="596">
        <v>2221</v>
      </c>
      <c r="AU51" s="408"/>
      <c r="AV51" s="1195" t="s">
        <v>442</v>
      </c>
      <c r="AW51" s="1195"/>
      <c r="AX51" s="1074"/>
    </row>
    <row r="52" spans="1:55" ht="14.5" customHeight="1" x14ac:dyDescent="0.15">
      <c r="A52" s="405" t="s">
        <v>769</v>
      </c>
      <c r="B52" s="401" t="s">
        <v>543</v>
      </c>
      <c r="C52" s="401" t="s">
        <v>1391</v>
      </c>
      <c r="E52" s="919" t="s">
        <v>1148</v>
      </c>
      <c r="F52" s="906">
        <v>1113</v>
      </c>
      <c r="G52" s="598">
        <v>1050</v>
      </c>
      <c r="H52" s="404"/>
      <c r="U52" s="817" t="s">
        <v>850</v>
      </c>
      <c r="V52" s="930">
        <v>2460</v>
      </c>
      <c r="W52" s="596">
        <v>2460</v>
      </c>
      <c r="Y52" s="393" t="s">
        <v>415</v>
      </c>
      <c r="Z52" s="406" t="s">
        <v>308</v>
      </c>
      <c r="AA52" s="923">
        <v>9027.6596000000009</v>
      </c>
      <c r="AB52" s="598">
        <v>8516.66</v>
      </c>
      <c r="AC52" s="395">
        <v>6</v>
      </c>
      <c r="AD52" s="406" t="s">
        <v>253</v>
      </c>
      <c r="AE52" s="395">
        <v>11</v>
      </c>
      <c r="AF52" s="396">
        <f>IF(AD52="S",AC52*#REF!*AE52,AC52*$AD$3*AE52)</f>
        <v>13.200000000000003</v>
      </c>
      <c r="AJ52" s="1065"/>
      <c r="AM52" s="904"/>
      <c r="AN52" s="596">
        <v>243.96</v>
      </c>
      <c r="AO52" s="602"/>
      <c r="AP52" s="414" t="s">
        <v>102</v>
      </c>
      <c r="AQ52" s="394">
        <f>AR52+(POLLUSTOP!$G$42*0.6)</f>
        <v>2540.8200000000002</v>
      </c>
      <c r="AR52" s="930">
        <v>2540.8200000000002</v>
      </c>
      <c r="AS52" s="596">
        <v>2397</v>
      </c>
      <c r="AU52" s="408" t="s">
        <v>474</v>
      </c>
      <c r="AV52" s="1189" t="s">
        <v>1479</v>
      </c>
      <c r="AW52" s="1190"/>
      <c r="AX52" s="1074">
        <v>0</v>
      </c>
      <c r="AY52" s="601">
        <v>0</v>
      </c>
      <c r="AZ52" s="817" t="s">
        <v>1480</v>
      </c>
    </row>
    <row r="53" spans="1:55" ht="14.5" customHeight="1" x14ac:dyDescent="0.15">
      <c r="A53" s="405" t="s">
        <v>348</v>
      </c>
      <c r="B53" s="401" t="s">
        <v>351</v>
      </c>
      <c r="C53" s="401" t="s">
        <v>1391</v>
      </c>
      <c r="E53" s="919" t="s">
        <v>1247</v>
      </c>
      <c r="F53" s="906">
        <v>890.40000000000009</v>
      </c>
      <c r="G53" s="598">
        <v>840</v>
      </c>
      <c r="H53" s="404"/>
      <c r="U53" s="817" t="s">
        <v>1431</v>
      </c>
      <c r="V53" s="930">
        <v>2550</v>
      </c>
      <c r="W53" s="596">
        <v>2550</v>
      </c>
      <c r="Y53" s="393" t="s">
        <v>416</v>
      </c>
      <c r="Z53" s="406" t="s">
        <v>309</v>
      </c>
      <c r="AA53" s="923">
        <v>9818.0910000000003</v>
      </c>
      <c r="AB53" s="598">
        <v>9262.35</v>
      </c>
      <c r="AC53" s="395">
        <v>6</v>
      </c>
      <c r="AD53" s="406" t="s">
        <v>253</v>
      </c>
      <c r="AE53" s="395">
        <v>12</v>
      </c>
      <c r="AF53" s="396">
        <f>IF(AD53="S",AC53*#REF!*AE53,AC53*$AD$3*AE53)</f>
        <v>14.400000000000002</v>
      </c>
      <c r="AJ53" s="1065"/>
      <c r="AL53" s="393" t="s">
        <v>442</v>
      </c>
      <c r="AM53" s="904"/>
      <c r="AN53" s="596">
        <v>0</v>
      </c>
      <c r="AO53" s="602"/>
      <c r="AP53" s="414" t="s">
        <v>103</v>
      </c>
      <c r="AQ53" s="394">
        <f>AR53+(POLLUSTOP!$G$43*0.6)</f>
        <v>3252.94</v>
      </c>
      <c r="AR53" s="930">
        <v>3072.94</v>
      </c>
      <c r="AS53" s="596">
        <v>2899</v>
      </c>
      <c r="AU53" s="408" t="s">
        <v>475</v>
      </c>
      <c r="AV53" s="413"/>
      <c r="AW53" s="408" t="s">
        <v>442</v>
      </c>
      <c r="AX53" s="1074">
        <f>AY53*1.06</f>
        <v>38.213000000000001</v>
      </c>
      <c r="AY53" s="601">
        <v>36.049999999999997</v>
      </c>
    </row>
    <row r="54" spans="1:55" ht="14.5" customHeight="1" x14ac:dyDescent="0.15">
      <c r="A54" s="817" t="s">
        <v>1390</v>
      </c>
      <c r="B54" s="951" t="s">
        <v>1390</v>
      </c>
      <c r="E54" s="919" t="s">
        <v>1155</v>
      </c>
      <c r="F54" s="906">
        <v>371</v>
      </c>
      <c r="G54" s="598">
        <v>350</v>
      </c>
      <c r="H54" s="404"/>
      <c r="U54" s="817" t="s">
        <v>852</v>
      </c>
      <c r="V54" s="930">
        <v>3230</v>
      </c>
      <c r="W54" s="596">
        <v>3230</v>
      </c>
      <c r="Y54" s="393" t="s">
        <v>417</v>
      </c>
      <c r="Z54" s="406" t="s">
        <v>310</v>
      </c>
      <c r="AA54" s="923">
        <v>1231.0203999999999</v>
      </c>
      <c r="AB54" s="598">
        <v>1161.3399999999999</v>
      </c>
      <c r="AC54" s="395">
        <v>8</v>
      </c>
      <c r="AD54" s="406" t="s">
        <v>251</v>
      </c>
      <c r="AE54" s="395">
        <v>1</v>
      </c>
      <c r="AF54" s="396">
        <f>IF(AD54="S",AC54*$AD$1*AE54,AC54*$AD$3*AE54)</f>
        <v>0.8</v>
      </c>
      <c r="AJ54" s="1065"/>
      <c r="AM54" s="904"/>
      <c r="AN54" s="596">
        <v>271.78000000000003</v>
      </c>
      <c r="AO54" s="602"/>
      <c r="AP54" s="414" t="s">
        <v>104</v>
      </c>
      <c r="AQ54" s="394">
        <f>AR54+(POLLUSTOP!$G$43*0.6)</f>
        <v>3520.06</v>
      </c>
      <c r="AR54" s="930">
        <v>3340.06</v>
      </c>
      <c r="AS54" s="596">
        <v>3151</v>
      </c>
      <c r="AU54" s="814" t="s">
        <v>923</v>
      </c>
      <c r="AV54" s="413"/>
      <c r="AW54" s="408"/>
      <c r="AX54" s="808"/>
    </row>
    <row r="55" spans="1:55" ht="14.5" customHeight="1" x14ac:dyDescent="0.15">
      <c r="E55" s="919" t="s">
        <v>1210</v>
      </c>
      <c r="F55" s="906">
        <v>540.6</v>
      </c>
      <c r="G55" s="598">
        <v>510</v>
      </c>
      <c r="H55" s="404"/>
      <c r="U55" s="817" t="s">
        <v>1432</v>
      </c>
      <c r="V55" s="930">
        <v>2550</v>
      </c>
      <c r="W55" s="596">
        <v>2550</v>
      </c>
      <c r="Y55" s="393" t="s">
        <v>418</v>
      </c>
      <c r="Z55" s="406" t="s">
        <v>311</v>
      </c>
      <c r="AA55" s="923">
        <v>2129.1266000000001</v>
      </c>
      <c r="AB55" s="598">
        <v>2008.61</v>
      </c>
      <c r="AC55" s="395">
        <v>8</v>
      </c>
      <c r="AD55" s="406" t="s">
        <v>251</v>
      </c>
      <c r="AE55" s="395">
        <v>2</v>
      </c>
      <c r="AF55" s="396">
        <f t="shared" ref="AF55:AF65" si="7">IF(AD55="S",AC55*$AD$1*AE55,AC55*$AD$3*AE55)</f>
        <v>1.6</v>
      </c>
      <c r="AJ55" s="1065"/>
      <c r="AM55" s="904"/>
      <c r="AN55" s="596">
        <v>118.77000000000001</v>
      </c>
      <c r="AO55" s="602"/>
      <c r="AP55" s="414" t="s">
        <v>106</v>
      </c>
      <c r="AQ55" s="394">
        <f>AR55+(POLLUSTOP!$G$43*0.6)</f>
        <v>3961.02</v>
      </c>
      <c r="AR55" s="930">
        <v>3781.02</v>
      </c>
      <c r="AS55" s="596">
        <v>3567</v>
      </c>
      <c r="AU55" s="814"/>
      <c r="AV55" s="413"/>
      <c r="AW55" s="408"/>
      <c r="AX55" s="808"/>
    </row>
    <row r="56" spans="1:55" ht="14.5" customHeight="1" x14ac:dyDescent="0.2">
      <c r="A56" s="405"/>
      <c r="B56" s="401"/>
      <c r="C56" s="401"/>
      <c r="E56" s="919" t="s">
        <v>1248</v>
      </c>
      <c r="F56" s="906">
        <v>890.40000000000009</v>
      </c>
      <c r="G56" s="598">
        <v>840</v>
      </c>
      <c r="H56" s="404"/>
      <c r="U56" s="817" t="s">
        <v>854</v>
      </c>
      <c r="V56" s="930">
        <v>3230</v>
      </c>
      <c r="W56" s="596">
        <v>3230</v>
      </c>
      <c r="Y56" s="393" t="s">
        <v>419</v>
      </c>
      <c r="Z56" s="406" t="s">
        <v>312</v>
      </c>
      <c r="AA56" s="923">
        <v>3027.2328000000002</v>
      </c>
      <c r="AB56" s="598">
        <v>2855.88</v>
      </c>
      <c r="AC56" s="395">
        <v>8</v>
      </c>
      <c r="AD56" s="406" t="s">
        <v>251</v>
      </c>
      <c r="AE56" s="395">
        <v>3</v>
      </c>
      <c r="AF56" s="396">
        <f t="shared" si="7"/>
        <v>2.4000000000000004</v>
      </c>
      <c r="AJ56" s="1065"/>
      <c r="AL56" s="393" t="s">
        <v>442</v>
      </c>
      <c r="AM56" s="904"/>
      <c r="AN56" s="596">
        <v>0</v>
      </c>
      <c r="AO56" s="602"/>
      <c r="AP56" s="414" t="s">
        <v>105</v>
      </c>
      <c r="AQ56" s="394">
        <f>AR56+(POLLUSTOP!$G$44*0.6)</f>
        <v>4245.9400000000005</v>
      </c>
      <c r="AR56" s="930">
        <v>4185.9400000000005</v>
      </c>
      <c r="AS56" s="596">
        <v>3949</v>
      </c>
      <c r="AU56" s="185" t="s">
        <v>948</v>
      </c>
      <c r="AV56" s="827"/>
      <c r="AW56" s="828"/>
      <c r="AX56" s="929">
        <v>97.1066</v>
      </c>
      <c r="AY56" s="601">
        <v>91.61</v>
      </c>
    </row>
    <row r="57" spans="1:55" ht="14.5" customHeight="1" x14ac:dyDescent="0.2">
      <c r="A57" s="405"/>
      <c r="B57" s="401"/>
      <c r="C57" s="401"/>
      <c r="E57" s="919" t="s">
        <v>1215</v>
      </c>
      <c r="F57" s="906">
        <v>556.5</v>
      </c>
      <c r="G57" s="598">
        <v>525</v>
      </c>
      <c r="H57" s="404"/>
      <c r="U57" s="817"/>
      <c r="Y57" s="393" t="s">
        <v>420</v>
      </c>
      <c r="Z57" s="406" t="s">
        <v>313</v>
      </c>
      <c r="AA57" s="923">
        <v>3925.3390000000004</v>
      </c>
      <c r="AB57" s="598">
        <v>3703.15</v>
      </c>
      <c r="AC57" s="395">
        <v>8</v>
      </c>
      <c r="AD57" s="406" t="s">
        <v>251</v>
      </c>
      <c r="AE57" s="395">
        <v>4</v>
      </c>
      <c r="AF57" s="396">
        <f t="shared" si="7"/>
        <v>3.2</v>
      </c>
      <c r="AJ57" s="1065"/>
      <c r="AM57" s="904"/>
      <c r="AN57" s="596">
        <v>0</v>
      </c>
      <c r="AO57" s="602"/>
      <c r="AP57" s="405"/>
      <c r="AU57" s="185" t="s">
        <v>949</v>
      </c>
      <c r="AV57" s="827"/>
      <c r="AW57" s="828"/>
      <c r="AX57" s="929">
        <v>108.226</v>
      </c>
      <c r="AY57" s="601">
        <v>102.1</v>
      </c>
    </row>
    <row r="58" spans="1:55" ht="14.5" customHeight="1" x14ac:dyDescent="0.2">
      <c r="A58" s="405"/>
      <c r="B58" s="401"/>
      <c r="C58" s="401"/>
      <c r="E58" s="919" t="s">
        <v>1195</v>
      </c>
      <c r="F58" s="906">
        <v>540.6</v>
      </c>
      <c r="G58" s="598">
        <v>510</v>
      </c>
      <c r="H58" s="404"/>
      <c r="Y58" s="393" t="s">
        <v>421</v>
      </c>
      <c r="Z58" s="406" t="s">
        <v>314</v>
      </c>
      <c r="AA58" s="923">
        <v>4823.4452000000001</v>
      </c>
      <c r="AB58" s="598">
        <v>4550.42</v>
      </c>
      <c r="AC58" s="395">
        <v>8</v>
      </c>
      <c r="AD58" s="406" t="s">
        <v>251</v>
      </c>
      <c r="AE58" s="395">
        <v>5</v>
      </c>
      <c r="AF58" s="396">
        <f t="shared" si="7"/>
        <v>4</v>
      </c>
      <c r="AJ58" s="1065"/>
      <c r="AK58" s="417" t="s">
        <v>113</v>
      </c>
      <c r="AL58" s="416" t="s">
        <v>442</v>
      </c>
      <c r="AM58" s="417"/>
      <c r="AP58" s="423" t="s">
        <v>92</v>
      </c>
      <c r="AQ58" s="417"/>
      <c r="AR58" s="417"/>
      <c r="AS58" s="417"/>
      <c r="AU58" s="185" t="s">
        <v>897</v>
      </c>
      <c r="AV58" s="827"/>
      <c r="AW58" s="828"/>
      <c r="AX58" s="929">
        <v>102.30060000000002</v>
      </c>
      <c r="AY58" s="832">
        <v>96.51</v>
      </c>
    </row>
    <row r="59" spans="1:55" ht="14.5" customHeight="1" x14ac:dyDescent="0.2">
      <c r="A59" s="405"/>
      <c r="B59" s="401"/>
      <c r="C59" s="401"/>
      <c r="E59" s="919" t="s">
        <v>1208</v>
      </c>
      <c r="F59" s="906">
        <v>424</v>
      </c>
      <c r="G59" s="599">
        <v>400</v>
      </c>
      <c r="H59" s="404"/>
      <c r="Y59" s="393" t="s">
        <v>422</v>
      </c>
      <c r="Z59" s="406" t="s">
        <v>315</v>
      </c>
      <c r="AA59" s="923">
        <v>5721.5514000000003</v>
      </c>
      <c r="AB59" s="598">
        <v>5397.69</v>
      </c>
      <c r="AC59" s="395">
        <v>8</v>
      </c>
      <c r="AD59" s="406" t="s">
        <v>251</v>
      </c>
      <c r="AE59" s="395">
        <v>6</v>
      </c>
      <c r="AF59" s="396">
        <f t="shared" si="7"/>
        <v>4.8000000000000007</v>
      </c>
      <c r="AJ59" s="1065"/>
      <c r="AK59" s="393" t="s">
        <v>234</v>
      </c>
      <c r="AL59" s="393" t="s">
        <v>462</v>
      </c>
      <c r="AM59" s="906">
        <v>387.96000000000004</v>
      </c>
      <c r="AN59" s="596">
        <v>366</v>
      </c>
      <c r="AO59" s="602"/>
      <c r="AP59" s="414" t="s">
        <v>80</v>
      </c>
      <c r="AQ59" s="394">
        <v>0</v>
      </c>
      <c r="AR59" s="908"/>
      <c r="AS59" s="908"/>
      <c r="AU59" s="185" t="s">
        <v>950</v>
      </c>
      <c r="AV59" s="827"/>
      <c r="AW59" s="828"/>
      <c r="AX59" s="929">
        <v>120.46900000000001</v>
      </c>
      <c r="AY59" s="832">
        <v>113.65</v>
      </c>
    </row>
    <row r="60" spans="1:55" ht="14.5" customHeight="1" x14ac:dyDescent="0.2">
      <c r="A60" s="405"/>
      <c r="B60" s="401"/>
      <c r="C60" s="401"/>
      <c r="E60" s="919" t="s">
        <v>1211</v>
      </c>
      <c r="F60" s="906">
        <v>434.6</v>
      </c>
      <c r="G60" s="599">
        <v>410</v>
      </c>
      <c r="H60" s="404"/>
      <c r="Y60" s="393" t="s">
        <v>423</v>
      </c>
      <c r="Z60" s="406" t="s">
        <v>316</v>
      </c>
      <c r="AA60" s="923">
        <v>6619.6576000000005</v>
      </c>
      <c r="AB60" s="598">
        <v>6244.96</v>
      </c>
      <c r="AC60" s="395">
        <v>8</v>
      </c>
      <c r="AD60" s="406" t="s">
        <v>251</v>
      </c>
      <c r="AE60" s="395">
        <v>7</v>
      </c>
      <c r="AF60" s="396">
        <f t="shared" si="7"/>
        <v>5.6000000000000005</v>
      </c>
      <c r="AJ60" s="1065"/>
      <c r="AK60" s="393" t="s">
        <v>234</v>
      </c>
      <c r="AL60" s="393" t="s">
        <v>463</v>
      </c>
      <c r="AM60" s="906">
        <v>398.56</v>
      </c>
      <c r="AN60" s="596">
        <v>376</v>
      </c>
      <c r="AO60" s="602"/>
      <c r="AP60" s="414" t="s">
        <v>97</v>
      </c>
      <c r="AQ60" s="394">
        <f>(POLLUSTOP!$G$39*0.6)+AR60</f>
        <v>2033</v>
      </c>
      <c r="AR60" s="930">
        <v>1102.4000000000001</v>
      </c>
      <c r="AS60" s="596">
        <v>1040</v>
      </c>
      <c r="AU60" s="185" t="s">
        <v>951</v>
      </c>
      <c r="AV60" s="827"/>
      <c r="AW60" s="828"/>
      <c r="AX60" s="929">
        <v>215.0634</v>
      </c>
      <c r="AY60" s="832">
        <v>202.89</v>
      </c>
    </row>
    <row r="61" spans="1:55" ht="14.5" customHeight="1" x14ac:dyDescent="0.2">
      <c r="A61" s="405"/>
      <c r="B61" s="401"/>
      <c r="C61" s="401"/>
      <c r="E61" s="919" t="s">
        <v>1207</v>
      </c>
      <c r="F61" s="906">
        <v>890.40000000000009</v>
      </c>
      <c r="G61" s="599">
        <v>840</v>
      </c>
      <c r="H61" s="404"/>
      <c r="Y61" s="393" t="s">
        <v>424</v>
      </c>
      <c r="Z61" s="406" t="s">
        <v>317</v>
      </c>
      <c r="AA61" s="923">
        <v>7517.7637999999997</v>
      </c>
      <c r="AB61" s="598">
        <v>7092.23</v>
      </c>
      <c r="AC61" s="395">
        <v>8</v>
      </c>
      <c r="AD61" s="406" t="s">
        <v>251</v>
      </c>
      <c r="AE61" s="395">
        <v>8</v>
      </c>
      <c r="AF61" s="396">
        <f t="shared" si="7"/>
        <v>6.4</v>
      </c>
      <c r="AJ61" s="1065"/>
      <c r="AK61" s="393" t="s">
        <v>234</v>
      </c>
      <c r="AL61" s="393" t="s">
        <v>464</v>
      </c>
      <c r="AM61" s="906">
        <v>412.34000000000003</v>
      </c>
      <c r="AN61" s="596">
        <v>389</v>
      </c>
      <c r="AO61" s="602"/>
      <c r="AP61" s="414" t="s">
        <v>98</v>
      </c>
      <c r="AQ61" s="394">
        <f>AR61+(POLLUSTOP!$G$40*0.6)</f>
        <v>1795.0400000000002</v>
      </c>
      <c r="AR61" s="930">
        <v>1445.8400000000001</v>
      </c>
      <c r="AS61" s="596">
        <v>1364</v>
      </c>
      <c r="AU61" s="185" t="s">
        <v>952</v>
      </c>
      <c r="AV61" s="827"/>
      <c r="AW61" s="828"/>
      <c r="AX61" s="929">
        <v>461.33320000000003</v>
      </c>
      <c r="AY61" s="832">
        <v>435.22</v>
      </c>
    </row>
    <row r="62" spans="1:55" ht="14.5" customHeight="1" x14ac:dyDescent="0.2">
      <c r="A62" s="405"/>
      <c r="B62" s="401"/>
      <c r="C62" s="401"/>
      <c r="E62" s="919" t="s">
        <v>1149</v>
      </c>
      <c r="F62" s="906">
        <v>636</v>
      </c>
      <c r="G62" s="599">
        <v>600</v>
      </c>
      <c r="H62" s="404"/>
      <c r="Y62" s="393" t="s">
        <v>425</v>
      </c>
      <c r="Z62" s="406" t="s">
        <v>318</v>
      </c>
      <c r="AA62" s="923">
        <v>8415.8700000000008</v>
      </c>
      <c r="AB62" s="598">
        <v>7939.5</v>
      </c>
      <c r="AC62" s="395">
        <v>8</v>
      </c>
      <c r="AD62" s="406" t="s">
        <v>251</v>
      </c>
      <c r="AE62" s="395">
        <v>9</v>
      </c>
      <c r="AF62" s="396">
        <f t="shared" si="7"/>
        <v>7.2</v>
      </c>
      <c r="AJ62" s="1065"/>
      <c r="AK62" s="393" t="s">
        <v>234</v>
      </c>
      <c r="AL62" s="393" t="s">
        <v>465</v>
      </c>
      <c r="AM62" s="906">
        <v>481.24</v>
      </c>
      <c r="AN62" s="596">
        <v>454</v>
      </c>
      <c r="AO62" s="602"/>
      <c r="AP62" s="414" t="s">
        <v>99</v>
      </c>
      <c r="AQ62" s="394">
        <f>AR62+(POLLUSTOP!$G$41*0.6)</f>
        <v>1724.6200000000001</v>
      </c>
      <c r="AR62" s="930">
        <v>1724.6200000000001</v>
      </c>
      <c r="AS62" s="596">
        <v>1627</v>
      </c>
      <c r="AU62" s="185"/>
      <c r="AV62" s="827"/>
      <c r="AW62" s="828"/>
      <c r="AX62" s="822"/>
      <c r="AY62" s="832"/>
    </row>
    <row r="63" spans="1:55" ht="14.5" customHeight="1" x14ac:dyDescent="0.15">
      <c r="E63" s="403"/>
      <c r="F63" s="906"/>
      <c r="G63" s="599"/>
      <c r="H63" s="404"/>
      <c r="Y63" s="393" t="s">
        <v>426</v>
      </c>
      <c r="Z63" s="406" t="s">
        <v>319</v>
      </c>
      <c r="AA63" s="923">
        <v>9313.976200000001</v>
      </c>
      <c r="AB63" s="598">
        <v>8786.77</v>
      </c>
      <c r="AC63" s="395">
        <v>8</v>
      </c>
      <c r="AD63" s="406" t="s">
        <v>251</v>
      </c>
      <c r="AE63" s="395">
        <v>10</v>
      </c>
      <c r="AF63" s="396">
        <f t="shared" si="7"/>
        <v>8</v>
      </c>
      <c r="AJ63" s="1065"/>
      <c r="AK63" s="393" t="s">
        <v>234</v>
      </c>
      <c r="AL63" s="393" t="s">
        <v>466</v>
      </c>
      <c r="AM63" s="906">
        <v>517.28</v>
      </c>
      <c r="AN63" s="596">
        <v>488</v>
      </c>
      <c r="AO63" s="602"/>
      <c r="AP63" s="414" t="s">
        <v>100</v>
      </c>
      <c r="AQ63" s="394">
        <f>AR63+(POLLUSTOP!$G$41*0.6)</f>
        <v>2110.46</v>
      </c>
      <c r="AR63" s="930">
        <v>2110.46</v>
      </c>
      <c r="AS63" s="596">
        <v>1991</v>
      </c>
      <c r="AU63" s="814" t="s">
        <v>922</v>
      </c>
      <c r="AV63" s="413"/>
      <c r="AW63" s="408"/>
      <c r="AX63" s="808"/>
      <c r="BA63" s="817" t="s">
        <v>925</v>
      </c>
      <c r="BB63" s="835"/>
      <c r="BC63" s="835"/>
    </row>
    <row r="64" spans="1:55" ht="14.5" customHeight="1" x14ac:dyDescent="0.15">
      <c r="E64" s="919" t="s">
        <v>1196</v>
      </c>
      <c r="F64" s="906">
        <v>858.6</v>
      </c>
      <c r="G64" s="599">
        <v>810</v>
      </c>
      <c r="H64" s="404"/>
      <c r="Y64" s="393" t="s">
        <v>427</v>
      </c>
      <c r="Z64" s="406" t="s">
        <v>320</v>
      </c>
      <c r="AA64" s="923">
        <v>10212.082400000001</v>
      </c>
      <c r="AB64" s="598">
        <v>9634.0400000000009</v>
      </c>
      <c r="AC64" s="395">
        <v>8</v>
      </c>
      <c r="AD64" s="406" t="s">
        <v>251</v>
      </c>
      <c r="AE64" s="395">
        <v>11</v>
      </c>
      <c r="AF64" s="396">
        <f t="shared" si="7"/>
        <v>8.8000000000000007</v>
      </c>
      <c r="AJ64" s="1065"/>
      <c r="AK64" s="393" t="s">
        <v>234</v>
      </c>
      <c r="AL64" s="393" t="s">
        <v>467</v>
      </c>
      <c r="AM64" s="906">
        <v>570.28</v>
      </c>
      <c r="AN64" s="596">
        <v>538</v>
      </c>
      <c r="AO64" s="602"/>
      <c r="AP64" s="414" t="s">
        <v>101</v>
      </c>
      <c r="AQ64" s="394">
        <f>AR64+(POLLUSTOP!$G$42*0.6)</f>
        <v>2462.38</v>
      </c>
      <c r="AR64" s="930">
        <v>2462.38</v>
      </c>
      <c r="AS64" s="596">
        <v>2323</v>
      </c>
      <c r="AU64" s="814"/>
      <c r="AV64" s="413"/>
      <c r="AW64" s="408"/>
      <c r="AX64" s="808"/>
      <c r="BA64" s="817"/>
      <c r="BB64" s="835"/>
      <c r="BC64" s="835"/>
    </row>
    <row r="65" spans="1:55" ht="14.5" customHeight="1" x14ac:dyDescent="0.2">
      <c r="E65" s="919" t="s">
        <v>1154</v>
      </c>
      <c r="F65" s="906">
        <v>556.5</v>
      </c>
      <c r="G65" s="599">
        <v>525</v>
      </c>
      <c r="H65" s="404"/>
      <c r="Y65" s="393" t="s">
        <v>428</v>
      </c>
      <c r="Z65" s="406" t="s">
        <v>321</v>
      </c>
      <c r="AA65" s="923">
        <v>11110.188599999999</v>
      </c>
      <c r="AB65" s="598">
        <v>10481.31</v>
      </c>
      <c r="AC65" s="395">
        <v>8</v>
      </c>
      <c r="AD65" s="406" t="s">
        <v>251</v>
      </c>
      <c r="AE65" s="395">
        <v>12</v>
      </c>
      <c r="AF65" s="396">
        <f t="shared" si="7"/>
        <v>9.6000000000000014</v>
      </c>
      <c r="AJ65" s="1065"/>
      <c r="AK65" s="393" t="s">
        <v>234</v>
      </c>
      <c r="AL65" s="393" t="s">
        <v>467</v>
      </c>
      <c r="AM65" s="906">
        <v>602.08000000000004</v>
      </c>
      <c r="AN65" s="596">
        <v>568</v>
      </c>
      <c r="AO65" s="602"/>
      <c r="AP65" s="414" t="s">
        <v>102</v>
      </c>
      <c r="AQ65" s="394">
        <f>AR65+(POLLUSTOP!$G$42*0.6)</f>
        <v>2776.1400000000003</v>
      </c>
      <c r="AR65" s="930">
        <v>2776.1400000000003</v>
      </c>
      <c r="AS65" s="596">
        <v>2619</v>
      </c>
      <c r="AU65" s="185" t="s">
        <v>942</v>
      </c>
      <c r="AV65" s="827"/>
      <c r="AW65" s="828"/>
      <c r="AX65" s="929">
        <v>207.79180000000002</v>
      </c>
      <c r="AY65" s="832">
        <v>196.03</v>
      </c>
      <c r="BA65" s="834">
        <v>0.33</v>
      </c>
      <c r="BB65" s="835"/>
      <c r="BC65" s="835"/>
    </row>
    <row r="66" spans="1:55" ht="14.5" customHeight="1" x14ac:dyDescent="0.2">
      <c r="A66" s="405" t="s">
        <v>349</v>
      </c>
      <c r="B66" s="401" t="s">
        <v>89</v>
      </c>
      <c r="C66" s="401"/>
      <c r="E66" s="919" t="s">
        <v>1249</v>
      </c>
      <c r="F66" s="906">
        <v>323.3</v>
      </c>
      <c r="G66" s="599">
        <v>305</v>
      </c>
      <c r="H66" s="404"/>
      <c r="Y66" s="393" t="s">
        <v>429</v>
      </c>
      <c r="Z66" s="406" t="s">
        <v>322</v>
      </c>
      <c r="AA66" s="923">
        <v>1264.6436000000001</v>
      </c>
      <c r="AB66" s="598">
        <v>1193.06</v>
      </c>
      <c r="AC66" s="395">
        <v>8</v>
      </c>
      <c r="AD66" s="406" t="s">
        <v>253</v>
      </c>
      <c r="AE66" s="395">
        <v>1</v>
      </c>
      <c r="AF66" s="396">
        <f>IF(AD66="S",AC66*#REF!*AE66,AC66*$AD$3*AE66)</f>
        <v>1.6</v>
      </c>
      <c r="AJ66" s="1065"/>
      <c r="AP66" s="414" t="s">
        <v>103</v>
      </c>
      <c r="AQ66" s="394">
        <f>AR66+(POLLUSTOP!$G$43*0.6)</f>
        <v>3545.5</v>
      </c>
      <c r="AR66" s="930">
        <v>3365.5</v>
      </c>
      <c r="AS66" s="596">
        <v>3175</v>
      </c>
      <c r="AU66" s="185" t="s">
        <v>943</v>
      </c>
      <c r="AV66" s="827"/>
      <c r="AW66" s="828"/>
      <c r="AX66" s="929">
        <v>212.37100000000001</v>
      </c>
      <c r="AY66" s="832">
        <v>200.35</v>
      </c>
      <c r="BA66" s="834">
        <v>0.33</v>
      </c>
      <c r="BB66" s="835"/>
      <c r="BC66" s="835"/>
    </row>
    <row r="67" spans="1:55" ht="14.5" customHeight="1" x14ac:dyDescent="0.2">
      <c r="A67" s="405" t="s">
        <v>350</v>
      </c>
      <c r="B67" s="401" t="s">
        <v>89</v>
      </c>
      <c r="C67" s="401"/>
      <c r="E67" s="919" t="s">
        <v>1250</v>
      </c>
      <c r="F67" s="906">
        <v>344.5</v>
      </c>
      <c r="G67" s="599">
        <v>325</v>
      </c>
      <c r="H67" s="404"/>
      <c r="Y67" s="393" t="s">
        <v>430</v>
      </c>
      <c r="Z67" s="406" t="s">
        <v>323</v>
      </c>
      <c r="AA67" s="923">
        <v>2148.6730000000002</v>
      </c>
      <c r="AB67" s="598">
        <v>2027.05</v>
      </c>
      <c r="AC67" s="395">
        <v>8</v>
      </c>
      <c r="AD67" s="406" t="s">
        <v>253</v>
      </c>
      <c r="AE67" s="395">
        <v>2</v>
      </c>
      <c r="AF67" s="396">
        <f>IF(AD67="S",AC67*#REF!*AE67,AC67*$AD$3*AE67)</f>
        <v>3.2</v>
      </c>
      <c r="AJ67" s="1065"/>
      <c r="AP67" s="414" t="s">
        <v>104</v>
      </c>
      <c r="AQ67" s="394">
        <f>AR67+(POLLUSTOP!$G$43*0.6)</f>
        <v>4157.1200000000008</v>
      </c>
      <c r="AR67" s="930">
        <v>3977.1200000000003</v>
      </c>
      <c r="AS67" s="596">
        <v>3752</v>
      </c>
      <c r="AU67" s="185" t="s">
        <v>898</v>
      </c>
      <c r="AV67" s="827"/>
      <c r="AW67" s="828"/>
      <c r="AX67" s="929">
        <v>346.27020000000005</v>
      </c>
      <c r="AY67" s="832">
        <v>326.67</v>
      </c>
      <c r="BA67" s="834">
        <v>2</v>
      </c>
      <c r="BB67" s="835"/>
      <c r="BC67" s="835"/>
    </row>
    <row r="68" spans="1:55" ht="14.5" customHeight="1" x14ac:dyDescent="0.2">
      <c r="A68" s="405" t="s">
        <v>342</v>
      </c>
      <c r="B68" s="401" t="s">
        <v>339</v>
      </c>
      <c r="C68" s="401"/>
      <c r="E68" s="919" t="s">
        <v>1251</v>
      </c>
      <c r="F68" s="906">
        <v>1711.9</v>
      </c>
      <c r="G68" s="599">
        <v>1615</v>
      </c>
      <c r="H68" s="404"/>
      <c r="Y68" s="393" t="s">
        <v>431</v>
      </c>
      <c r="Z68" s="406" t="s">
        <v>324</v>
      </c>
      <c r="AA68" s="923">
        <v>3128.1024000000002</v>
      </c>
      <c r="AB68" s="598">
        <v>2951.04</v>
      </c>
      <c r="AC68" s="395">
        <v>8</v>
      </c>
      <c r="AD68" s="406" t="s">
        <v>253</v>
      </c>
      <c r="AE68" s="395">
        <v>3</v>
      </c>
      <c r="AF68" s="396">
        <f>IF(AD68="S",AC68*#REF!*AE68,AC68*$AD$3*AE68)</f>
        <v>4.8000000000000007</v>
      </c>
      <c r="AJ68" s="1065"/>
      <c r="AK68" s="417" t="s">
        <v>706</v>
      </c>
      <c r="AL68" s="416" t="s">
        <v>442</v>
      </c>
      <c r="AM68" s="417"/>
      <c r="AN68" s="417"/>
      <c r="AP68" s="414" t="s">
        <v>106</v>
      </c>
      <c r="AQ68" s="394">
        <f>AR68+(POLLUSTOP!$G$43*0.6)</f>
        <v>4487.84</v>
      </c>
      <c r="AR68" s="930">
        <v>4307.84</v>
      </c>
      <c r="AS68" s="596">
        <v>4064</v>
      </c>
      <c r="AU68" s="185" t="s">
        <v>944</v>
      </c>
      <c r="AV68" s="827"/>
      <c r="AW68" s="828"/>
      <c r="AX68" s="929">
        <v>362.94400000000002</v>
      </c>
      <c r="AY68" s="832">
        <v>342.4</v>
      </c>
      <c r="BA68" s="834">
        <v>2</v>
      </c>
      <c r="BB68" s="835"/>
      <c r="BC68" s="835"/>
    </row>
    <row r="69" spans="1:55" ht="14.5" customHeight="1" x14ac:dyDescent="0.2">
      <c r="A69" s="405" t="s">
        <v>194</v>
      </c>
      <c r="B69" s="401" t="s">
        <v>338</v>
      </c>
      <c r="C69" s="401"/>
      <c r="E69" s="919" t="s">
        <v>1146</v>
      </c>
      <c r="F69" s="906">
        <v>969.90000000000009</v>
      </c>
      <c r="G69" s="599">
        <v>915</v>
      </c>
      <c r="H69" s="404"/>
      <c r="Y69" s="393" t="s">
        <v>432</v>
      </c>
      <c r="Z69" s="406" t="s">
        <v>325</v>
      </c>
      <c r="AA69" s="923">
        <v>4059.8318000000004</v>
      </c>
      <c r="AB69" s="598">
        <v>3830.03</v>
      </c>
      <c r="AC69" s="395">
        <v>8</v>
      </c>
      <c r="AD69" s="406" t="s">
        <v>253</v>
      </c>
      <c r="AE69" s="395">
        <v>4</v>
      </c>
      <c r="AF69" s="396">
        <f>IF(AD69="S",AC69*#REF!*AE69,AC69*$AD$3*AE69)</f>
        <v>6.4</v>
      </c>
      <c r="AJ69" s="1065"/>
      <c r="AK69" s="393" t="s">
        <v>115</v>
      </c>
      <c r="AL69" s="817" t="s">
        <v>1126</v>
      </c>
      <c r="AM69" s="906">
        <v>127.2</v>
      </c>
      <c r="AN69" s="596">
        <v>120</v>
      </c>
      <c r="AO69" s="602"/>
      <c r="AP69" s="414" t="s">
        <v>105</v>
      </c>
      <c r="AQ69" s="394">
        <f>AR69+(POLLUSTOP!$G$44*0.6)</f>
        <v>5199.9400000000005</v>
      </c>
      <c r="AR69" s="930">
        <v>5139.9400000000005</v>
      </c>
      <c r="AS69" s="596">
        <v>4849</v>
      </c>
      <c r="AU69" s="185" t="s">
        <v>945</v>
      </c>
      <c r="AV69" s="827"/>
      <c r="AW69" s="828"/>
      <c r="AX69" s="929">
        <v>311.41740000000004</v>
      </c>
      <c r="AY69" s="832">
        <v>293.79000000000002</v>
      </c>
      <c r="BA69" s="834">
        <v>1</v>
      </c>
      <c r="BB69" s="835"/>
      <c r="BC69" s="835"/>
    </row>
    <row r="70" spans="1:55" ht="14.5" customHeight="1" x14ac:dyDescent="0.2">
      <c r="A70" s="405" t="s">
        <v>193</v>
      </c>
      <c r="B70" s="401" t="s">
        <v>338</v>
      </c>
      <c r="C70" s="401"/>
      <c r="E70" s="919" t="s">
        <v>1252</v>
      </c>
      <c r="F70" s="906">
        <v>482.3</v>
      </c>
      <c r="G70" s="599">
        <v>455</v>
      </c>
      <c r="H70" s="404"/>
      <c r="Y70" s="393" t="s">
        <v>433</v>
      </c>
      <c r="Z70" s="406" t="s">
        <v>326</v>
      </c>
      <c r="AA70" s="923">
        <v>4991.561200000001</v>
      </c>
      <c r="AB70" s="598">
        <v>4709.0200000000004</v>
      </c>
      <c r="AC70" s="395">
        <v>8</v>
      </c>
      <c r="AD70" s="406" t="s">
        <v>253</v>
      </c>
      <c r="AE70" s="395">
        <v>5</v>
      </c>
      <c r="AF70" s="396">
        <f>IF(AD70="S",AC70*#REF!*AE70,AC70*$AD$3*AE70)</f>
        <v>8</v>
      </c>
      <c r="AJ70" s="1065"/>
      <c r="AK70" s="393" t="s">
        <v>114</v>
      </c>
      <c r="AL70" s="817" t="s">
        <v>1127</v>
      </c>
      <c r="AM70" s="906">
        <v>127.2</v>
      </c>
      <c r="AN70" s="596">
        <v>120</v>
      </c>
      <c r="AO70" s="602"/>
      <c r="AP70" s="405"/>
      <c r="AU70" s="185" t="s">
        <v>946</v>
      </c>
      <c r="AV70" s="827"/>
      <c r="AW70" s="828"/>
      <c r="AX70" s="929">
        <v>927.01239999999996</v>
      </c>
      <c r="AY70" s="832">
        <v>874.54</v>
      </c>
      <c r="BA70" s="834">
        <v>1</v>
      </c>
      <c r="BB70" s="835"/>
      <c r="BC70" s="835"/>
    </row>
    <row r="71" spans="1:55" ht="14.5" customHeight="1" x14ac:dyDescent="0.2">
      <c r="E71" s="919" t="s">
        <v>1253</v>
      </c>
      <c r="F71" s="906">
        <v>424</v>
      </c>
      <c r="G71" s="599">
        <v>400</v>
      </c>
      <c r="H71" s="404"/>
      <c r="Y71" s="393" t="s">
        <v>434</v>
      </c>
      <c r="Z71" s="406" t="s">
        <v>327</v>
      </c>
      <c r="AA71" s="923">
        <v>5923.2906000000003</v>
      </c>
      <c r="AB71" s="598">
        <v>5588.01</v>
      </c>
      <c r="AC71" s="395">
        <v>8</v>
      </c>
      <c r="AD71" s="406" t="s">
        <v>253</v>
      </c>
      <c r="AE71" s="395">
        <v>6</v>
      </c>
      <c r="AF71" s="396">
        <f>IF(AD71="S",AC71*#REF!*AE71,AC71*$AD$3*AE71)</f>
        <v>9.6000000000000014</v>
      </c>
      <c r="AJ71" s="1065"/>
      <c r="AK71" s="393" t="s">
        <v>116</v>
      </c>
      <c r="AL71" s="393" t="s">
        <v>245</v>
      </c>
      <c r="AM71" s="906">
        <v>583</v>
      </c>
      <c r="AN71" s="596">
        <v>550</v>
      </c>
      <c r="AO71" s="602"/>
      <c r="AP71" s="423" t="s">
        <v>30</v>
      </c>
      <c r="AQ71" s="417"/>
      <c r="AR71" s="417"/>
      <c r="AS71" s="417"/>
      <c r="AU71" s="927" t="s">
        <v>924</v>
      </c>
      <c r="AV71" s="925"/>
      <c r="AW71" s="926"/>
      <c r="AX71" s="929">
        <v>351.04020000000003</v>
      </c>
      <c r="AY71" s="832">
        <v>331.17</v>
      </c>
      <c r="BA71" s="834">
        <v>1</v>
      </c>
      <c r="BB71" s="835"/>
      <c r="BC71" s="835"/>
    </row>
    <row r="72" spans="1:55" ht="14.5" customHeight="1" x14ac:dyDescent="0.2">
      <c r="E72" s="919" t="s">
        <v>1254</v>
      </c>
      <c r="F72" s="906">
        <v>1469.16</v>
      </c>
      <c r="G72" s="599">
        <v>1386</v>
      </c>
      <c r="H72" s="404"/>
      <c r="Y72" s="393" t="s">
        <v>435</v>
      </c>
      <c r="Z72" s="406" t="s">
        <v>328</v>
      </c>
      <c r="AA72" s="923">
        <v>6855.02</v>
      </c>
      <c r="AB72" s="598">
        <v>6467</v>
      </c>
      <c r="AC72" s="395">
        <v>8</v>
      </c>
      <c r="AD72" s="406" t="s">
        <v>253</v>
      </c>
      <c r="AE72" s="395">
        <v>7</v>
      </c>
      <c r="AF72" s="396">
        <f>IF(AD72="S",AC72*#REF!*AE72,AC72*$AD$3*AE72)</f>
        <v>11.200000000000001</v>
      </c>
      <c r="AJ72" s="1065"/>
      <c r="AK72" s="393" t="s">
        <v>13</v>
      </c>
      <c r="AL72" s="393" t="s">
        <v>246</v>
      </c>
      <c r="AM72" s="906">
        <v>127.2</v>
      </c>
      <c r="AN72" s="596">
        <v>120</v>
      </c>
      <c r="AO72" s="602"/>
      <c r="AP72" s="414" t="s">
        <v>80</v>
      </c>
      <c r="AQ72" s="394">
        <v>0</v>
      </c>
      <c r="AR72" s="908"/>
      <c r="AS72" s="908"/>
      <c r="AU72" s="927" t="s">
        <v>947</v>
      </c>
      <c r="AV72" s="925"/>
      <c r="AW72" s="926"/>
      <c r="AX72" s="929">
        <v>367.714</v>
      </c>
      <c r="AY72" s="832">
        <v>346.9</v>
      </c>
      <c r="BA72" s="834">
        <v>1</v>
      </c>
      <c r="BB72" s="835"/>
    </row>
    <row r="73" spans="1:55" ht="14.5" customHeight="1" x14ac:dyDescent="0.15">
      <c r="E73" s="919" t="s">
        <v>1255</v>
      </c>
      <c r="F73" s="906">
        <v>371</v>
      </c>
      <c r="G73" s="599">
        <v>350</v>
      </c>
      <c r="H73" s="404"/>
      <c r="Y73" s="393" t="s">
        <v>436</v>
      </c>
      <c r="Z73" s="406" t="s">
        <v>329</v>
      </c>
      <c r="AA73" s="923">
        <v>7786.7494000000006</v>
      </c>
      <c r="AB73" s="598">
        <v>7345.99</v>
      </c>
      <c r="AC73" s="395">
        <v>8</v>
      </c>
      <c r="AD73" s="406" t="s">
        <v>253</v>
      </c>
      <c r="AE73" s="395">
        <v>8</v>
      </c>
      <c r="AF73" s="396">
        <f>IF(AD73="S",AC73*#REF!*AE73,AC73*$AD$3*AE73)</f>
        <v>12.8</v>
      </c>
      <c r="AJ73" s="1065"/>
      <c r="AK73" s="393" t="s">
        <v>233</v>
      </c>
      <c r="AL73" s="393" t="s">
        <v>245</v>
      </c>
      <c r="AM73" s="906">
        <v>603</v>
      </c>
      <c r="AN73" s="596">
        <v>423</v>
      </c>
      <c r="AO73" s="602"/>
      <c r="AP73" s="414" t="s">
        <v>615</v>
      </c>
      <c r="AQ73" s="394">
        <f>(POLLUSTOP!$G$39*0.8)+AR73</f>
        <v>2531.88</v>
      </c>
      <c r="AR73" s="930">
        <f>AS73*1.06</f>
        <v>1291.0800000000002</v>
      </c>
      <c r="AS73" s="596">
        <v>1218</v>
      </c>
      <c r="AU73" s="833"/>
      <c r="AV73" s="827"/>
      <c r="AW73" s="828"/>
      <c r="AX73" s="829"/>
      <c r="AY73" s="832"/>
      <c r="BA73" s="831"/>
    </row>
    <row r="74" spans="1:55" ht="14.5" customHeight="1" x14ac:dyDescent="0.15">
      <c r="E74" s="919" t="s">
        <v>1150</v>
      </c>
      <c r="F74" s="906">
        <v>858.6</v>
      </c>
      <c r="G74" s="599">
        <v>810</v>
      </c>
      <c r="H74" s="404"/>
      <c r="Y74" s="393" t="s">
        <v>437</v>
      </c>
      <c r="Z74" s="406" t="s">
        <v>330</v>
      </c>
      <c r="AA74" s="923">
        <v>8718.4788000000008</v>
      </c>
      <c r="AB74" s="598">
        <v>8224.98</v>
      </c>
      <c r="AC74" s="395">
        <v>8</v>
      </c>
      <c r="AD74" s="406" t="s">
        <v>253</v>
      </c>
      <c r="AE74" s="395">
        <v>9</v>
      </c>
      <c r="AF74" s="396">
        <f>IF(AD74="S",AC74*#REF!*AE74,AC74*$AD$3*AE74)</f>
        <v>14.4</v>
      </c>
      <c r="AJ74" s="1065"/>
      <c r="AK74" s="393" t="s">
        <v>232</v>
      </c>
      <c r="AL74" s="393" t="s">
        <v>247</v>
      </c>
      <c r="AM74" s="906">
        <v>603</v>
      </c>
      <c r="AN74" s="596">
        <v>423</v>
      </c>
      <c r="AO74" s="602"/>
      <c r="AP74" s="414" t="s">
        <v>616</v>
      </c>
      <c r="AQ74" s="394">
        <f>AR74+(POLLUSTOP!$G$40*0.8)</f>
        <v>2438.2600000000002</v>
      </c>
      <c r="AR74" s="930">
        <f t="shared" ref="AR74:AR82" si="8">AS74*1.06</f>
        <v>1972.66</v>
      </c>
      <c r="AS74" s="596">
        <v>1861</v>
      </c>
      <c r="AU74" s="814"/>
      <c r="AV74" s="413"/>
      <c r="AW74" s="408"/>
      <c r="AX74" s="808"/>
    </row>
    <row r="75" spans="1:55" ht="14.5" customHeight="1" x14ac:dyDescent="0.15">
      <c r="E75" s="919" t="s">
        <v>1151</v>
      </c>
      <c r="F75" s="906">
        <v>858.6</v>
      </c>
      <c r="G75" s="599">
        <v>810</v>
      </c>
      <c r="H75" s="404"/>
      <c r="Y75" s="393" t="s">
        <v>438</v>
      </c>
      <c r="Z75" s="406" t="s">
        <v>331</v>
      </c>
      <c r="AA75" s="923">
        <v>9650.2081999999991</v>
      </c>
      <c r="AB75" s="598">
        <v>9103.9699999999993</v>
      </c>
      <c r="AC75" s="395">
        <v>8</v>
      </c>
      <c r="AD75" s="406" t="s">
        <v>253</v>
      </c>
      <c r="AE75" s="395">
        <v>10</v>
      </c>
      <c r="AF75" s="396">
        <f>IF(AD75="S",AC75*#REF!*AE75,AC75*$AD$3*AE75)</f>
        <v>16</v>
      </c>
      <c r="AJ75" s="1065"/>
      <c r="AP75" s="414" t="s">
        <v>617</v>
      </c>
      <c r="AQ75" s="394">
        <f>AR75+(POLLUSTOP!$G$41*0.8)</f>
        <v>2630.92</v>
      </c>
      <c r="AR75" s="930">
        <f t="shared" si="8"/>
        <v>2630.92</v>
      </c>
      <c r="AS75" s="596">
        <v>2482</v>
      </c>
      <c r="AU75" s="408" t="s">
        <v>477</v>
      </c>
      <c r="AV75" s="413"/>
      <c r="AW75" s="408"/>
      <c r="AX75" s="808"/>
    </row>
    <row r="76" spans="1:55" ht="14.5" customHeight="1" x14ac:dyDescent="0.15">
      <c r="E76" s="919" t="s">
        <v>1214</v>
      </c>
      <c r="F76" s="906">
        <v>424</v>
      </c>
      <c r="G76" s="599">
        <v>400</v>
      </c>
      <c r="H76" s="404"/>
      <c r="Y76" s="393" t="s">
        <v>439</v>
      </c>
      <c r="Z76" s="406" t="s">
        <v>332</v>
      </c>
      <c r="AA76" s="923">
        <v>10581.937599999999</v>
      </c>
      <c r="AB76" s="598">
        <v>9982.9599999999991</v>
      </c>
      <c r="AC76" s="395">
        <v>8</v>
      </c>
      <c r="AD76" s="406" t="s">
        <v>253</v>
      </c>
      <c r="AE76" s="395">
        <v>11</v>
      </c>
      <c r="AF76" s="396">
        <f>IF(AD76="S",AC76*#REF!*AE76,AC76*$AD$3*AE76)</f>
        <v>17.600000000000001</v>
      </c>
      <c r="AJ76" s="1065"/>
      <c r="AP76" s="414" t="s">
        <v>618</v>
      </c>
      <c r="AQ76" s="394">
        <f>AR76+(POLLUSTOP!$G$41*0.8)</f>
        <v>3227.7000000000003</v>
      </c>
      <c r="AR76" s="930">
        <f t="shared" si="8"/>
        <v>3227.7000000000003</v>
      </c>
      <c r="AS76" s="596">
        <v>3045</v>
      </c>
      <c r="AU76" s="408"/>
      <c r="AV76" s="413"/>
      <c r="AW76" s="408"/>
      <c r="AX76" s="808"/>
    </row>
    <row r="77" spans="1:55" ht="14.5" customHeight="1" x14ac:dyDescent="0.15">
      <c r="E77" s="919" t="s">
        <v>1266</v>
      </c>
      <c r="F77" s="906">
        <v>323.3</v>
      </c>
      <c r="G77" s="599">
        <v>305</v>
      </c>
      <c r="H77" s="404"/>
      <c r="Y77" s="393" t="s">
        <v>440</v>
      </c>
      <c r="Z77" s="406" t="s">
        <v>333</v>
      </c>
      <c r="AA77" s="923">
        <v>11513.667000000001</v>
      </c>
      <c r="AB77" s="598">
        <v>10861.95</v>
      </c>
      <c r="AC77" s="395">
        <v>8</v>
      </c>
      <c r="AD77" s="406" t="s">
        <v>253</v>
      </c>
      <c r="AE77" s="395">
        <v>12</v>
      </c>
      <c r="AF77" s="396">
        <f>IF(AD77="S",AC77*#REF!*AE77,AC77*$AD$3*AE77)</f>
        <v>19.200000000000003</v>
      </c>
      <c r="AJ77" s="1065"/>
      <c r="AP77" s="414" t="s">
        <v>619</v>
      </c>
      <c r="AQ77" s="394">
        <f>AR77+(POLLUSTOP!$G$42*0.8)</f>
        <v>4305.72</v>
      </c>
      <c r="AR77" s="930">
        <f t="shared" si="8"/>
        <v>4305.72</v>
      </c>
      <c r="AS77" s="596">
        <v>4062</v>
      </c>
      <c r="AU77" s="408"/>
      <c r="AV77" s="413"/>
      <c r="AW77" s="408"/>
      <c r="AX77" s="808"/>
    </row>
    <row r="78" spans="1:55" ht="14.5" customHeight="1" x14ac:dyDescent="0.15">
      <c r="E78" s="919" t="s">
        <v>1204</v>
      </c>
      <c r="F78" s="906">
        <v>1590</v>
      </c>
      <c r="G78" s="599">
        <v>1500</v>
      </c>
      <c r="H78" s="404"/>
      <c r="AP78" s="414" t="s">
        <v>620</v>
      </c>
      <c r="AQ78" s="394">
        <f>AR78+(POLLUSTOP!$G$42*0.8)</f>
        <v>4382.04</v>
      </c>
      <c r="AR78" s="930">
        <f t="shared" si="8"/>
        <v>4382.04</v>
      </c>
      <c r="AS78" s="596">
        <v>4134</v>
      </c>
      <c r="AU78" s="814"/>
      <c r="AV78" s="413"/>
      <c r="AW78" s="814"/>
      <c r="AX78" s="808"/>
    </row>
    <row r="79" spans="1:55" ht="14.5" customHeight="1" x14ac:dyDescent="0.15">
      <c r="E79" s="919" t="s">
        <v>1186</v>
      </c>
      <c r="F79" s="906">
        <v>598.9</v>
      </c>
      <c r="G79" s="599">
        <v>565</v>
      </c>
      <c r="H79" s="404"/>
      <c r="AP79" s="414" t="s">
        <v>621</v>
      </c>
      <c r="AQ79" s="394">
        <f>AR79+(POLLUSTOP!$G$43*0.8)</f>
        <v>6176</v>
      </c>
      <c r="AR79" s="930">
        <f t="shared" si="8"/>
        <v>5936</v>
      </c>
      <c r="AS79" s="596">
        <v>5600</v>
      </c>
      <c r="AU79" s="814"/>
      <c r="AV79" s="413"/>
      <c r="AW79" s="814"/>
      <c r="AX79" s="808"/>
    </row>
    <row r="80" spans="1:55" ht="14.5" customHeight="1" x14ac:dyDescent="0.15">
      <c r="E80" s="919" t="s">
        <v>1157</v>
      </c>
      <c r="F80" s="906">
        <v>545.9</v>
      </c>
      <c r="G80" s="599">
        <v>515</v>
      </c>
      <c r="H80" s="404"/>
      <c r="AP80" s="414" t="s">
        <v>622</v>
      </c>
      <c r="AQ80" s="394">
        <f>AR80+(POLLUSTOP!$G$43*0.8)</f>
        <v>6364.68</v>
      </c>
      <c r="AR80" s="930">
        <f t="shared" si="8"/>
        <v>6124.68</v>
      </c>
      <c r="AS80" s="596">
        <v>5778</v>
      </c>
      <c r="AU80" s="814"/>
      <c r="AV80" s="413"/>
      <c r="AW80" s="408"/>
      <c r="AX80" s="808"/>
    </row>
    <row r="81" spans="5:51" ht="14.5" customHeight="1" x14ac:dyDescent="0.15">
      <c r="E81" s="919" t="s">
        <v>1256</v>
      </c>
      <c r="F81" s="906">
        <v>567.1</v>
      </c>
      <c r="G81" s="599">
        <v>535</v>
      </c>
      <c r="H81" s="404"/>
      <c r="AP81" s="414" t="s">
        <v>623</v>
      </c>
      <c r="AQ81" s="394">
        <f>AR81+(POLLUSTOP!$G$43*0.8)</f>
        <v>7965.2800000000007</v>
      </c>
      <c r="AR81" s="930">
        <f t="shared" si="8"/>
        <v>7725.2800000000007</v>
      </c>
      <c r="AS81" s="596">
        <v>7288</v>
      </c>
      <c r="AU81" s="408"/>
      <c r="AV81" s="413"/>
      <c r="AW81" s="408"/>
      <c r="AX81" s="808"/>
    </row>
    <row r="82" spans="5:51" ht="14.5" customHeight="1" x14ac:dyDescent="0.15">
      <c r="E82" s="919" t="s">
        <v>1172</v>
      </c>
      <c r="F82" s="906">
        <v>567.1</v>
      </c>
      <c r="G82" s="599">
        <v>535</v>
      </c>
      <c r="H82" s="404"/>
      <c r="AP82" s="414" t="s">
        <v>624</v>
      </c>
      <c r="AQ82" s="394">
        <f>AR82+(POLLUSTOP!$G$44*0.8)</f>
        <v>8354.36</v>
      </c>
      <c r="AR82" s="930">
        <f t="shared" si="8"/>
        <v>8274.36</v>
      </c>
      <c r="AS82" s="596">
        <v>7806</v>
      </c>
      <c r="AU82" s="408"/>
      <c r="AV82" s="413"/>
      <c r="AW82" s="408"/>
      <c r="AX82" s="808"/>
    </row>
    <row r="83" spans="5:51" ht="14.5" customHeight="1" x14ac:dyDescent="0.15">
      <c r="E83" s="919" t="s">
        <v>1185</v>
      </c>
      <c r="F83" s="906">
        <v>863.90000000000009</v>
      </c>
      <c r="G83" s="599">
        <v>815</v>
      </c>
      <c r="H83" s="404"/>
      <c r="AP83" s="405"/>
      <c r="AU83" s="408"/>
      <c r="AV83" s="413"/>
      <c r="AW83" s="408"/>
      <c r="AX83" s="808"/>
    </row>
    <row r="84" spans="5:51" ht="14.5" customHeight="1" x14ac:dyDescent="0.15">
      <c r="E84" s="919" t="s">
        <v>1257</v>
      </c>
      <c r="F84" s="906">
        <v>344.5</v>
      </c>
      <c r="G84" s="599">
        <v>325</v>
      </c>
      <c r="H84" s="404"/>
      <c r="AP84" s="423" t="s">
        <v>93</v>
      </c>
      <c r="AQ84" s="417"/>
      <c r="AR84" s="417"/>
      <c r="AS84" s="417"/>
      <c r="AU84" s="408"/>
      <c r="AV84" s="413"/>
      <c r="AW84" s="408"/>
      <c r="AX84" s="808"/>
    </row>
    <row r="85" spans="5:51" ht="14.5" customHeight="1" x14ac:dyDescent="0.15">
      <c r="E85" s="919" t="s">
        <v>1258</v>
      </c>
      <c r="F85" s="906">
        <v>344.5</v>
      </c>
      <c r="G85" s="599">
        <v>325</v>
      </c>
      <c r="H85" s="404"/>
      <c r="AP85" s="414" t="s">
        <v>80</v>
      </c>
      <c r="AQ85" s="394">
        <v>0</v>
      </c>
      <c r="AR85" s="918"/>
      <c r="AS85" s="918"/>
      <c r="AU85" s="408" t="s">
        <v>478</v>
      </c>
      <c r="AV85" s="413"/>
      <c r="AW85" s="408" t="s">
        <v>498</v>
      </c>
      <c r="AX85" s="1074">
        <v>90.619399999999999</v>
      </c>
      <c r="AY85" s="601">
        <v>85.49</v>
      </c>
    </row>
    <row r="86" spans="5:51" ht="14.5" customHeight="1" x14ac:dyDescent="0.15">
      <c r="E86" s="919" t="s">
        <v>1259</v>
      </c>
      <c r="F86" s="906">
        <v>890.40000000000009</v>
      </c>
      <c r="G86" s="599">
        <v>840</v>
      </c>
      <c r="H86" s="404"/>
      <c r="AP86" s="414" t="s">
        <v>1482</v>
      </c>
      <c r="AQ86" s="394">
        <f>(POLLUSTOP!$G$39*0.126)+AR86</f>
        <v>2197.7660000000001</v>
      </c>
      <c r="AR86" s="930">
        <f>AS86*1.06</f>
        <v>2002.3400000000001</v>
      </c>
      <c r="AS86" s="596">
        <v>1889</v>
      </c>
      <c r="AU86" s="408" t="s">
        <v>479</v>
      </c>
      <c r="AV86" s="413"/>
      <c r="AW86" s="408" t="s">
        <v>442</v>
      </c>
      <c r="AX86" s="1074">
        <v>40.396599999999999</v>
      </c>
      <c r="AY86" s="601">
        <v>38.11</v>
      </c>
    </row>
    <row r="87" spans="5:51" ht="14.5" customHeight="1" x14ac:dyDescent="0.2">
      <c r="E87" s="919" t="s">
        <v>1260</v>
      </c>
      <c r="F87" s="906">
        <v>940.22</v>
      </c>
      <c r="G87" s="599">
        <v>887</v>
      </c>
      <c r="H87" s="404"/>
      <c r="AP87" s="18" t="s">
        <v>533</v>
      </c>
      <c r="AQ87" s="394">
        <f>AR87+(POLLUSTOP!$G$40*1.56)</f>
        <v>3178.44</v>
      </c>
      <c r="AR87" s="930">
        <f t="shared" ref="AR87:AR95" si="9">AS87*1.06</f>
        <v>2270.52</v>
      </c>
      <c r="AS87" s="596">
        <v>2142</v>
      </c>
      <c r="AU87" s="817" t="s">
        <v>1339</v>
      </c>
      <c r="AV87" s="406"/>
      <c r="AW87" s="408" t="s">
        <v>499</v>
      </c>
      <c r="AX87" s="924">
        <v>836.34</v>
      </c>
      <c r="AY87" s="601">
        <v>789</v>
      </c>
    </row>
    <row r="88" spans="5:51" ht="14.5" customHeight="1" x14ac:dyDescent="0.2">
      <c r="E88" s="919" t="s">
        <v>1265</v>
      </c>
      <c r="F88" s="906">
        <v>445.20000000000005</v>
      </c>
      <c r="G88" s="599">
        <v>420</v>
      </c>
      <c r="H88" s="404"/>
      <c r="AP88" s="18" t="s">
        <v>534</v>
      </c>
      <c r="AQ88" s="394">
        <f>AR88+(POLLUSTOP!$G$41*1.56)</f>
        <v>3158.8</v>
      </c>
      <c r="AR88" s="930">
        <f t="shared" si="9"/>
        <v>3158.8</v>
      </c>
      <c r="AS88" s="596">
        <v>2980</v>
      </c>
      <c r="AU88" s="408" t="s">
        <v>478</v>
      </c>
      <c r="AV88" s="413"/>
      <c r="AW88" s="408" t="s">
        <v>500</v>
      </c>
      <c r="AX88" s="1074">
        <v>146.30120000000002</v>
      </c>
      <c r="AY88" s="601">
        <v>138.02000000000001</v>
      </c>
    </row>
    <row r="89" spans="5:51" ht="14.5" customHeight="1" x14ac:dyDescent="0.2">
      <c r="E89" s="919" t="s">
        <v>1212</v>
      </c>
      <c r="F89" s="906">
        <v>1060</v>
      </c>
      <c r="G89" s="599">
        <v>1000</v>
      </c>
      <c r="H89" s="404"/>
      <c r="AP89" s="18" t="s">
        <v>535</v>
      </c>
      <c r="AQ89" s="394">
        <f>AR89+(POLLUSTOP!$G$41*1.56)</f>
        <v>3671.84</v>
      </c>
      <c r="AR89" s="930">
        <f t="shared" si="9"/>
        <v>3671.84</v>
      </c>
      <c r="AS89" s="596">
        <v>3464</v>
      </c>
      <c r="AU89" s="423" t="s">
        <v>58</v>
      </c>
      <c r="AV89" s="424"/>
      <c r="AW89" s="425" t="s">
        <v>442</v>
      </c>
      <c r="AX89" s="423"/>
      <c r="AY89" s="1073"/>
    </row>
    <row r="90" spans="5:51" ht="14.5" customHeight="1" x14ac:dyDescent="0.2">
      <c r="E90" s="919" t="s">
        <v>1158</v>
      </c>
      <c r="F90" s="906">
        <v>726.1</v>
      </c>
      <c r="G90" s="599">
        <v>685</v>
      </c>
      <c r="H90" s="404"/>
      <c r="AP90" s="18" t="s">
        <v>1483</v>
      </c>
      <c r="AQ90" s="394">
        <f>AR90+(POLLUSTOP!$G$42*1.56)</f>
        <v>4318.4400000000005</v>
      </c>
      <c r="AR90" s="930">
        <f t="shared" si="9"/>
        <v>4318.4400000000005</v>
      </c>
      <c r="AS90" s="596">
        <v>4074</v>
      </c>
      <c r="AU90" s="408" t="s">
        <v>21</v>
      </c>
      <c r="AV90" s="413"/>
      <c r="AW90" s="408" t="s">
        <v>501</v>
      </c>
      <c r="AX90" s="924">
        <v>422.53720000000004</v>
      </c>
      <c r="AY90" s="601">
        <v>398.62</v>
      </c>
    </row>
    <row r="91" spans="5:51" ht="14.5" customHeight="1" x14ac:dyDescent="0.2">
      <c r="E91" s="919" t="s">
        <v>1138</v>
      </c>
      <c r="F91" s="906">
        <v>386.90000000000003</v>
      </c>
      <c r="G91" s="599">
        <v>365</v>
      </c>
      <c r="H91" s="404"/>
      <c r="AP91" s="18" t="s">
        <v>1484</v>
      </c>
      <c r="AQ91" s="394">
        <f>AR91+(POLLUSTOP!$G$42*1.56)</f>
        <v>4642.8</v>
      </c>
      <c r="AR91" s="930">
        <f t="shared" si="9"/>
        <v>4642.8</v>
      </c>
      <c r="AS91" s="596">
        <v>4380</v>
      </c>
      <c r="AU91" s="408" t="s">
        <v>21</v>
      </c>
      <c r="AV91" s="413"/>
      <c r="AW91" s="408" t="s">
        <v>502</v>
      </c>
      <c r="AX91" s="924">
        <v>355.43920000000003</v>
      </c>
      <c r="AY91" s="601">
        <v>335.32</v>
      </c>
    </row>
    <row r="92" spans="5:51" ht="14.5" customHeight="1" x14ac:dyDescent="0.2">
      <c r="E92" s="919" t="s">
        <v>1261</v>
      </c>
      <c r="F92" s="906">
        <v>651.9</v>
      </c>
      <c r="G92" s="599">
        <v>615</v>
      </c>
      <c r="H92" s="404"/>
      <c r="AP92" s="18" t="s">
        <v>1485</v>
      </c>
      <c r="AQ92" s="394">
        <f>AR92+(POLLUSTOP!$G$43*1.56)</f>
        <v>6261.96</v>
      </c>
      <c r="AR92" s="930">
        <f t="shared" si="9"/>
        <v>5793.96</v>
      </c>
      <c r="AS92" s="596">
        <v>5466</v>
      </c>
      <c r="AU92" s="408" t="s">
        <v>21</v>
      </c>
      <c r="AV92" s="413"/>
      <c r="AW92" s="408" t="s">
        <v>503</v>
      </c>
      <c r="AX92" s="924">
        <v>344.43639999999999</v>
      </c>
      <c r="AY92" s="601">
        <v>324.94</v>
      </c>
    </row>
    <row r="93" spans="5:51" ht="14.5" customHeight="1" x14ac:dyDescent="0.2">
      <c r="E93" s="919" t="s">
        <v>1262</v>
      </c>
      <c r="F93" s="906">
        <v>1203.1000000000001</v>
      </c>
      <c r="G93" s="599">
        <v>1135</v>
      </c>
      <c r="H93" s="404"/>
      <c r="AP93" s="18" t="s">
        <v>625</v>
      </c>
      <c r="AQ93" s="394">
        <f>AR93+(POLLUSTOP!$G$43*2.06)</f>
        <v>7236.64</v>
      </c>
      <c r="AR93" s="930">
        <f t="shared" si="9"/>
        <v>6618.64</v>
      </c>
      <c r="AS93" s="596">
        <v>6244</v>
      </c>
      <c r="AU93" s="408" t="s">
        <v>21</v>
      </c>
      <c r="AV93" s="413"/>
      <c r="AW93" s="408" t="s">
        <v>504</v>
      </c>
      <c r="AX93" s="924">
        <v>301.8562</v>
      </c>
      <c r="AY93" s="601">
        <v>284.77</v>
      </c>
    </row>
    <row r="94" spans="5:51" ht="14.5" customHeight="1" x14ac:dyDescent="0.2">
      <c r="E94" s="919" t="s">
        <v>1263</v>
      </c>
      <c r="F94" s="906">
        <v>651.9</v>
      </c>
      <c r="G94" s="599">
        <v>615</v>
      </c>
      <c r="H94" s="404"/>
      <c r="AP94" s="18" t="s">
        <v>626</v>
      </c>
      <c r="AQ94" s="394">
        <f>AR94+(POLLUSTOP!$G$43*2.06)</f>
        <v>7668.06</v>
      </c>
      <c r="AR94" s="930">
        <f t="shared" si="9"/>
        <v>7050.06</v>
      </c>
      <c r="AS94" s="596">
        <v>6651</v>
      </c>
      <c r="AU94" s="408" t="s">
        <v>20</v>
      </c>
      <c r="AV94" s="413"/>
      <c r="AW94" s="408" t="s">
        <v>505</v>
      </c>
      <c r="AX94" s="924">
        <v>70.3416</v>
      </c>
      <c r="AY94" s="601">
        <v>66.36</v>
      </c>
    </row>
    <row r="95" spans="5:51" ht="14.5" customHeight="1" x14ac:dyDescent="0.2">
      <c r="E95" s="919" t="s">
        <v>1264</v>
      </c>
      <c r="F95" s="906">
        <v>344.5</v>
      </c>
      <c r="G95" s="599">
        <v>325</v>
      </c>
      <c r="H95" s="404"/>
      <c r="AP95" s="18" t="s">
        <v>627</v>
      </c>
      <c r="AQ95" s="394">
        <f>AR95+(POLLUSTOP!$G$44*2.06)</f>
        <v>7417.18</v>
      </c>
      <c r="AR95" s="930">
        <f t="shared" si="9"/>
        <v>7211.18</v>
      </c>
      <c r="AS95" s="596">
        <v>6803</v>
      </c>
      <c r="AU95" s="408" t="s">
        <v>20</v>
      </c>
      <c r="AV95" s="413"/>
      <c r="AW95" s="408" t="s">
        <v>506</v>
      </c>
      <c r="AX95" s="924">
        <v>76.436599999999999</v>
      </c>
      <c r="AY95" s="601">
        <v>72.11</v>
      </c>
    </row>
    <row r="96" spans="5:51" ht="14.5" customHeight="1" x14ac:dyDescent="0.15">
      <c r="E96" s="919" t="s">
        <v>1267</v>
      </c>
      <c r="F96" s="906">
        <v>344.5</v>
      </c>
      <c r="G96" s="599">
        <v>325</v>
      </c>
      <c r="H96" s="404"/>
      <c r="AP96" s="405"/>
      <c r="AU96" s="393" t="s">
        <v>20</v>
      </c>
      <c r="AV96" s="406"/>
      <c r="AW96" s="408" t="s">
        <v>507</v>
      </c>
      <c r="AX96" s="924">
        <v>72.525200000000012</v>
      </c>
      <c r="AY96" s="601">
        <v>68.42</v>
      </c>
    </row>
    <row r="97" spans="5:51" ht="14.5" customHeight="1" x14ac:dyDescent="0.15">
      <c r="E97" s="919" t="s">
        <v>1268</v>
      </c>
      <c r="F97" s="906">
        <v>906.30000000000007</v>
      </c>
      <c r="G97" s="599">
        <v>855</v>
      </c>
      <c r="H97" s="404"/>
      <c r="AP97" s="423" t="s">
        <v>96</v>
      </c>
      <c r="AQ97" s="417"/>
      <c r="AR97" s="417"/>
      <c r="AS97" s="417"/>
      <c r="AU97" s="393" t="s">
        <v>20</v>
      </c>
      <c r="AV97" s="406"/>
      <c r="AW97" s="408" t="s">
        <v>508</v>
      </c>
      <c r="AX97" s="924">
        <v>109.74180000000001</v>
      </c>
      <c r="AY97" s="601">
        <v>103.53</v>
      </c>
    </row>
    <row r="98" spans="5:51" ht="14.5" customHeight="1" x14ac:dyDescent="0.15">
      <c r="E98" s="919" t="s">
        <v>1197</v>
      </c>
      <c r="F98" s="906">
        <v>895.7</v>
      </c>
      <c r="G98" s="599">
        <v>845</v>
      </c>
      <c r="H98" s="404"/>
      <c r="AP98" s="414" t="s">
        <v>80</v>
      </c>
      <c r="AQ98" s="394">
        <v>0</v>
      </c>
      <c r="AR98" s="908"/>
      <c r="AS98" s="908"/>
      <c r="AU98" s="408" t="s">
        <v>59</v>
      </c>
      <c r="AV98" s="413"/>
      <c r="AW98" s="408" t="s">
        <v>507</v>
      </c>
      <c r="AX98" s="924">
        <v>80.263199999999998</v>
      </c>
      <c r="AY98" s="601">
        <v>75.72</v>
      </c>
    </row>
    <row r="99" spans="5:51" ht="14.5" customHeight="1" x14ac:dyDescent="0.15">
      <c r="E99" s="919" t="s">
        <v>1269</v>
      </c>
      <c r="F99" s="906">
        <v>396.44</v>
      </c>
      <c r="G99" s="599">
        <v>374</v>
      </c>
      <c r="H99" s="404"/>
      <c r="AP99" s="414" t="s">
        <v>97</v>
      </c>
      <c r="AQ99" s="394">
        <f>(POLLUSTOP!$G$39*0.6)+AR99</f>
        <v>1448.94</v>
      </c>
      <c r="AR99" s="930">
        <v>518.34</v>
      </c>
      <c r="AS99" s="596">
        <v>489</v>
      </c>
      <c r="AU99" s="408" t="s">
        <v>59</v>
      </c>
      <c r="AV99" s="413"/>
      <c r="AW99" s="408" t="s">
        <v>508</v>
      </c>
      <c r="AX99" s="924">
        <v>105.88340000000001</v>
      </c>
      <c r="AY99" s="601">
        <v>99.89</v>
      </c>
    </row>
    <row r="100" spans="5:51" ht="14.5" customHeight="1" x14ac:dyDescent="0.15">
      <c r="E100" s="919" t="s">
        <v>1203</v>
      </c>
      <c r="F100" s="906">
        <v>2072.3000000000002</v>
      </c>
      <c r="G100" s="599">
        <v>1955</v>
      </c>
      <c r="H100" s="404"/>
      <c r="AP100" s="414" t="s">
        <v>98</v>
      </c>
      <c r="AQ100" s="394">
        <f>AR100+(POLLUSTOP!$G$40*0.6)</f>
        <v>957.6400000000001</v>
      </c>
      <c r="AR100" s="930">
        <v>608.44000000000005</v>
      </c>
      <c r="AS100" s="596">
        <v>574</v>
      </c>
      <c r="AU100" s="408" t="s">
        <v>70</v>
      </c>
      <c r="AV100" s="413"/>
      <c r="AW100" s="408" t="s">
        <v>509</v>
      </c>
      <c r="AX100" s="924">
        <v>137.5668</v>
      </c>
      <c r="AY100" s="601">
        <v>129.78</v>
      </c>
    </row>
    <row r="101" spans="5:51" ht="14.5" customHeight="1" x14ac:dyDescent="0.15">
      <c r="E101" s="919" t="s">
        <v>1189</v>
      </c>
      <c r="F101" s="906">
        <v>408.1</v>
      </c>
      <c r="G101" s="599">
        <v>385</v>
      </c>
      <c r="H101" s="404"/>
      <c r="AP101" s="414" t="s">
        <v>99</v>
      </c>
      <c r="AQ101" s="394">
        <f>AR101+(POLLUSTOP!$G$41*0.6)</f>
        <v>648.72</v>
      </c>
      <c r="AR101" s="930">
        <v>648.72</v>
      </c>
      <c r="AS101" s="596">
        <v>612</v>
      </c>
      <c r="AU101" s="408" t="s">
        <v>59</v>
      </c>
      <c r="AV101" s="413"/>
      <c r="AW101" s="408" t="s">
        <v>510</v>
      </c>
      <c r="AX101" s="924">
        <v>157.2192</v>
      </c>
      <c r="AY101" s="601">
        <v>148.32</v>
      </c>
    </row>
    <row r="102" spans="5:51" ht="14.5" customHeight="1" x14ac:dyDescent="0.15">
      <c r="E102" s="403" t="s">
        <v>368</v>
      </c>
      <c r="F102" s="906" t="s">
        <v>1476</v>
      </c>
      <c r="G102" s="599" t="s">
        <v>1270</v>
      </c>
      <c r="H102" s="404"/>
      <c r="AP102" s="414" t="s">
        <v>100</v>
      </c>
      <c r="AQ102" s="394">
        <f>AR102+(POLLUSTOP!$G$41*0.6)</f>
        <v>679.46</v>
      </c>
      <c r="AR102" s="930">
        <v>679.46</v>
      </c>
      <c r="AS102" s="596">
        <v>641</v>
      </c>
      <c r="AU102" s="423" t="s">
        <v>60</v>
      </c>
      <c r="AV102" s="424"/>
      <c r="AW102" s="416" t="s">
        <v>442</v>
      </c>
      <c r="AX102" s="423"/>
      <c r="AY102" s="1073"/>
    </row>
    <row r="103" spans="5:51" ht="14.5" customHeight="1" x14ac:dyDescent="0.15">
      <c r="E103" s="919" t="s">
        <v>1271</v>
      </c>
      <c r="F103" s="906">
        <v>1203.1000000000001</v>
      </c>
      <c r="G103" s="599">
        <v>1135</v>
      </c>
      <c r="H103" s="404"/>
      <c r="AP103" s="414" t="s">
        <v>101</v>
      </c>
      <c r="AQ103" s="394">
        <f>AR103+(POLLUSTOP!$G$42*0.6)</f>
        <v>739.88</v>
      </c>
      <c r="AR103" s="930">
        <v>739.88</v>
      </c>
      <c r="AS103" s="596">
        <v>698</v>
      </c>
      <c r="AU103" s="408" t="s">
        <v>19</v>
      </c>
      <c r="AV103" s="413"/>
      <c r="AW103" s="408" t="s">
        <v>511</v>
      </c>
      <c r="AX103" s="924">
        <v>307.01839999999999</v>
      </c>
      <c r="AY103" s="601">
        <v>289.64</v>
      </c>
    </row>
    <row r="104" spans="5:51" ht="14.5" customHeight="1" x14ac:dyDescent="0.15">
      <c r="E104" s="919" t="s">
        <v>1175</v>
      </c>
      <c r="F104" s="906">
        <v>434.6</v>
      </c>
      <c r="G104" s="599">
        <v>410</v>
      </c>
      <c r="H104" s="404"/>
      <c r="AP104" s="414" t="s">
        <v>102</v>
      </c>
      <c r="AQ104" s="394">
        <f>AR104+(POLLUSTOP!$G$42*0.6)</f>
        <v>791.82</v>
      </c>
      <c r="AR104" s="930">
        <v>791.82</v>
      </c>
      <c r="AS104" s="596">
        <v>747</v>
      </c>
      <c r="AU104" s="408" t="s">
        <v>19</v>
      </c>
      <c r="AV104" s="413"/>
      <c r="AW104" s="408" t="s">
        <v>512</v>
      </c>
      <c r="AX104" s="924">
        <v>264.07780000000002</v>
      </c>
      <c r="AY104" s="601">
        <v>249.13</v>
      </c>
    </row>
    <row r="105" spans="5:51" ht="14.5" customHeight="1" x14ac:dyDescent="0.15">
      <c r="E105" s="919" t="s">
        <v>1272</v>
      </c>
      <c r="F105" s="906">
        <v>622.22</v>
      </c>
      <c r="G105" s="599">
        <v>587</v>
      </c>
      <c r="H105" s="404"/>
      <c r="AP105" s="414" t="s">
        <v>103</v>
      </c>
      <c r="AQ105" s="394">
        <f>AR105+(POLLUSTOP!$G$43*0.6)</f>
        <v>1034.3600000000001</v>
      </c>
      <c r="AR105" s="930">
        <v>854.36</v>
      </c>
      <c r="AS105" s="596">
        <v>806</v>
      </c>
      <c r="AU105" s="408" t="s">
        <v>19</v>
      </c>
      <c r="AV105" s="413"/>
      <c r="AW105" s="408" t="s">
        <v>513</v>
      </c>
      <c r="AX105" s="924">
        <v>147.50960000000001</v>
      </c>
      <c r="AY105" s="601">
        <v>139.16</v>
      </c>
    </row>
    <row r="106" spans="5:51" ht="14.5" customHeight="1" x14ac:dyDescent="0.15">
      <c r="E106" s="919" t="s">
        <v>1273</v>
      </c>
      <c r="F106" s="906">
        <v>1203.1000000000001</v>
      </c>
      <c r="G106" s="599">
        <v>1135</v>
      </c>
      <c r="H106" s="404"/>
      <c r="AP106" s="414" t="s">
        <v>104</v>
      </c>
      <c r="AQ106" s="394">
        <f>AR106+(POLLUSTOP!$G$43*0.6)</f>
        <v>1079.94</v>
      </c>
      <c r="AR106" s="930">
        <v>899.94</v>
      </c>
      <c r="AS106" s="596">
        <v>849</v>
      </c>
      <c r="AU106" s="408" t="s">
        <v>18</v>
      </c>
      <c r="AV106" s="413"/>
      <c r="AW106" s="408" t="s">
        <v>514</v>
      </c>
      <c r="AX106" s="924">
        <v>327.39160000000004</v>
      </c>
      <c r="AY106" s="601">
        <v>308.86</v>
      </c>
    </row>
    <row r="107" spans="5:51" ht="14.5" customHeight="1" x14ac:dyDescent="0.15">
      <c r="E107" s="919" t="s">
        <v>1274</v>
      </c>
      <c r="F107" s="906">
        <v>578.76</v>
      </c>
      <c r="G107" s="599">
        <v>546</v>
      </c>
      <c r="H107" s="404"/>
      <c r="AP107" s="414" t="s">
        <v>106</v>
      </c>
      <c r="AQ107" s="394">
        <f>AR107+(POLLUSTOP!$G$43*0.6)</f>
        <v>1225.1600000000001</v>
      </c>
      <c r="AR107" s="930">
        <v>1045.1600000000001</v>
      </c>
      <c r="AS107" s="596">
        <v>986</v>
      </c>
      <c r="AU107" s="408" t="s">
        <v>17</v>
      </c>
      <c r="AV107" s="413"/>
      <c r="AW107" s="408" t="s">
        <v>515</v>
      </c>
      <c r="AX107" s="924">
        <v>77.42240000000001</v>
      </c>
      <c r="AY107" s="601">
        <v>73.040000000000006</v>
      </c>
    </row>
    <row r="108" spans="5:51" ht="14.5" customHeight="1" x14ac:dyDescent="0.15">
      <c r="E108" s="919" t="s">
        <v>1275</v>
      </c>
      <c r="F108" s="906">
        <v>344.5</v>
      </c>
      <c r="G108" s="599">
        <v>325</v>
      </c>
      <c r="H108" s="404"/>
      <c r="AP108" s="414" t="s">
        <v>105</v>
      </c>
      <c r="AQ108" s="394">
        <f>AR108+(POLLUSTOP!$G$44*0.6)</f>
        <v>1242.96</v>
      </c>
      <c r="AR108" s="930">
        <v>1182.96</v>
      </c>
      <c r="AS108" s="596">
        <v>1116</v>
      </c>
      <c r="AU108" s="408" t="s">
        <v>17</v>
      </c>
      <c r="AV108" s="413"/>
      <c r="AW108" s="408" t="s">
        <v>516</v>
      </c>
      <c r="AX108" s="924">
        <v>80.984000000000009</v>
      </c>
      <c r="AY108" s="601">
        <v>76.400000000000006</v>
      </c>
    </row>
    <row r="109" spans="5:51" ht="14.5" customHeight="1" x14ac:dyDescent="0.15">
      <c r="E109" s="919" t="s">
        <v>1163</v>
      </c>
      <c r="F109" s="906">
        <v>943.40000000000009</v>
      </c>
      <c r="G109" s="599">
        <v>890</v>
      </c>
      <c r="H109" s="404"/>
      <c r="AP109" s="405"/>
      <c r="AU109" s="408" t="s">
        <v>17</v>
      </c>
      <c r="AV109" s="413"/>
      <c r="AW109" s="408" t="s">
        <v>517</v>
      </c>
      <c r="AX109" s="924">
        <v>93.650999999999996</v>
      </c>
      <c r="AY109" s="601">
        <v>88.35</v>
      </c>
    </row>
    <row r="110" spans="5:51" ht="14.5" customHeight="1" x14ac:dyDescent="0.15">
      <c r="E110" s="919" t="s">
        <v>1276</v>
      </c>
      <c r="F110" s="906">
        <v>906.30000000000007</v>
      </c>
      <c r="G110" s="599">
        <v>855</v>
      </c>
      <c r="H110" s="404"/>
      <c r="AP110" s="423" t="s">
        <v>1132</v>
      </c>
      <c r="AQ110" s="417"/>
      <c r="AR110" s="417"/>
      <c r="AS110" s="417"/>
      <c r="AU110" s="408" t="s">
        <v>15</v>
      </c>
      <c r="AV110" s="413"/>
      <c r="AW110" s="408" t="s">
        <v>518</v>
      </c>
      <c r="AX110" s="924">
        <v>16.376999999999999</v>
      </c>
      <c r="AY110" s="601">
        <v>15.45</v>
      </c>
    </row>
    <row r="111" spans="5:51" ht="14.5" customHeight="1" x14ac:dyDescent="0.15">
      <c r="E111" s="919" t="s">
        <v>1277</v>
      </c>
      <c r="F111" s="906">
        <v>540.6</v>
      </c>
      <c r="G111" s="599">
        <v>510</v>
      </c>
      <c r="H111" s="404"/>
      <c r="AP111" s="414" t="s">
        <v>80</v>
      </c>
      <c r="AQ111" s="394">
        <v>0</v>
      </c>
      <c r="AR111" s="908"/>
      <c r="AS111" s="908"/>
      <c r="AU111" s="408" t="s">
        <v>61</v>
      </c>
      <c r="AV111" s="928"/>
      <c r="AW111" s="928" t="s">
        <v>1338</v>
      </c>
      <c r="AX111" s="924">
        <v>93.28</v>
      </c>
      <c r="AY111" s="601">
        <v>88</v>
      </c>
    </row>
    <row r="112" spans="5:51" ht="14.5" customHeight="1" x14ac:dyDescent="0.15">
      <c r="E112" s="919" t="s">
        <v>1198</v>
      </c>
      <c r="F112" s="906">
        <v>885.1</v>
      </c>
      <c r="G112" s="599">
        <v>835</v>
      </c>
      <c r="H112" s="404"/>
      <c r="AP112" s="414" t="s">
        <v>615</v>
      </c>
      <c r="AQ112" s="394">
        <f>(POLLUSTOP!$G$39*0.6)+AR112</f>
        <v>3064.1150000000002</v>
      </c>
      <c r="AR112" s="930">
        <v>2133.5150000000003</v>
      </c>
      <c r="AS112" s="596">
        <v>2012.75</v>
      </c>
      <c r="AU112" s="393" t="s">
        <v>442</v>
      </c>
      <c r="AW112" s="393" t="s">
        <v>442</v>
      </c>
      <c r="AX112" s="808">
        <v>0</v>
      </c>
      <c r="AY112" s="601">
        <v>0</v>
      </c>
    </row>
    <row r="113" spans="5:51" ht="14.5" customHeight="1" x14ac:dyDescent="0.15">
      <c r="E113" s="919" t="s">
        <v>1164</v>
      </c>
      <c r="F113" s="906">
        <v>636</v>
      </c>
      <c r="G113" s="599">
        <v>600</v>
      </c>
      <c r="H113" s="404"/>
      <c r="AP113" s="414" t="s">
        <v>616</v>
      </c>
      <c r="AQ113" s="394">
        <f>AR113+(POLLUSTOP!$G$40*0.6)</f>
        <v>3401.7773999999999</v>
      </c>
      <c r="AR113" s="930">
        <v>3052.5774000000001</v>
      </c>
      <c r="AS113" s="596">
        <v>2879.79</v>
      </c>
      <c r="AU113" s="393" t="s">
        <v>46</v>
      </c>
      <c r="AW113" s="393" t="s">
        <v>442</v>
      </c>
      <c r="AX113" s="924">
        <v>116.60000000000001</v>
      </c>
      <c r="AY113" s="601">
        <v>110</v>
      </c>
    </row>
    <row r="114" spans="5:51" ht="14.5" customHeight="1" x14ac:dyDescent="0.15">
      <c r="E114" s="403"/>
      <c r="F114" s="906"/>
      <c r="G114" s="599"/>
      <c r="H114" s="404"/>
      <c r="AP114" s="414" t="s">
        <v>635</v>
      </c>
      <c r="AQ114" s="394">
        <f>AR114+(POLLUSTOP!$G$41*0.6)</f>
        <v>4191.9502000000002</v>
      </c>
      <c r="AR114" s="930">
        <v>4191.9502000000002</v>
      </c>
      <c r="AS114" s="596">
        <v>3954.67</v>
      </c>
      <c r="AU114" s="393" t="s">
        <v>248</v>
      </c>
      <c r="AW114" s="393" t="s">
        <v>48</v>
      </c>
      <c r="AX114" s="808">
        <v>0</v>
      </c>
      <c r="AY114" s="601">
        <v>0</v>
      </c>
    </row>
    <row r="115" spans="5:51" ht="14.5" customHeight="1" x14ac:dyDescent="0.15">
      <c r="E115" s="919" t="s">
        <v>1278</v>
      </c>
      <c r="F115" s="906">
        <v>344.5</v>
      </c>
      <c r="G115" s="599">
        <v>325</v>
      </c>
      <c r="H115" s="404"/>
      <c r="AP115" s="414" t="s">
        <v>636</v>
      </c>
      <c r="AQ115" s="394">
        <f>AR115+(POLLUSTOP!$G$41*0.6)</f>
        <v>4800.2417999999998</v>
      </c>
      <c r="AR115" s="930">
        <v>4800.2417999999998</v>
      </c>
      <c r="AS115" s="596">
        <v>4528.53</v>
      </c>
      <c r="AU115" s="393" t="s">
        <v>11</v>
      </c>
      <c r="AW115" s="393" t="s">
        <v>53</v>
      </c>
      <c r="AX115" s="924">
        <v>583</v>
      </c>
      <c r="AY115" s="601">
        <v>550</v>
      </c>
    </row>
    <row r="116" spans="5:51" ht="14.5" customHeight="1" x14ac:dyDescent="0.15">
      <c r="E116" s="919" t="s">
        <v>1279</v>
      </c>
      <c r="F116" s="906">
        <v>344.5</v>
      </c>
      <c r="G116" s="599">
        <v>325</v>
      </c>
      <c r="H116" s="404"/>
      <c r="AP116" s="414" t="s">
        <v>637</v>
      </c>
      <c r="AQ116" s="394">
        <f>AR116+(POLLUSTOP!$G$42*0.6)</f>
        <v>5895.3808000000008</v>
      </c>
      <c r="AR116" s="930">
        <v>5895.3808000000008</v>
      </c>
      <c r="AS116" s="596">
        <v>5561.68</v>
      </c>
      <c r="AU116" s="393" t="s">
        <v>11</v>
      </c>
      <c r="AW116" s="393" t="s">
        <v>62</v>
      </c>
      <c r="AX116" s="924">
        <v>583</v>
      </c>
      <c r="AY116" s="601">
        <v>550</v>
      </c>
    </row>
    <row r="117" spans="5:51" ht="14.5" customHeight="1" x14ac:dyDescent="0.15">
      <c r="E117" s="919" t="s">
        <v>1171</v>
      </c>
      <c r="F117" s="906">
        <v>651.9</v>
      </c>
      <c r="G117" s="599">
        <v>615</v>
      </c>
      <c r="H117" s="404"/>
      <c r="AP117" s="414" t="s">
        <v>638</v>
      </c>
      <c r="AQ117" s="394">
        <f>AR117+(POLLUSTOP!$G$42*0.6)</f>
        <v>6484.030600000001</v>
      </c>
      <c r="AR117" s="930">
        <v>6484.030600000001</v>
      </c>
      <c r="AS117" s="596">
        <v>6117.01</v>
      </c>
      <c r="AU117" s="393" t="s">
        <v>12</v>
      </c>
      <c r="AW117" s="393" t="s">
        <v>442</v>
      </c>
      <c r="AX117" s="924">
        <v>0</v>
      </c>
      <c r="AY117" s="601">
        <v>0</v>
      </c>
    </row>
    <row r="118" spans="5:51" ht="14.5" customHeight="1" x14ac:dyDescent="0.15">
      <c r="E118" s="403"/>
      <c r="F118" s="906"/>
      <c r="G118" s="599">
        <v>383.16</v>
      </c>
      <c r="H118" s="404"/>
      <c r="AP118" s="414" t="s">
        <v>639</v>
      </c>
      <c r="AQ118" s="394">
        <f>AR118+(POLLUSTOP!$G$43*0.6)</f>
        <v>8234.7386000000006</v>
      </c>
      <c r="AR118" s="930">
        <v>8054.7386000000006</v>
      </c>
      <c r="AS118" s="596">
        <v>7598.81</v>
      </c>
      <c r="AU118" s="393" t="s">
        <v>13</v>
      </c>
      <c r="AW118" s="393" t="s">
        <v>442</v>
      </c>
      <c r="AX118" s="924">
        <v>0</v>
      </c>
      <c r="AY118" s="601">
        <v>0</v>
      </c>
    </row>
    <row r="119" spans="5:51" ht="14.5" customHeight="1" x14ac:dyDescent="0.15">
      <c r="E119" s="919" t="s">
        <v>1170</v>
      </c>
      <c r="F119" s="906">
        <v>895.7</v>
      </c>
      <c r="G119" s="599">
        <v>845</v>
      </c>
      <c r="H119" s="404"/>
      <c r="AP119" s="414" t="s">
        <v>640</v>
      </c>
      <c r="AQ119" s="394">
        <f>AR119+(POLLUSTOP!$G$43*0.6)</f>
        <v>9077.0570000000007</v>
      </c>
      <c r="AR119" s="930">
        <v>8897.0570000000007</v>
      </c>
      <c r="AS119" s="596">
        <v>8393.4500000000007</v>
      </c>
      <c r="AU119" s="393" t="s">
        <v>249</v>
      </c>
      <c r="AW119" s="393" t="s">
        <v>118</v>
      </c>
      <c r="AX119" s="924">
        <v>640.24</v>
      </c>
      <c r="AY119" s="601">
        <v>604</v>
      </c>
    </row>
    <row r="120" spans="5:51" ht="14.5" customHeight="1" x14ac:dyDescent="0.15">
      <c r="E120" s="919" t="s">
        <v>1280</v>
      </c>
      <c r="F120" s="906">
        <v>1203.1000000000001</v>
      </c>
      <c r="G120" s="599">
        <v>1135</v>
      </c>
      <c r="H120" s="404"/>
      <c r="AP120" s="414" t="s">
        <v>641</v>
      </c>
      <c r="AQ120" s="394">
        <f>AR120+(POLLUSTOP!$G$43*0.6)</f>
        <v>10807.0088</v>
      </c>
      <c r="AR120" s="930">
        <v>10627.0088</v>
      </c>
      <c r="AS120" s="596">
        <v>10025.48</v>
      </c>
    </row>
    <row r="121" spans="5:51" ht="14.5" customHeight="1" x14ac:dyDescent="0.15">
      <c r="E121" s="920" t="s">
        <v>1281</v>
      </c>
      <c r="F121" s="906">
        <v>349.8</v>
      </c>
      <c r="G121" s="599">
        <v>330</v>
      </c>
      <c r="H121" s="404"/>
      <c r="AP121" s="414" t="s">
        <v>642</v>
      </c>
      <c r="AQ121" s="394">
        <f>AR121+(POLLUSTOP!$G$44*0.6)</f>
        <v>11875.417200000002</v>
      </c>
      <c r="AR121" s="930">
        <v>11815.417200000002</v>
      </c>
      <c r="AS121" s="596">
        <v>11146.62</v>
      </c>
    </row>
    <row r="122" spans="5:51" ht="14.5" customHeight="1" x14ac:dyDescent="0.15">
      <c r="E122" s="919" t="s">
        <v>1140</v>
      </c>
      <c r="F122" s="906">
        <v>386.90000000000003</v>
      </c>
      <c r="G122" s="599">
        <v>365</v>
      </c>
      <c r="H122" s="404"/>
    </row>
    <row r="123" spans="5:51" ht="14.5" customHeight="1" x14ac:dyDescent="0.15">
      <c r="E123" s="919" t="s">
        <v>1282</v>
      </c>
      <c r="F123" s="906">
        <v>651.9</v>
      </c>
      <c r="G123" s="599">
        <v>615</v>
      </c>
      <c r="H123" s="404"/>
      <c r="AP123" s="409"/>
    </row>
    <row r="124" spans="5:51" ht="14.5" customHeight="1" x14ac:dyDescent="0.15">
      <c r="E124" s="919" t="s">
        <v>1283</v>
      </c>
      <c r="F124" s="906">
        <v>906.30000000000007</v>
      </c>
      <c r="G124" s="599">
        <v>855</v>
      </c>
      <c r="H124" s="404"/>
    </row>
    <row r="125" spans="5:51" ht="14.5" customHeight="1" x14ac:dyDescent="0.15">
      <c r="E125" s="919" t="s">
        <v>1144</v>
      </c>
      <c r="F125" s="906">
        <v>906.30000000000007</v>
      </c>
      <c r="G125" s="599">
        <v>855</v>
      </c>
      <c r="H125" s="404"/>
    </row>
    <row r="126" spans="5:51" ht="14.5" customHeight="1" x14ac:dyDescent="0.15">
      <c r="E126" s="919" t="s">
        <v>1284</v>
      </c>
      <c r="F126" s="906">
        <v>344.5</v>
      </c>
      <c r="G126" s="599">
        <v>325</v>
      </c>
      <c r="H126" s="404"/>
    </row>
    <row r="127" spans="5:51" ht="14.5" customHeight="1" x14ac:dyDescent="0.15">
      <c r="E127" s="919" t="s">
        <v>1145</v>
      </c>
      <c r="F127" s="906">
        <v>948.7</v>
      </c>
      <c r="G127" s="599">
        <v>895</v>
      </c>
      <c r="H127" s="404"/>
    </row>
    <row r="128" spans="5:51" ht="14.5" customHeight="1" x14ac:dyDescent="0.15">
      <c r="E128" s="919" t="s">
        <v>1285</v>
      </c>
      <c r="F128" s="906">
        <v>940.22</v>
      </c>
      <c r="G128" s="599">
        <v>887</v>
      </c>
      <c r="H128" s="404"/>
    </row>
    <row r="129" spans="5:42" ht="14.5" customHeight="1" x14ac:dyDescent="0.15">
      <c r="E129" s="919" t="s">
        <v>1139</v>
      </c>
      <c r="F129" s="906">
        <v>413.40000000000003</v>
      </c>
      <c r="G129" s="599">
        <v>390</v>
      </c>
      <c r="H129" s="404"/>
    </row>
    <row r="130" spans="5:42" ht="14.5" customHeight="1" x14ac:dyDescent="0.15">
      <c r="E130" s="919" t="s">
        <v>1213</v>
      </c>
      <c r="F130" s="906">
        <v>1049.4000000000001</v>
      </c>
      <c r="G130" s="599">
        <v>990</v>
      </c>
      <c r="H130" s="404"/>
    </row>
    <row r="131" spans="5:42" ht="14.5" customHeight="1" x14ac:dyDescent="0.15">
      <c r="E131" s="919" t="s">
        <v>1286</v>
      </c>
      <c r="F131" s="906">
        <v>906.30000000000007</v>
      </c>
      <c r="G131" s="599">
        <v>855</v>
      </c>
      <c r="H131" s="404"/>
    </row>
    <row r="132" spans="5:42" ht="14.5" customHeight="1" x14ac:dyDescent="0.15">
      <c r="E132" s="919" t="s">
        <v>1287</v>
      </c>
      <c r="F132" s="906">
        <v>396.44</v>
      </c>
      <c r="G132" s="599">
        <v>374</v>
      </c>
      <c r="H132" s="404"/>
    </row>
    <row r="133" spans="5:42" ht="14.5" customHeight="1" x14ac:dyDescent="0.15">
      <c r="E133" s="919" t="s">
        <v>1288</v>
      </c>
      <c r="F133" s="906">
        <v>1028.2</v>
      </c>
      <c r="G133" s="599">
        <v>970</v>
      </c>
      <c r="H133" s="404"/>
    </row>
    <row r="134" spans="5:42" ht="14.5" customHeight="1" x14ac:dyDescent="0.15">
      <c r="E134" s="919" t="s">
        <v>1289</v>
      </c>
      <c r="F134" s="906">
        <v>622.22</v>
      </c>
      <c r="G134" s="599">
        <v>587</v>
      </c>
      <c r="H134" s="404"/>
    </row>
    <row r="135" spans="5:42" ht="14.5" customHeight="1" x14ac:dyDescent="0.15">
      <c r="E135" s="919" t="s">
        <v>1290</v>
      </c>
      <c r="F135" s="906">
        <v>940.22</v>
      </c>
      <c r="G135" s="599">
        <v>887</v>
      </c>
      <c r="H135" s="404"/>
    </row>
    <row r="136" spans="5:42" ht="14.5" customHeight="1" x14ac:dyDescent="0.15">
      <c r="E136" s="403"/>
      <c r="F136" s="906"/>
      <c r="G136" s="599"/>
      <c r="H136" s="404"/>
      <c r="AP136" s="409"/>
    </row>
    <row r="137" spans="5:42" ht="14.5" customHeight="1" x14ac:dyDescent="0.15">
      <c r="E137" s="919" t="s">
        <v>1174</v>
      </c>
      <c r="F137" s="906">
        <v>424</v>
      </c>
      <c r="G137" s="599">
        <v>400</v>
      </c>
      <c r="H137" s="404"/>
    </row>
    <row r="138" spans="5:42" ht="14.5" customHeight="1" x14ac:dyDescent="0.15">
      <c r="E138" s="919" t="s">
        <v>1291</v>
      </c>
      <c r="F138" s="906">
        <v>1203.1000000000001</v>
      </c>
      <c r="G138" s="599">
        <v>1135</v>
      </c>
      <c r="H138" s="404"/>
    </row>
    <row r="139" spans="5:42" ht="14.5" customHeight="1" x14ac:dyDescent="0.15">
      <c r="E139" s="919" t="s">
        <v>1173</v>
      </c>
      <c r="F139" s="906">
        <v>551.20000000000005</v>
      </c>
      <c r="G139" s="599">
        <v>520</v>
      </c>
      <c r="H139" s="404"/>
    </row>
    <row r="140" spans="5:42" ht="14.5" customHeight="1" x14ac:dyDescent="0.15">
      <c r="E140" s="919" t="s">
        <v>1176</v>
      </c>
      <c r="F140" s="906">
        <v>651.9</v>
      </c>
      <c r="G140" s="599">
        <v>615</v>
      </c>
      <c r="H140" s="404"/>
    </row>
    <row r="141" spans="5:42" ht="14.5" customHeight="1" x14ac:dyDescent="0.15">
      <c r="E141" s="919" t="s">
        <v>1292</v>
      </c>
      <c r="F141" s="906">
        <v>906.30000000000007</v>
      </c>
      <c r="G141" s="599">
        <v>855</v>
      </c>
      <c r="H141" s="404"/>
    </row>
    <row r="142" spans="5:42" ht="14.5" customHeight="1" x14ac:dyDescent="0.15">
      <c r="E142" s="919" t="s">
        <v>1177</v>
      </c>
      <c r="F142" s="906">
        <v>424</v>
      </c>
      <c r="G142" s="599">
        <v>400</v>
      </c>
      <c r="H142" s="404"/>
    </row>
    <row r="143" spans="5:42" ht="14.5" customHeight="1" x14ac:dyDescent="0.15">
      <c r="E143" s="919" t="s">
        <v>1293</v>
      </c>
      <c r="F143" s="906">
        <v>1028.2</v>
      </c>
      <c r="G143" s="599">
        <v>970</v>
      </c>
      <c r="H143" s="404"/>
    </row>
    <row r="144" spans="5:42" ht="14.5" customHeight="1" x14ac:dyDescent="0.15">
      <c r="E144" s="919" t="s">
        <v>1294</v>
      </c>
      <c r="F144" s="906">
        <v>1028.2</v>
      </c>
      <c r="G144" s="599">
        <v>970</v>
      </c>
      <c r="H144" s="404"/>
    </row>
    <row r="145" spans="5:42" ht="14.5" customHeight="1" x14ac:dyDescent="0.15">
      <c r="E145" s="919" t="s">
        <v>1295</v>
      </c>
      <c r="F145" s="906">
        <v>1203.1000000000001</v>
      </c>
      <c r="G145" s="599">
        <v>1135</v>
      </c>
      <c r="H145" s="404"/>
    </row>
    <row r="146" spans="5:42" ht="14.5" customHeight="1" x14ac:dyDescent="0.15">
      <c r="E146" s="919" t="s">
        <v>1142</v>
      </c>
      <c r="F146" s="906">
        <v>540.6</v>
      </c>
      <c r="G146" s="599">
        <v>510</v>
      </c>
      <c r="H146" s="404"/>
    </row>
    <row r="147" spans="5:42" ht="14.5" customHeight="1" x14ac:dyDescent="0.15">
      <c r="E147" s="919" t="s">
        <v>1296</v>
      </c>
      <c r="F147" s="906">
        <v>478.06</v>
      </c>
      <c r="G147" s="599">
        <v>451</v>
      </c>
      <c r="H147" s="404"/>
    </row>
    <row r="148" spans="5:42" ht="14.5" customHeight="1" x14ac:dyDescent="0.15">
      <c r="E148" s="919" t="s">
        <v>1297</v>
      </c>
      <c r="F148" s="906">
        <v>478.06</v>
      </c>
      <c r="G148" s="599">
        <v>451</v>
      </c>
      <c r="H148" s="404"/>
    </row>
    <row r="149" spans="5:42" ht="14.5" customHeight="1" x14ac:dyDescent="0.15">
      <c r="E149" s="919" t="s">
        <v>1152</v>
      </c>
      <c r="F149" s="906">
        <v>890.40000000000009</v>
      </c>
      <c r="G149" s="599">
        <v>840</v>
      </c>
      <c r="H149" s="404"/>
    </row>
    <row r="150" spans="5:42" ht="14.5" customHeight="1" x14ac:dyDescent="0.15">
      <c r="E150" s="919" t="s">
        <v>1298</v>
      </c>
      <c r="F150" s="906">
        <v>906.30000000000007</v>
      </c>
      <c r="G150" s="599">
        <v>855</v>
      </c>
      <c r="H150" s="404"/>
    </row>
    <row r="151" spans="5:42" ht="14.5" customHeight="1" x14ac:dyDescent="0.15">
      <c r="E151" s="919" t="s">
        <v>1299</v>
      </c>
      <c r="F151" s="906">
        <v>540.6</v>
      </c>
      <c r="G151" s="599">
        <v>510</v>
      </c>
      <c r="H151" s="404"/>
      <c r="AP151" s="409"/>
    </row>
    <row r="152" spans="5:42" ht="14.5" customHeight="1" x14ac:dyDescent="0.15">
      <c r="E152" s="919" t="s">
        <v>1165</v>
      </c>
      <c r="F152" s="906">
        <v>418.70000000000005</v>
      </c>
      <c r="G152" s="599">
        <v>395</v>
      </c>
      <c r="H152" s="404"/>
    </row>
    <row r="153" spans="5:42" ht="14.5" customHeight="1" x14ac:dyDescent="0.15">
      <c r="E153" s="919" t="s">
        <v>1141</v>
      </c>
      <c r="F153" s="906">
        <v>408.1</v>
      </c>
      <c r="G153" s="599">
        <v>385</v>
      </c>
      <c r="H153" s="404"/>
    </row>
    <row r="154" spans="5:42" ht="14.5" customHeight="1" x14ac:dyDescent="0.15">
      <c r="E154" s="919" t="s">
        <v>1300</v>
      </c>
      <c r="F154" s="906">
        <v>344.5</v>
      </c>
      <c r="G154" s="599">
        <v>325</v>
      </c>
      <c r="H154" s="404"/>
    </row>
    <row r="155" spans="5:42" ht="14.5" customHeight="1" x14ac:dyDescent="0.15">
      <c r="E155" s="919" t="s">
        <v>1301</v>
      </c>
      <c r="F155" s="906">
        <v>540.6</v>
      </c>
      <c r="G155" s="599">
        <v>510</v>
      </c>
      <c r="H155" s="404"/>
    </row>
    <row r="156" spans="5:42" ht="14.5" customHeight="1" x14ac:dyDescent="0.15">
      <c r="E156" s="919" t="s">
        <v>1302</v>
      </c>
      <c r="F156" s="906">
        <v>622.22</v>
      </c>
      <c r="G156" s="599">
        <v>587</v>
      </c>
      <c r="H156" s="404"/>
    </row>
    <row r="157" spans="5:42" ht="14.5" customHeight="1" x14ac:dyDescent="0.15">
      <c r="E157" s="919" t="s">
        <v>1303</v>
      </c>
      <c r="F157" s="906">
        <v>578.76</v>
      </c>
      <c r="G157" s="599">
        <v>546</v>
      </c>
      <c r="H157" s="404"/>
    </row>
    <row r="158" spans="5:42" ht="14.5" customHeight="1" x14ac:dyDescent="0.15">
      <c r="E158" s="919" t="s">
        <v>1199</v>
      </c>
      <c r="F158" s="906">
        <v>524.70000000000005</v>
      </c>
      <c r="G158" s="599">
        <v>495</v>
      </c>
      <c r="H158" s="404"/>
    </row>
    <row r="159" spans="5:42" ht="14.5" customHeight="1" x14ac:dyDescent="0.15">
      <c r="E159" s="919" t="s">
        <v>1304</v>
      </c>
      <c r="F159" s="906">
        <v>940.22</v>
      </c>
      <c r="G159" s="599">
        <v>887</v>
      </c>
      <c r="H159" s="404"/>
    </row>
    <row r="160" spans="5:42" ht="14.5" customHeight="1" x14ac:dyDescent="0.15">
      <c r="E160" s="919" t="s">
        <v>1183</v>
      </c>
      <c r="F160" s="906">
        <v>858.6</v>
      </c>
      <c r="G160" s="599">
        <v>810</v>
      </c>
      <c r="H160" s="404"/>
    </row>
    <row r="161" spans="5:8" ht="14.5" customHeight="1" x14ac:dyDescent="0.15">
      <c r="E161" s="919" t="s">
        <v>1200</v>
      </c>
      <c r="F161" s="906">
        <v>858.6</v>
      </c>
      <c r="G161" s="599">
        <v>810</v>
      </c>
      <c r="H161" s="404"/>
    </row>
    <row r="162" spans="5:8" ht="14.5" customHeight="1" x14ac:dyDescent="0.15">
      <c r="E162" s="919" t="s">
        <v>1179</v>
      </c>
      <c r="F162" s="906">
        <v>858.6</v>
      </c>
      <c r="G162" s="599">
        <v>810</v>
      </c>
      <c r="H162" s="404"/>
    </row>
    <row r="163" spans="5:8" ht="14.5" customHeight="1" x14ac:dyDescent="0.15">
      <c r="E163" s="919" t="s">
        <v>1305</v>
      </c>
      <c r="F163" s="906">
        <v>906.30000000000007</v>
      </c>
      <c r="G163" s="599">
        <v>855</v>
      </c>
      <c r="H163" s="404"/>
    </row>
    <row r="164" spans="5:8" ht="14.5" customHeight="1" x14ac:dyDescent="0.15">
      <c r="E164" s="919" t="s">
        <v>1306</v>
      </c>
      <c r="F164" s="906">
        <v>396.44</v>
      </c>
      <c r="G164" s="599">
        <v>374</v>
      </c>
      <c r="H164" s="404"/>
    </row>
    <row r="165" spans="5:8" ht="14.5" customHeight="1" x14ac:dyDescent="0.15">
      <c r="E165" s="919" t="s">
        <v>1307</v>
      </c>
      <c r="F165" s="906">
        <v>1203.1000000000001</v>
      </c>
      <c r="G165" s="599">
        <v>1135</v>
      </c>
      <c r="H165" s="404"/>
    </row>
    <row r="166" spans="5:8" ht="14.5" customHeight="1" x14ac:dyDescent="0.15">
      <c r="E166" s="919" t="s">
        <v>1166</v>
      </c>
      <c r="F166" s="906">
        <v>424</v>
      </c>
      <c r="G166" s="599">
        <v>400</v>
      </c>
      <c r="H166" s="404"/>
    </row>
    <row r="167" spans="5:8" ht="14.5" customHeight="1" x14ac:dyDescent="0.15">
      <c r="E167" s="919" t="s">
        <v>1156</v>
      </c>
      <c r="F167" s="906">
        <v>371</v>
      </c>
      <c r="G167" s="599">
        <v>350</v>
      </c>
      <c r="H167" s="404"/>
    </row>
    <row r="168" spans="5:8" ht="14.5" customHeight="1" x14ac:dyDescent="0.15">
      <c r="E168" s="919" t="s">
        <v>1308</v>
      </c>
      <c r="F168" s="906">
        <v>940.22</v>
      </c>
      <c r="G168" s="599">
        <v>887</v>
      </c>
      <c r="H168" s="404"/>
    </row>
    <row r="169" spans="5:8" ht="14.5" customHeight="1" x14ac:dyDescent="0.15">
      <c r="E169" s="919" t="s">
        <v>1169</v>
      </c>
      <c r="F169" s="906">
        <v>545.9</v>
      </c>
      <c r="G169" s="599">
        <v>515</v>
      </c>
      <c r="H169" s="404"/>
    </row>
    <row r="170" spans="5:8" ht="14.5" customHeight="1" x14ac:dyDescent="0.15">
      <c r="E170" s="919" t="s">
        <v>1309</v>
      </c>
      <c r="F170" s="906">
        <v>355.1</v>
      </c>
      <c r="G170" s="599">
        <v>335</v>
      </c>
      <c r="H170" s="404"/>
    </row>
    <row r="171" spans="5:8" ht="14.5" customHeight="1" x14ac:dyDescent="0.15">
      <c r="E171" s="919" t="s">
        <v>1206</v>
      </c>
      <c r="F171" s="906">
        <v>1038.8</v>
      </c>
      <c r="G171" s="599">
        <v>980</v>
      </c>
      <c r="H171" s="404"/>
    </row>
    <row r="172" spans="5:8" ht="14.5" customHeight="1" x14ac:dyDescent="0.15">
      <c r="E172" s="919" t="s">
        <v>1182</v>
      </c>
      <c r="F172" s="906">
        <v>731.40000000000009</v>
      </c>
      <c r="G172" s="599">
        <v>690</v>
      </c>
      <c r="H172" s="404"/>
    </row>
    <row r="173" spans="5:8" ht="14.5" customHeight="1" x14ac:dyDescent="0.15">
      <c r="E173" s="919" t="s">
        <v>1310</v>
      </c>
      <c r="F173" s="906">
        <v>355.1</v>
      </c>
      <c r="G173" s="599">
        <v>335</v>
      </c>
      <c r="H173" s="404"/>
    </row>
    <row r="174" spans="5:8" ht="14.5" customHeight="1" x14ac:dyDescent="0.15">
      <c r="E174" s="919" t="s">
        <v>1311</v>
      </c>
      <c r="F174" s="906">
        <v>386.90000000000003</v>
      </c>
      <c r="G174" s="599">
        <v>365</v>
      </c>
      <c r="H174" s="404"/>
    </row>
    <row r="175" spans="5:8" ht="14.5" customHeight="1" x14ac:dyDescent="0.15">
      <c r="E175" s="919" t="s">
        <v>1312</v>
      </c>
      <c r="F175" s="906">
        <v>1203.1000000000001</v>
      </c>
      <c r="G175" s="599">
        <v>1135</v>
      </c>
      <c r="H175" s="404"/>
    </row>
    <row r="176" spans="5:8" ht="14.5" customHeight="1" x14ac:dyDescent="0.15">
      <c r="E176" s="919" t="s">
        <v>1313</v>
      </c>
      <c r="F176" s="906">
        <v>906.30000000000007</v>
      </c>
      <c r="G176" s="599">
        <v>855</v>
      </c>
      <c r="H176" s="404"/>
    </row>
    <row r="177" spans="5:8" ht="14.5" customHeight="1" x14ac:dyDescent="0.15">
      <c r="E177" s="919" t="s">
        <v>1314</v>
      </c>
      <c r="F177" s="906">
        <v>940.22</v>
      </c>
      <c r="G177" s="599">
        <v>887</v>
      </c>
      <c r="H177" s="404"/>
    </row>
    <row r="178" spans="5:8" ht="14.5" customHeight="1" x14ac:dyDescent="0.15">
      <c r="E178" s="919" t="s">
        <v>1188</v>
      </c>
      <c r="F178" s="906">
        <v>858.6</v>
      </c>
      <c r="G178" s="599">
        <v>810</v>
      </c>
      <c r="H178" s="404"/>
    </row>
    <row r="179" spans="5:8" ht="14.5" customHeight="1" x14ac:dyDescent="0.15">
      <c r="E179" s="919" t="s">
        <v>1315</v>
      </c>
      <c r="F179" s="906">
        <v>540.6</v>
      </c>
      <c r="G179" s="599">
        <v>510</v>
      </c>
      <c r="H179" s="404"/>
    </row>
    <row r="180" spans="5:8" ht="14.5" customHeight="1" x14ac:dyDescent="0.15">
      <c r="E180" s="919" t="s">
        <v>1190</v>
      </c>
      <c r="F180" s="906">
        <v>1022.9000000000001</v>
      </c>
      <c r="G180" s="599">
        <v>965</v>
      </c>
      <c r="H180" s="404"/>
    </row>
    <row r="181" spans="5:8" ht="14.5" customHeight="1" x14ac:dyDescent="0.15">
      <c r="E181" s="919" t="s">
        <v>1191</v>
      </c>
      <c r="F181" s="906">
        <v>795</v>
      </c>
      <c r="G181" s="599">
        <v>750</v>
      </c>
      <c r="H181" s="404"/>
    </row>
    <row r="182" spans="5:8" ht="14.5" customHeight="1" x14ac:dyDescent="0.15">
      <c r="E182" s="919" t="s">
        <v>1316</v>
      </c>
      <c r="F182" s="906">
        <v>540.6</v>
      </c>
      <c r="G182" s="599">
        <v>510</v>
      </c>
      <c r="H182" s="404"/>
    </row>
    <row r="183" spans="5:8" ht="14.5" customHeight="1" x14ac:dyDescent="0.15">
      <c r="E183" s="919" t="s">
        <v>1317</v>
      </c>
      <c r="F183" s="906">
        <v>622.22</v>
      </c>
      <c r="G183" s="599">
        <v>587</v>
      </c>
      <c r="H183" s="404"/>
    </row>
    <row r="184" spans="5:8" ht="14.5" customHeight="1" x14ac:dyDescent="0.15">
      <c r="E184" s="919" t="s">
        <v>1181</v>
      </c>
      <c r="F184" s="906">
        <v>651.9</v>
      </c>
      <c r="G184" s="599">
        <v>615</v>
      </c>
      <c r="H184" s="404"/>
    </row>
    <row r="185" spans="5:8" ht="14.5" customHeight="1" x14ac:dyDescent="0.15">
      <c r="E185" s="919" t="s">
        <v>1180</v>
      </c>
      <c r="F185" s="906">
        <v>651.9</v>
      </c>
      <c r="G185" s="599">
        <v>615</v>
      </c>
      <c r="H185" s="404"/>
    </row>
    <row r="186" spans="5:8" ht="14.5" customHeight="1" x14ac:dyDescent="0.15">
      <c r="E186" s="919" t="s">
        <v>1209</v>
      </c>
      <c r="F186" s="906">
        <v>344.5</v>
      </c>
      <c r="G186" s="599">
        <v>325</v>
      </c>
      <c r="H186" s="404"/>
    </row>
    <row r="187" spans="5:8" ht="14.5" customHeight="1" x14ac:dyDescent="0.15">
      <c r="E187" s="919" t="s">
        <v>1318</v>
      </c>
      <c r="F187" s="906">
        <v>906.30000000000007</v>
      </c>
      <c r="G187" s="599">
        <v>855</v>
      </c>
      <c r="H187" s="404"/>
    </row>
    <row r="188" spans="5:8" ht="14.5" customHeight="1" x14ac:dyDescent="0.15">
      <c r="E188" s="919" t="s">
        <v>1319</v>
      </c>
      <c r="F188" s="906">
        <v>344.5</v>
      </c>
      <c r="G188" s="599">
        <v>325</v>
      </c>
      <c r="H188" s="404"/>
    </row>
    <row r="189" spans="5:8" ht="14.5" customHeight="1" x14ac:dyDescent="0.15">
      <c r="E189" s="919" t="s">
        <v>1320</v>
      </c>
      <c r="F189" s="906">
        <v>386.90000000000003</v>
      </c>
      <c r="G189" s="599">
        <v>365</v>
      </c>
      <c r="H189" s="404"/>
    </row>
    <row r="190" spans="5:8" ht="14.5" customHeight="1" x14ac:dyDescent="0.15">
      <c r="E190" s="919" t="s">
        <v>1321</v>
      </c>
      <c r="F190" s="906">
        <v>906.30000000000007</v>
      </c>
      <c r="G190" s="599">
        <v>855</v>
      </c>
      <c r="H190" s="404"/>
    </row>
    <row r="191" spans="5:8" ht="14.5" customHeight="1" x14ac:dyDescent="0.15">
      <c r="E191" s="919" t="s">
        <v>1322</v>
      </c>
      <c r="F191" s="906">
        <v>540.6</v>
      </c>
      <c r="G191" s="599">
        <v>510</v>
      </c>
      <c r="H191" s="404"/>
    </row>
    <row r="192" spans="5:8" ht="14.5" customHeight="1" x14ac:dyDescent="0.15">
      <c r="E192" s="919" t="s">
        <v>1216</v>
      </c>
      <c r="F192" s="906">
        <v>567.1</v>
      </c>
      <c r="G192" s="599">
        <v>535</v>
      </c>
      <c r="H192" s="404"/>
    </row>
    <row r="193" spans="5:8" ht="14.5" customHeight="1" x14ac:dyDescent="0.15">
      <c r="E193" s="919" t="s">
        <v>1323</v>
      </c>
      <c r="F193" s="906">
        <v>386.90000000000003</v>
      </c>
      <c r="G193" s="599">
        <v>365</v>
      </c>
      <c r="H193" s="404"/>
    </row>
    <row r="194" spans="5:8" ht="14.5" customHeight="1" x14ac:dyDescent="0.15">
      <c r="E194" s="919" t="s">
        <v>1324</v>
      </c>
      <c r="F194" s="906">
        <v>906.30000000000007</v>
      </c>
      <c r="G194" s="599">
        <v>855</v>
      </c>
      <c r="H194" s="404"/>
    </row>
    <row r="195" spans="5:8" ht="14.5" customHeight="1" x14ac:dyDescent="0.15">
      <c r="E195" s="919" t="s">
        <v>1325</v>
      </c>
      <c r="F195" s="906">
        <v>376.3</v>
      </c>
      <c r="G195" s="599">
        <v>355</v>
      </c>
      <c r="H195" s="404"/>
    </row>
    <row r="196" spans="5:8" ht="14.5" customHeight="1" x14ac:dyDescent="0.15">
      <c r="E196" s="919" t="s">
        <v>1326</v>
      </c>
      <c r="F196" s="906">
        <v>622.22</v>
      </c>
      <c r="G196" s="599">
        <v>587</v>
      </c>
      <c r="H196" s="404"/>
    </row>
    <row r="197" spans="5:8" ht="14.5" customHeight="1" x14ac:dyDescent="0.15">
      <c r="E197" s="919" t="s">
        <v>1327</v>
      </c>
      <c r="F197" s="906">
        <v>940.22</v>
      </c>
      <c r="G197" s="599">
        <v>887</v>
      </c>
      <c r="H197" s="404"/>
    </row>
    <row r="198" spans="5:8" ht="14.5" customHeight="1" x14ac:dyDescent="0.15">
      <c r="E198" s="919" t="s">
        <v>1167</v>
      </c>
      <c r="F198" s="906">
        <v>901</v>
      </c>
      <c r="G198" s="599">
        <v>850</v>
      </c>
      <c r="H198" s="404"/>
    </row>
    <row r="199" spans="5:8" ht="14.5" customHeight="1" x14ac:dyDescent="0.15">
      <c r="E199" s="403"/>
      <c r="F199" s="906"/>
      <c r="G199" s="599"/>
      <c r="H199" s="404"/>
    </row>
    <row r="200" spans="5:8" ht="14.5" customHeight="1" x14ac:dyDescent="0.15">
      <c r="E200" s="919" t="s">
        <v>1328</v>
      </c>
      <c r="F200" s="906">
        <v>540.6</v>
      </c>
      <c r="G200" s="599">
        <v>510</v>
      </c>
      <c r="H200" s="404"/>
    </row>
    <row r="201" spans="5:8" ht="14.5" customHeight="1" x14ac:dyDescent="0.15">
      <c r="E201" s="919" t="s">
        <v>1168</v>
      </c>
      <c r="F201" s="906">
        <v>429.3</v>
      </c>
      <c r="G201" s="599">
        <v>405</v>
      </c>
      <c r="H201" s="404"/>
    </row>
    <row r="202" spans="5:8" ht="14.5" customHeight="1" x14ac:dyDescent="0.15">
      <c r="E202" s="919" t="s">
        <v>1329</v>
      </c>
      <c r="F202" s="906">
        <v>386.90000000000003</v>
      </c>
      <c r="G202" s="599">
        <v>365</v>
      </c>
      <c r="H202" s="404"/>
    </row>
    <row r="203" spans="5:8" ht="14.5" customHeight="1" x14ac:dyDescent="0.15">
      <c r="E203" s="919" t="s">
        <v>1192</v>
      </c>
      <c r="F203" s="906">
        <v>646.6</v>
      </c>
      <c r="G203" s="599">
        <v>610</v>
      </c>
      <c r="H203" s="404"/>
    </row>
    <row r="204" spans="5:8" ht="14.5" customHeight="1" x14ac:dyDescent="0.15">
      <c r="E204" s="919" t="s">
        <v>1201</v>
      </c>
      <c r="F204" s="906">
        <v>630.70000000000005</v>
      </c>
      <c r="G204" s="599">
        <v>595</v>
      </c>
      <c r="H204" s="404"/>
    </row>
    <row r="205" spans="5:8" ht="14.5" customHeight="1" x14ac:dyDescent="0.15">
      <c r="E205" s="919" t="s">
        <v>1330</v>
      </c>
      <c r="F205" s="906">
        <v>906.30000000000007</v>
      </c>
      <c r="G205" s="599">
        <v>855</v>
      </c>
      <c r="H205" s="404"/>
    </row>
    <row r="206" spans="5:8" ht="14.5" customHeight="1" x14ac:dyDescent="0.15">
      <c r="E206" s="919" t="s">
        <v>1184</v>
      </c>
      <c r="F206" s="906">
        <v>593.6</v>
      </c>
      <c r="G206" s="599">
        <v>560</v>
      </c>
      <c r="H206" s="404"/>
    </row>
    <row r="207" spans="5:8" ht="14.5" customHeight="1" x14ac:dyDescent="0.15">
      <c r="E207" s="919" t="s">
        <v>1202</v>
      </c>
      <c r="F207" s="906">
        <v>895.7</v>
      </c>
      <c r="G207" s="599">
        <v>845</v>
      </c>
      <c r="H207" s="404"/>
    </row>
  </sheetData>
  <protectedRanges>
    <protectedRange sqref="AP151 AP123 AP136 AP5" name="Estimating_4"/>
    <protectedRange sqref="AY90:AY101 AX73:AX119 AX63:AX64 AX49:AX55 AX6:AX27 AY6:AY24" name="Pricing_4" securityDescriptor="O:WDG:WDD:(A;;CC;;;S-1-5-21-1993962763-879983540-839522115-1221)"/>
    <protectedRange sqref="AY90:AY101 AU103:AW111 AU6:AU26 AX73:AX119 AU73:AU102 AU49:AU55 AX63:AX64 AU63:AU64 AX49:AX55 AV51 AX6:AX27 AY6:AY24 AV53:AW102 AV6:AW50" name="Full_4" securityDescriptor="O:WDG:WDD:(A;;CC;;;S-1-5-21-1993962763-879983540-839522115-1156)"/>
    <protectedRange sqref="AU5:AX5" name="Full_1_4" securityDescriptor="O:WDG:WDD:(A;;CC;;;S-1-5-21-1993962763-879983540-839522115-1156)"/>
    <protectedRange sqref="AP19 AP32 AP45 AP58 AP71 AP84 AP97 AP110" name="Estimating_4_1"/>
    <protectedRange sqref="AK46:AK48" name="Full" securityDescriptor="O:WDG:WDD:(A;;CC;;;S-1-5-21-1993962763-879983540-839522115-1156)"/>
    <protectedRange sqref="AL46:AL48" name="Full_1" securityDescriptor="O:WDG:WDD:(A;;CC;;;S-1-5-21-1993962763-879983540-839522115-1156)"/>
    <protectedRange sqref="AK52:AK56" name="Full_2" securityDescriptor="O:WDG:WDD:(A;;CC;;;S-1-5-21-1993962763-879983540-839522115-1156)"/>
    <protectedRange sqref="AL52:AL56" name="Full_3" securityDescriptor="O:WDG:WDD:(A;;CC;;;S-1-5-21-1993962763-879983540-839522115-1156)"/>
    <protectedRange sqref="AK59:AK65" name="Full_5" securityDescriptor="O:WDG:WDD:(A;;CC;;;S-1-5-21-1993962763-879983540-839522115-1156)"/>
    <protectedRange sqref="AL59:AL65" name="Full_6" securityDescriptor="O:WDG:WDD:(A;;CC;;;S-1-5-21-1993962763-879983540-839522115-1156)"/>
    <protectedRange sqref="AK69:AK74" name="Full_7" securityDescriptor="O:WDG:WDD:(A;;CC;;;S-1-5-21-1993962763-879983540-839522115-1156)"/>
    <protectedRange sqref="AL69:AL74" name="Full_8" securityDescriptor="O:WDG:WDD:(A;;CC;;;S-1-5-21-1993962763-879983540-839522115-1156)"/>
    <protectedRange sqref="BF13:BI13 BK13:BO13 AU65:AU70 BE14:BE21 BE22:BK23 BE24:BP36 BD14:BD36 BF15:BI21 AU56:AU62 BK15:BO21 AX28:AX48" name="Full_9" securityDescriptor="O:WDG:WDD:(A;;CC;;;S-1-5-21-1993962763-879983540-839522115-1156)"/>
    <protectedRange sqref="AU27 BC14" name="Full_3_1" securityDescriptor="O:WDG:WDD:(A;;CC;;;S-1-5-21-1993962763-879983540-839522115-1156)"/>
    <protectedRange sqref="BB15:BC35 BC36 BB36:BB48 AU28:AU48" name="Full_3_1_1" securityDescriptor="O:WDG:WDD:(A;;CC;;;S-1-5-21-1993962763-879983540-839522115-1156)"/>
    <protectedRange sqref="AU71:AU72 BL22:BO23" name="Full_11" securityDescriptor="O:WDG:WDD:(A;;CC;;;S-1-5-21-1993962763-879983540-839522115-1156)"/>
    <protectedRange sqref="BJ13 BJ15:BJ21 AX56:AX62" name="Full_13" securityDescriptor="O:WDG:WDD:(A;;CC;;;S-1-5-21-1993962763-879983540-839522115-1156)"/>
    <protectedRange sqref="BP13 AX65:AX72 BP15:BP23" name="Full_15" securityDescriptor="O:WDG:WDD:(A;;CC;;;S-1-5-21-1993962763-879983540-839522115-1156)"/>
  </protectedRanges>
  <mergeCells count="7">
    <mergeCell ref="AV52:AW52"/>
    <mergeCell ref="BF13:BI13"/>
    <mergeCell ref="BL13:BO13"/>
    <mergeCell ref="BB6:BD6"/>
    <mergeCell ref="A1:C1"/>
    <mergeCell ref="A2:C2"/>
    <mergeCell ref="AV51:AW51"/>
  </mergeCells>
  <pageMargins left="0.7" right="0.7" top="0.75" bottom="0.75" header="0.3" footer="0.3"/>
  <pageSetup paperSize="8" orientation="landscape" r:id="rId1"/>
  <legacy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661" bestFit="1" customWidth="1"/>
    <col min="2" max="2" width="12" style="661" bestFit="1" customWidth="1"/>
    <col min="3" max="3" width="9.6640625" style="662" customWidth="1"/>
    <col min="4" max="4" width="27.6640625" style="663" bestFit="1" customWidth="1"/>
    <col min="5" max="5" width="18.1640625" style="664" bestFit="1" customWidth="1"/>
    <col min="6" max="6" width="12.33203125" style="634" bestFit="1" customWidth="1"/>
    <col min="7" max="7" width="17.1640625" style="634" bestFit="1" customWidth="1"/>
    <col min="8" max="8" width="25.6640625" style="665" bestFit="1" customWidth="1"/>
    <col min="9" max="9" width="10.83203125" style="665" bestFit="1" customWidth="1"/>
    <col min="10" max="10" width="16.5" style="665" bestFit="1" customWidth="1"/>
    <col min="11" max="11" width="18.1640625" style="665" bestFit="1" customWidth="1"/>
    <col min="12" max="12" width="23.83203125" style="665" bestFit="1" customWidth="1"/>
    <col min="13" max="13" width="21.6640625" style="665" bestFit="1" customWidth="1"/>
    <col min="14" max="14" width="18.33203125" style="665" bestFit="1" customWidth="1"/>
    <col min="15" max="15" width="18.83203125" style="665" bestFit="1" customWidth="1"/>
    <col min="16" max="16" width="15.1640625" style="634" bestFit="1" customWidth="1"/>
    <col min="17" max="17" width="23.5" style="634" bestFit="1" customWidth="1"/>
    <col min="18" max="18" width="14.6640625" style="634" bestFit="1" customWidth="1"/>
    <col min="19" max="19" width="14.5" style="634" bestFit="1" customWidth="1"/>
    <col min="20" max="20" width="10.5" style="634" bestFit="1" customWidth="1"/>
    <col min="21" max="21" width="19.33203125" style="634" bestFit="1" customWidth="1"/>
    <col min="22" max="22" width="16.1640625" style="634" bestFit="1" customWidth="1"/>
    <col min="23" max="23" width="17.33203125" style="634" bestFit="1" customWidth="1"/>
    <col min="24" max="26" width="20.83203125" style="634" customWidth="1"/>
    <col min="27" max="29" width="22.33203125" style="634" customWidth="1"/>
    <col min="30" max="30" width="18.33203125" style="634" bestFit="1" customWidth="1"/>
    <col min="31" max="31" width="18" style="634" customWidth="1"/>
    <col min="32" max="32" width="18.1640625" style="634" customWidth="1"/>
    <col min="33" max="33" width="26.33203125" style="634" customWidth="1"/>
    <col min="34" max="34" width="18.1640625" style="634" customWidth="1"/>
    <col min="35" max="35" width="22.83203125" style="634" customWidth="1"/>
    <col min="36" max="36" width="18" style="637" bestFit="1" customWidth="1"/>
    <col min="37" max="37" width="31.6640625" style="637" bestFit="1" customWidth="1"/>
    <col min="38" max="38" width="39.33203125" style="637" bestFit="1" customWidth="1"/>
    <col min="39" max="39" width="37.6640625" style="637" bestFit="1" customWidth="1"/>
    <col min="40" max="40" width="31" style="637" bestFit="1" customWidth="1"/>
    <col min="41" max="41" width="38.5" style="637" bestFit="1" customWidth="1"/>
    <col min="42" max="42" width="36.83203125" style="637" bestFit="1" customWidth="1"/>
    <col min="43" max="43" width="31.6640625" style="637" bestFit="1" customWidth="1"/>
    <col min="44" max="44" width="39.33203125" style="637" bestFit="1" customWidth="1"/>
    <col min="45" max="45" width="37.5" style="637" bestFit="1" customWidth="1"/>
    <col min="46" max="46" width="8.83203125" style="637"/>
    <col min="47" max="16384" width="8.83203125" style="634"/>
  </cols>
  <sheetData>
    <row r="1" spans="1:46" s="628" customFormat="1" ht="18" x14ac:dyDescent="0.15">
      <c r="A1" s="626" t="s">
        <v>203</v>
      </c>
      <c r="B1" s="626" t="s">
        <v>134</v>
      </c>
      <c r="C1" s="626" t="s">
        <v>133</v>
      </c>
      <c r="D1" s="626" t="s">
        <v>215</v>
      </c>
      <c r="E1" s="626" t="s">
        <v>34</v>
      </c>
      <c r="F1" s="626" t="s">
        <v>171</v>
      </c>
      <c r="G1" s="626" t="s">
        <v>176</v>
      </c>
      <c r="H1" s="626" t="s">
        <v>112</v>
      </c>
      <c r="I1" s="626" t="s">
        <v>569</v>
      </c>
      <c r="J1" s="627" t="s">
        <v>565</v>
      </c>
      <c r="K1" s="627" t="s">
        <v>553</v>
      </c>
      <c r="L1" s="627" t="s">
        <v>183</v>
      </c>
      <c r="M1" s="627" t="s">
        <v>172</v>
      </c>
      <c r="N1" s="627" t="s">
        <v>559</v>
      </c>
      <c r="O1" s="627" t="s">
        <v>15</v>
      </c>
      <c r="P1" s="627" t="s">
        <v>173</v>
      </c>
      <c r="Q1" s="627" t="s">
        <v>359</v>
      </c>
      <c r="R1" s="627" t="s">
        <v>168</v>
      </c>
      <c r="S1" s="626" t="s">
        <v>169</v>
      </c>
      <c r="T1" s="626" t="s">
        <v>179</v>
      </c>
      <c r="U1" s="627" t="s">
        <v>184</v>
      </c>
      <c r="V1" s="627" t="s">
        <v>185</v>
      </c>
      <c r="W1" s="626" t="s">
        <v>170</v>
      </c>
      <c r="X1" s="626" t="s">
        <v>579</v>
      </c>
      <c r="Y1" s="626" t="s">
        <v>590</v>
      </c>
      <c r="Z1" s="626" t="s">
        <v>591</v>
      </c>
      <c r="AA1" s="626" t="s">
        <v>57</v>
      </c>
      <c r="AB1" s="626" t="s">
        <v>577</v>
      </c>
      <c r="AC1" s="626" t="s">
        <v>578</v>
      </c>
      <c r="AD1" s="627" t="s">
        <v>174</v>
      </c>
      <c r="AI1" s="629"/>
      <c r="AJ1" s="629"/>
      <c r="AK1" s="630"/>
      <c r="AL1" s="630"/>
      <c r="AM1" s="630"/>
      <c r="AN1" s="630"/>
      <c r="AO1" s="630"/>
      <c r="AP1" s="630"/>
      <c r="AQ1" s="630"/>
      <c r="AR1" s="630"/>
      <c r="AS1" s="630"/>
      <c r="AT1" s="630"/>
    </row>
    <row r="2" spans="1:46" ht="17" thickBot="1" x14ac:dyDescent="0.25">
      <c r="A2" s="631" t="s">
        <v>192</v>
      </c>
      <c r="B2" s="631">
        <v>1000</v>
      </c>
      <c r="C2" s="631">
        <v>1000</v>
      </c>
      <c r="D2" s="631" t="str">
        <f>$A2&amp;B2&amp;C2</f>
        <v>UVX10001000</v>
      </c>
      <c r="E2" s="1054">
        <f>SUM(G2:AD2)</f>
        <v>1025.1896574</v>
      </c>
      <c r="F2" s="632">
        <v>16</v>
      </c>
      <c r="G2" s="633">
        <f>F2*CCBASE!$B$51</f>
        <v>576</v>
      </c>
      <c r="H2" s="633">
        <f>CCBASE!$I$11*B2/1000</f>
        <v>160.99296219999999</v>
      </c>
      <c r="I2" s="633"/>
      <c r="J2" s="633"/>
      <c r="K2" s="633"/>
      <c r="L2" s="632"/>
      <c r="M2" s="633">
        <f>CCBASE!$I$15*B2/1000</f>
        <v>79.84588500000001</v>
      </c>
      <c r="N2" s="633"/>
      <c r="O2" s="633"/>
      <c r="P2" s="633">
        <f>CCBASE!$I$10</f>
        <v>30.661922000000001</v>
      </c>
      <c r="Q2" s="633">
        <f>CCBASE!$I$51</f>
        <v>2.9</v>
      </c>
      <c r="R2" s="633">
        <f>CCBASE!$I$4</f>
        <v>8.3986041999999994</v>
      </c>
      <c r="S2" s="633">
        <f>CCBASE!$I$8</f>
        <v>16.25526</v>
      </c>
      <c r="T2" s="632"/>
      <c r="U2" s="633"/>
      <c r="V2" s="633"/>
      <c r="W2" s="633">
        <f>CCBASE!$I$40*B2/1000</f>
        <v>41.308039999999998</v>
      </c>
      <c r="X2" s="633"/>
      <c r="Y2" s="633"/>
      <c r="Z2" s="633"/>
      <c r="AA2" s="633"/>
      <c r="AB2" s="633"/>
      <c r="AC2" s="633"/>
      <c r="AD2" s="633">
        <f>CCBASE!$I$32*2</f>
        <v>108.826984</v>
      </c>
      <c r="AI2" s="635"/>
      <c r="AJ2" s="635"/>
      <c r="AK2" s="636"/>
      <c r="AL2" s="636"/>
      <c r="AM2" s="636"/>
      <c r="AN2" s="636"/>
      <c r="AO2" s="636"/>
      <c r="AP2" s="636"/>
      <c r="AQ2" s="636"/>
      <c r="AR2" s="636"/>
      <c r="AS2" s="636"/>
    </row>
    <row r="3" spans="1:46" x14ac:dyDescent="0.2">
      <c r="A3" s="631" t="s">
        <v>192</v>
      </c>
      <c r="B3" s="631">
        <v>1250</v>
      </c>
      <c r="C3" s="631">
        <v>1000</v>
      </c>
      <c r="D3" s="631" t="str">
        <f t="shared" ref="D3" si="0">$A3&amp;B3&amp;C3</f>
        <v>UVX12501000</v>
      </c>
      <c r="E3" s="1054">
        <f t="shared" ref="E3:E66" si="1">SUM(G3:AD3)</f>
        <v>1095.7263791999999</v>
      </c>
      <c r="F3" s="632">
        <v>16</v>
      </c>
      <c r="G3" s="633">
        <f>F3*CCBASE!$B$51</f>
        <v>576</v>
      </c>
      <c r="H3" s="633">
        <f>CCBASE!$I$11*B3/1000</f>
        <v>201.24120274999999</v>
      </c>
      <c r="I3" s="633"/>
      <c r="J3" s="633"/>
      <c r="K3" s="633"/>
      <c r="L3" s="632"/>
      <c r="M3" s="633">
        <f>CCBASE!$I$15*B3/1000</f>
        <v>99.807356250000012</v>
      </c>
      <c r="N3" s="633"/>
      <c r="O3" s="633"/>
      <c r="P3" s="633">
        <f>CCBASE!$I$10</f>
        <v>30.661922000000001</v>
      </c>
      <c r="Q3" s="633">
        <f>CCBASE!$I$51</f>
        <v>2.9</v>
      </c>
      <c r="R3" s="633">
        <f>CCBASE!$I$4</f>
        <v>8.3986041999999994</v>
      </c>
      <c r="S3" s="633">
        <f>CCBASE!$I$8</f>
        <v>16.25526</v>
      </c>
      <c r="T3" s="632"/>
      <c r="U3" s="633"/>
      <c r="V3" s="633"/>
      <c r="W3" s="633">
        <f>CCBASE!$I$40*B3/1000</f>
        <v>51.635049999999993</v>
      </c>
      <c r="X3" s="633"/>
      <c r="Y3" s="633"/>
      <c r="Z3" s="633"/>
      <c r="AA3" s="633"/>
      <c r="AB3" s="633"/>
      <c r="AC3" s="633"/>
      <c r="AD3" s="633">
        <f>CCBASE!$I$32*2</f>
        <v>108.826984</v>
      </c>
      <c r="AF3" s="1055" t="s">
        <v>737</v>
      </c>
      <c r="AG3" s="1056"/>
      <c r="AH3" s="1057"/>
      <c r="AI3" s="635"/>
      <c r="AJ3" s="635"/>
      <c r="AK3" s="636"/>
      <c r="AL3" s="636"/>
      <c r="AM3" s="636"/>
      <c r="AN3" s="636"/>
      <c r="AO3" s="636"/>
      <c r="AP3" s="636"/>
      <c r="AQ3" s="636"/>
      <c r="AR3" s="636"/>
      <c r="AS3" s="636"/>
    </row>
    <row r="4" spans="1:46" x14ac:dyDescent="0.2">
      <c r="A4" s="631" t="s">
        <v>192</v>
      </c>
      <c r="B4" s="631">
        <v>1500</v>
      </c>
      <c r="C4" s="631">
        <v>1000</v>
      </c>
      <c r="D4" s="631" t="str">
        <f t="shared" ref="D4" si="2">$A4&amp;B4&amp;C4</f>
        <v>UVX15001000</v>
      </c>
      <c r="E4" s="1054">
        <f t="shared" si="1"/>
        <v>1166.263101</v>
      </c>
      <c r="F4" s="632">
        <v>16</v>
      </c>
      <c r="G4" s="633">
        <f>F4*CCBASE!$B$51</f>
        <v>576</v>
      </c>
      <c r="H4" s="633">
        <f>CCBASE!$I$11*B4/1000</f>
        <v>241.48944329999998</v>
      </c>
      <c r="I4" s="633"/>
      <c r="J4" s="633"/>
      <c r="K4" s="633"/>
      <c r="L4" s="632"/>
      <c r="M4" s="633">
        <f>CCBASE!$I$15*B4/1000</f>
        <v>119.76882750000001</v>
      </c>
      <c r="N4" s="633"/>
      <c r="O4" s="633"/>
      <c r="P4" s="633">
        <f>CCBASE!$I$10</f>
        <v>30.661922000000001</v>
      </c>
      <c r="Q4" s="633">
        <f>CCBASE!$I$51</f>
        <v>2.9</v>
      </c>
      <c r="R4" s="633">
        <f>CCBASE!$I$4</f>
        <v>8.3986041999999994</v>
      </c>
      <c r="S4" s="633">
        <f>CCBASE!$I$8</f>
        <v>16.25526</v>
      </c>
      <c r="T4" s="632"/>
      <c r="U4" s="633"/>
      <c r="V4" s="633"/>
      <c r="W4" s="633">
        <f>CCBASE!$I$40*B4/1000</f>
        <v>61.962060000000001</v>
      </c>
      <c r="X4" s="633"/>
      <c r="Y4" s="633"/>
      <c r="Z4" s="633"/>
      <c r="AA4" s="633"/>
      <c r="AB4" s="633"/>
      <c r="AC4" s="633"/>
      <c r="AD4" s="633">
        <f>CCBASE!$I$32*2</f>
        <v>108.826984</v>
      </c>
      <c r="AF4" s="1058" t="s">
        <v>736</v>
      </c>
      <c r="AG4" s="1059" t="s">
        <v>542</v>
      </c>
      <c r="AH4" s="1060"/>
      <c r="AI4" s="635"/>
      <c r="AJ4" s="635"/>
      <c r="AK4" s="636"/>
      <c r="AL4" s="636"/>
      <c r="AM4" s="636"/>
      <c r="AN4" s="636"/>
      <c r="AO4" s="636"/>
      <c r="AP4" s="636"/>
      <c r="AQ4" s="636"/>
      <c r="AR4" s="636"/>
      <c r="AS4" s="636"/>
    </row>
    <row r="5" spans="1:46" ht="17" thickBot="1" x14ac:dyDescent="0.25">
      <c r="A5" s="631" t="s">
        <v>192</v>
      </c>
      <c r="B5" s="631">
        <v>1750</v>
      </c>
      <c r="C5" s="631">
        <v>1000</v>
      </c>
      <c r="D5" s="631" t="str">
        <f t="shared" ref="D5:D37" si="3">$A5&amp;B5&amp;C5</f>
        <v>UVX17501000</v>
      </c>
      <c r="E5" s="1054">
        <f t="shared" si="1"/>
        <v>1236.7998227999999</v>
      </c>
      <c r="F5" s="632">
        <v>16</v>
      </c>
      <c r="G5" s="633">
        <f>F5*CCBASE!$B$51</f>
        <v>576</v>
      </c>
      <c r="H5" s="633">
        <f>CCBASE!$I$11*B5/1000</f>
        <v>281.73768385</v>
      </c>
      <c r="I5" s="633"/>
      <c r="J5" s="633"/>
      <c r="K5" s="633"/>
      <c r="L5" s="632"/>
      <c r="M5" s="633">
        <f>CCBASE!$I$15*B5/1000</f>
        <v>139.73029875</v>
      </c>
      <c r="N5" s="633"/>
      <c r="O5" s="633"/>
      <c r="P5" s="633">
        <f>CCBASE!$I$10</f>
        <v>30.661922000000001</v>
      </c>
      <c r="Q5" s="633">
        <f>CCBASE!$I$51</f>
        <v>2.9</v>
      </c>
      <c r="R5" s="633">
        <f>CCBASE!$I$4</f>
        <v>8.3986041999999994</v>
      </c>
      <c r="S5" s="633">
        <f>CCBASE!$I$8</f>
        <v>16.25526</v>
      </c>
      <c r="T5" s="632"/>
      <c r="U5" s="633"/>
      <c r="V5" s="633"/>
      <c r="W5" s="633">
        <f>CCBASE!$I$40*B5/1000</f>
        <v>72.289069999999995</v>
      </c>
      <c r="X5" s="633"/>
      <c r="Y5" s="633"/>
      <c r="Z5" s="633"/>
      <c r="AA5" s="633"/>
      <c r="AB5" s="633"/>
      <c r="AC5" s="633"/>
      <c r="AD5" s="633">
        <f>CCBASE!$I$32*2</f>
        <v>108.826984</v>
      </c>
      <c r="AF5" s="1061">
        <v>45658</v>
      </c>
      <c r="AG5" s="1062">
        <v>0.06</v>
      </c>
      <c r="AH5" s="1063" t="s">
        <v>763</v>
      </c>
      <c r="AI5" s="635"/>
      <c r="AJ5" s="635"/>
      <c r="AK5" s="636"/>
      <c r="AL5" s="636"/>
      <c r="AM5" s="636"/>
      <c r="AN5" s="636"/>
      <c r="AO5" s="636"/>
      <c r="AP5" s="636"/>
      <c r="AQ5" s="636"/>
      <c r="AR5" s="636"/>
      <c r="AS5" s="636"/>
    </row>
    <row r="6" spans="1:46" x14ac:dyDescent="0.2">
      <c r="A6" s="631" t="s">
        <v>192</v>
      </c>
      <c r="B6" s="631">
        <v>2000</v>
      </c>
      <c r="C6" s="631">
        <v>1000</v>
      </c>
      <c r="D6" s="631" t="str">
        <f t="shared" si="3"/>
        <v>UVX20001000</v>
      </c>
      <c r="E6" s="1054">
        <f t="shared" si="1"/>
        <v>1316.3857448999997</v>
      </c>
      <c r="F6" s="632">
        <v>16</v>
      </c>
      <c r="G6" s="633">
        <f>F6*CCBASE!$B$51</f>
        <v>576</v>
      </c>
      <c r="H6" s="633">
        <f>CCBASE!$I$11*B6/1000</f>
        <v>321.98592439999999</v>
      </c>
      <c r="I6" s="633"/>
      <c r="J6" s="633"/>
      <c r="K6" s="633"/>
      <c r="L6" s="632"/>
      <c r="M6" s="633">
        <f>CCBASE!$I$15*B6/1000</f>
        <v>159.69177000000002</v>
      </c>
      <c r="N6" s="633"/>
      <c r="O6" s="633"/>
      <c r="P6" s="633">
        <f>CCBASE!$I$9</f>
        <v>39.7111223</v>
      </c>
      <c r="Q6" s="633">
        <f>CCBASE!$I$51</f>
        <v>2.9</v>
      </c>
      <c r="R6" s="633">
        <f>CCBASE!$I$4</f>
        <v>8.3986041999999994</v>
      </c>
      <c r="S6" s="633">
        <f>CCBASE!$I$8</f>
        <v>16.25526</v>
      </c>
      <c r="T6" s="632"/>
      <c r="U6" s="633"/>
      <c r="V6" s="633"/>
      <c r="W6" s="633">
        <f>CCBASE!$I$40*B6/1000</f>
        <v>82.616079999999997</v>
      </c>
      <c r="X6" s="633"/>
      <c r="Y6" s="633"/>
      <c r="Z6" s="633"/>
      <c r="AA6" s="633"/>
      <c r="AB6" s="633"/>
      <c r="AC6" s="633"/>
      <c r="AD6" s="633">
        <f>CCBASE!$I$32*2</f>
        <v>108.826984</v>
      </c>
      <c r="AI6" s="635"/>
      <c r="AJ6" s="635"/>
      <c r="AN6" s="636"/>
      <c r="AO6" s="636"/>
      <c r="AP6" s="636"/>
      <c r="AQ6" s="636"/>
      <c r="AR6" s="636"/>
      <c r="AS6" s="636"/>
    </row>
    <row r="7" spans="1:46" x14ac:dyDescent="0.2">
      <c r="A7" s="631" t="s">
        <v>192</v>
      </c>
      <c r="B7" s="631">
        <v>2250</v>
      </c>
      <c r="C7" s="631">
        <v>1000</v>
      </c>
      <c r="D7" s="631" t="str">
        <f t="shared" ref="D7" si="4">$A7&amp;B7&amp;C7</f>
        <v>UVX22501000</v>
      </c>
      <c r="E7" s="1054">
        <f t="shared" si="1"/>
        <v>1458.9224666999999</v>
      </c>
      <c r="F7" s="632">
        <v>18</v>
      </c>
      <c r="G7" s="633">
        <f>F7*CCBASE!$B$51</f>
        <v>648</v>
      </c>
      <c r="H7" s="633">
        <f>CCBASE!$I$11*B7/1000</f>
        <v>362.23416494999998</v>
      </c>
      <c r="I7" s="633"/>
      <c r="J7" s="633"/>
      <c r="K7" s="633"/>
      <c r="L7" s="632"/>
      <c r="M7" s="633">
        <f>CCBASE!$I$15*B7/1000</f>
        <v>179.65324125000001</v>
      </c>
      <c r="N7" s="633"/>
      <c r="O7" s="633"/>
      <c r="P7" s="633">
        <f>CCBASE!$I$9</f>
        <v>39.7111223</v>
      </c>
      <c r="Q7" s="633">
        <f>CCBASE!$I$51</f>
        <v>2.9</v>
      </c>
      <c r="R7" s="633">
        <f>CCBASE!$I$4</f>
        <v>8.3986041999999994</v>
      </c>
      <c r="S7" s="633">
        <f>CCBASE!$I$8</f>
        <v>16.25526</v>
      </c>
      <c r="T7" s="632"/>
      <c r="U7" s="633"/>
      <c r="V7" s="633"/>
      <c r="W7" s="633">
        <f>CCBASE!$I$40*B7/1000</f>
        <v>92.943089999999998</v>
      </c>
      <c r="X7" s="633"/>
      <c r="Y7" s="633"/>
      <c r="Z7" s="633"/>
      <c r="AA7" s="633"/>
      <c r="AB7" s="633"/>
      <c r="AC7" s="633"/>
      <c r="AD7" s="633">
        <f>CCBASE!$I$32*2</f>
        <v>108.826984</v>
      </c>
      <c r="AI7" s="635"/>
      <c r="AJ7" s="635"/>
      <c r="AN7" s="636"/>
      <c r="AO7" s="636"/>
      <c r="AP7" s="636"/>
      <c r="AQ7" s="636"/>
      <c r="AR7" s="636"/>
      <c r="AS7" s="636"/>
    </row>
    <row r="8" spans="1:46" x14ac:dyDescent="0.2">
      <c r="A8" s="631" t="s">
        <v>192</v>
      </c>
      <c r="B8" s="631">
        <v>2500</v>
      </c>
      <c r="C8" s="631">
        <v>1000</v>
      </c>
      <c r="D8" s="631" t="str">
        <f t="shared" si="3"/>
        <v>UVX25001000</v>
      </c>
      <c r="E8" s="1054">
        <f t="shared" si="1"/>
        <v>1529.4591884999998</v>
      </c>
      <c r="F8" s="632">
        <v>18</v>
      </c>
      <c r="G8" s="633">
        <f>F8*CCBASE!$B$51</f>
        <v>648</v>
      </c>
      <c r="H8" s="633">
        <f>CCBASE!$I$11*B8/1000</f>
        <v>402.48240549999997</v>
      </c>
      <c r="I8" s="633"/>
      <c r="J8" s="633"/>
      <c r="K8" s="633"/>
      <c r="L8" s="632"/>
      <c r="M8" s="633">
        <f>CCBASE!$I$15*B8/1000</f>
        <v>199.61471250000002</v>
      </c>
      <c r="N8" s="633"/>
      <c r="O8" s="633"/>
      <c r="P8" s="633">
        <f>CCBASE!$I$9</f>
        <v>39.7111223</v>
      </c>
      <c r="Q8" s="633">
        <f>CCBASE!$I$51</f>
        <v>2.9</v>
      </c>
      <c r="R8" s="633">
        <f>CCBASE!$I$4</f>
        <v>8.3986041999999994</v>
      </c>
      <c r="S8" s="633">
        <f>CCBASE!$I$8</f>
        <v>16.25526</v>
      </c>
      <c r="T8" s="632"/>
      <c r="U8" s="633"/>
      <c r="V8" s="633"/>
      <c r="W8" s="633">
        <f>CCBASE!$I$40*B8/1000</f>
        <v>103.27009999999999</v>
      </c>
      <c r="X8" s="633"/>
      <c r="Y8" s="633"/>
      <c r="Z8" s="633"/>
      <c r="AA8" s="633"/>
      <c r="AB8" s="633"/>
      <c r="AC8" s="633"/>
      <c r="AD8" s="633">
        <f>CCBASE!$I$32*2</f>
        <v>108.826984</v>
      </c>
      <c r="AI8" s="635"/>
      <c r="AJ8" s="635"/>
      <c r="AN8" s="636"/>
      <c r="AO8" s="636"/>
      <c r="AP8" s="636"/>
      <c r="AQ8" s="636"/>
      <c r="AR8" s="636"/>
      <c r="AS8" s="636"/>
    </row>
    <row r="9" spans="1:46" x14ac:dyDescent="0.2">
      <c r="A9" s="631" t="s">
        <v>192</v>
      </c>
      <c r="B9" s="631">
        <v>2750</v>
      </c>
      <c r="C9" s="631">
        <v>1000</v>
      </c>
      <c r="D9" s="631" t="str">
        <f t="shared" ref="D9" si="5">$A9&amp;B9&amp;C9</f>
        <v>UVX27501000</v>
      </c>
      <c r="E9" s="1054">
        <f t="shared" si="1"/>
        <v>1599.9959102999997</v>
      </c>
      <c r="F9" s="632">
        <v>18</v>
      </c>
      <c r="G9" s="633">
        <f>F9*CCBASE!$B$51</f>
        <v>648</v>
      </c>
      <c r="H9" s="633">
        <f>CCBASE!$I$11*B9/1000</f>
        <v>442.73064604999996</v>
      </c>
      <c r="I9" s="633"/>
      <c r="J9" s="633"/>
      <c r="K9" s="633"/>
      <c r="L9" s="632"/>
      <c r="M9" s="633">
        <f>CCBASE!$I$15*B9/1000</f>
        <v>219.57618375000001</v>
      </c>
      <c r="N9" s="633"/>
      <c r="O9" s="633"/>
      <c r="P9" s="633">
        <f>CCBASE!$I$9</f>
        <v>39.7111223</v>
      </c>
      <c r="Q9" s="633">
        <f>CCBASE!$I$51</f>
        <v>2.9</v>
      </c>
      <c r="R9" s="633">
        <f>CCBASE!$I$4</f>
        <v>8.3986041999999994</v>
      </c>
      <c r="S9" s="633">
        <f>CCBASE!$I$8</f>
        <v>16.25526</v>
      </c>
      <c r="T9" s="632"/>
      <c r="U9" s="633"/>
      <c r="V9" s="633"/>
      <c r="W9" s="633">
        <f>CCBASE!$I$40*B9/1000</f>
        <v>113.59711</v>
      </c>
      <c r="X9" s="633"/>
      <c r="Y9" s="633"/>
      <c r="Z9" s="633"/>
      <c r="AA9" s="633"/>
      <c r="AB9" s="633"/>
      <c r="AC9" s="633"/>
      <c r="AD9" s="633">
        <f>CCBASE!$I$32*2</f>
        <v>108.826984</v>
      </c>
      <c r="AI9" s="635"/>
      <c r="AJ9" s="635"/>
      <c r="AN9" s="636"/>
      <c r="AO9" s="636"/>
      <c r="AP9" s="636"/>
      <c r="AQ9" s="636"/>
      <c r="AR9" s="636"/>
      <c r="AS9" s="636"/>
    </row>
    <row r="10" spans="1:46" x14ac:dyDescent="0.2">
      <c r="A10" s="631" t="s">
        <v>192</v>
      </c>
      <c r="B10" s="631">
        <v>3000</v>
      </c>
      <c r="C10" s="631">
        <v>1000</v>
      </c>
      <c r="D10" s="631" t="str">
        <f t="shared" si="3"/>
        <v>UVX30001000</v>
      </c>
      <c r="E10" s="1054">
        <f t="shared" si="1"/>
        <v>1670.5326320999998</v>
      </c>
      <c r="F10" s="632">
        <v>18</v>
      </c>
      <c r="G10" s="633">
        <f>F10*CCBASE!$B$51</f>
        <v>648</v>
      </c>
      <c r="H10" s="633">
        <f>CCBASE!$I$11*B10/1000</f>
        <v>482.97888659999995</v>
      </c>
      <c r="I10" s="633"/>
      <c r="J10" s="633"/>
      <c r="K10" s="633"/>
      <c r="L10" s="632"/>
      <c r="M10" s="633">
        <f>CCBASE!$I$15*B10/1000</f>
        <v>239.53765500000003</v>
      </c>
      <c r="N10" s="633"/>
      <c r="O10" s="633"/>
      <c r="P10" s="633">
        <f>CCBASE!$I$9</f>
        <v>39.7111223</v>
      </c>
      <c r="Q10" s="633">
        <f>CCBASE!$I$51</f>
        <v>2.9</v>
      </c>
      <c r="R10" s="633">
        <f>CCBASE!$I$4</f>
        <v>8.3986041999999994</v>
      </c>
      <c r="S10" s="633">
        <f>CCBASE!$I$8</f>
        <v>16.25526</v>
      </c>
      <c r="T10" s="632"/>
      <c r="U10" s="633"/>
      <c r="V10" s="633"/>
      <c r="W10" s="633">
        <f>CCBASE!$I$40*B10/1000</f>
        <v>123.92412</v>
      </c>
      <c r="X10" s="633"/>
      <c r="Y10" s="633"/>
      <c r="Z10" s="633"/>
      <c r="AA10" s="633"/>
      <c r="AB10" s="633"/>
      <c r="AC10" s="633"/>
      <c r="AD10" s="633">
        <f>CCBASE!$I$32*2</f>
        <v>108.826984</v>
      </c>
      <c r="AI10" s="635"/>
      <c r="AJ10" s="635"/>
      <c r="AN10" s="636"/>
      <c r="AO10" s="636"/>
      <c r="AP10" s="636"/>
      <c r="AQ10" s="636"/>
      <c r="AR10" s="636"/>
      <c r="AS10" s="636"/>
    </row>
    <row r="11" spans="1:46" x14ac:dyDescent="0.2">
      <c r="A11" s="631" t="s">
        <v>192</v>
      </c>
      <c r="B11" s="631">
        <v>1000</v>
      </c>
      <c r="C11" s="631">
        <v>1250</v>
      </c>
      <c r="D11" s="631" t="str">
        <f t="shared" si="3"/>
        <v>UVX10001250</v>
      </c>
      <c r="E11" s="1054">
        <f t="shared" si="1"/>
        <v>1025.1896574</v>
      </c>
      <c r="F11" s="632">
        <v>16</v>
      </c>
      <c r="G11" s="633">
        <f>F11*CCBASE!$B$51</f>
        <v>576</v>
      </c>
      <c r="H11" s="633">
        <f>CCBASE!$I$11*B11/1000</f>
        <v>160.99296219999999</v>
      </c>
      <c r="I11" s="633"/>
      <c r="J11" s="633"/>
      <c r="K11" s="633"/>
      <c r="L11" s="632"/>
      <c r="M11" s="633">
        <f>CCBASE!$I$15*B11/1000</f>
        <v>79.84588500000001</v>
      </c>
      <c r="N11" s="633"/>
      <c r="O11" s="633"/>
      <c r="P11" s="633">
        <f>CCBASE!$I$10</f>
        <v>30.661922000000001</v>
      </c>
      <c r="Q11" s="633">
        <f>CCBASE!$I$51</f>
        <v>2.9</v>
      </c>
      <c r="R11" s="633">
        <f>CCBASE!$I$4</f>
        <v>8.3986041999999994</v>
      </c>
      <c r="S11" s="633">
        <f>CCBASE!$I$8</f>
        <v>16.25526</v>
      </c>
      <c r="T11" s="632"/>
      <c r="U11" s="633"/>
      <c r="V11" s="633"/>
      <c r="W11" s="633">
        <f>CCBASE!$I$40*B11/1000</f>
        <v>41.308039999999998</v>
      </c>
      <c r="X11" s="633"/>
      <c r="Y11" s="633"/>
      <c r="Z11" s="633"/>
      <c r="AA11" s="633"/>
      <c r="AB11" s="633"/>
      <c r="AC11" s="633"/>
      <c r="AD11" s="633">
        <f>CCBASE!$I$32*2</f>
        <v>108.826984</v>
      </c>
      <c r="AI11" s="635"/>
      <c r="AJ11" s="635"/>
      <c r="AK11" s="636"/>
      <c r="AL11" s="636"/>
      <c r="AM11" s="636"/>
      <c r="AN11" s="636"/>
      <c r="AO11" s="636"/>
      <c r="AP11" s="636"/>
      <c r="AQ11" s="636"/>
      <c r="AR11" s="636"/>
      <c r="AS11" s="636"/>
    </row>
    <row r="12" spans="1:46" x14ac:dyDescent="0.2">
      <c r="A12" s="631" t="s">
        <v>192</v>
      </c>
      <c r="B12" s="631">
        <v>1250</v>
      </c>
      <c r="C12" s="631">
        <v>1250</v>
      </c>
      <c r="D12" s="631" t="str">
        <f t="shared" si="3"/>
        <v>UVX12501250</v>
      </c>
      <c r="E12" s="1054">
        <f t="shared" si="1"/>
        <v>1095.7263791999999</v>
      </c>
      <c r="F12" s="632">
        <v>16</v>
      </c>
      <c r="G12" s="633">
        <f>F12*CCBASE!$B$51</f>
        <v>576</v>
      </c>
      <c r="H12" s="633">
        <f>CCBASE!$I$11*B12/1000</f>
        <v>201.24120274999999</v>
      </c>
      <c r="I12" s="633"/>
      <c r="J12" s="633"/>
      <c r="K12" s="633"/>
      <c r="L12" s="632"/>
      <c r="M12" s="633">
        <f>CCBASE!$I$15*B12/1000</f>
        <v>99.807356250000012</v>
      </c>
      <c r="N12" s="633"/>
      <c r="O12" s="633"/>
      <c r="P12" s="633">
        <f>CCBASE!$I$10</f>
        <v>30.661922000000001</v>
      </c>
      <c r="Q12" s="633">
        <f>CCBASE!$I$51</f>
        <v>2.9</v>
      </c>
      <c r="R12" s="633">
        <f>CCBASE!$I$4</f>
        <v>8.3986041999999994</v>
      </c>
      <c r="S12" s="633">
        <f>CCBASE!$I$8</f>
        <v>16.25526</v>
      </c>
      <c r="T12" s="632"/>
      <c r="U12" s="633"/>
      <c r="V12" s="633"/>
      <c r="W12" s="633">
        <f>CCBASE!$I$40*B12/1000</f>
        <v>51.635049999999993</v>
      </c>
      <c r="X12" s="633"/>
      <c r="Y12" s="633"/>
      <c r="Z12" s="633"/>
      <c r="AA12" s="633"/>
      <c r="AB12" s="633"/>
      <c r="AC12" s="633"/>
      <c r="AD12" s="633">
        <f>CCBASE!$I$32*2</f>
        <v>108.826984</v>
      </c>
      <c r="AI12" s="635"/>
      <c r="AJ12" s="635"/>
      <c r="AK12" s="636"/>
      <c r="AL12" s="636"/>
      <c r="AM12" s="636"/>
      <c r="AN12" s="636"/>
      <c r="AO12" s="636"/>
      <c r="AP12" s="636"/>
      <c r="AQ12" s="636"/>
      <c r="AR12" s="636"/>
      <c r="AS12" s="636"/>
    </row>
    <row r="13" spans="1:46" x14ac:dyDescent="0.2">
      <c r="A13" s="631" t="s">
        <v>192</v>
      </c>
      <c r="B13" s="631">
        <v>1500</v>
      </c>
      <c r="C13" s="631">
        <v>1250</v>
      </c>
      <c r="D13" s="631" t="str">
        <f t="shared" ref="D13" si="6">$A13&amp;B13&amp;C13</f>
        <v>UVX15001250</v>
      </c>
      <c r="E13" s="1054">
        <f t="shared" si="1"/>
        <v>1166.263101</v>
      </c>
      <c r="F13" s="632">
        <v>16</v>
      </c>
      <c r="G13" s="633">
        <f>F13*CCBASE!$B$51</f>
        <v>576</v>
      </c>
      <c r="H13" s="633">
        <f>CCBASE!$I$11*B13/1000</f>
        <v>241.48944329999998</v>
      </c>
      <c r="I13" s="633"/>
      <c r="J13" s="633"/>
      <c r="K13" s="633"/>
      <c r="L13" s="632"/>
      <c r="M13" s="633">
        <f>CCBASE!$I$15*B13/1000</f>
        <v>119.76882750000001</v>
      </c>
      <c r="N13" s="633"/>
      <c r="O13" s="633"/>
      <c r="P13" s="633">
        <f>CCBASE!$I$10</f>
        <v>30.661922000000001</v>
      </c>
      <c r="Q13" s="633">
        <f>CCBASE!$I$51</f>
        <v>2.9</v>
      </c>
      <c r="R13" s="633">
        <f>CCBASE!$I$4</f>
        <v>8.3986041999999994</v>
      </c>
      <c r="S13" s="633">
        <f>CCBASE!$I$8</f>
        <v>16.25526</v>
      </c>
      <c r="T13" s="632"/>
      <c r="U13" s="633"/>
      <c r="V13" s="633"/>
      <c r="W13" s="633">
        <f>CCBASE!$I$40*B13/1000</f>
        <v>61.962060000000001</v>
      </c>
      <c r="X13" s="633"/>
      <c r="Y13" s="633"/>
      <c r="Z13" s="633"/>
      <c r="AA13" s="633"/>
      <c r="AB13" s="633"/>
      <c r="AC13" s="633"/>
      <c r="AD13" s="633">
        <f>CCBASE!$I$32*2</f>
        <v>108.826984</v>
      </c>
      <c r="AI13" s="635"/>
      <c r="AJ13" s="635"/>
      <c r="AK13" s="636"/>
      <c r="AL13" s="636"/>
      <c r="AM13" s="636"/>
      <c r="AN13" s="636"/>
      <c r="AO13" s="636"/>
      <c r="AP13" s="636"/>
      <c r="AQ13" s="636"/>
      <c r="AR13" s="636"/>
      <c r="AS13" s="636"/>
    </row>
    <row r="14" spans="1:46" x14ac:dyDescent="0.2">
      <c r="A14" s="631" t="s">
        <v>192</v>
      </c>
      <c r="B14" s="631">
        <v>1750</v>
      </c>
      <c r="C14" s="631">
        <v>1250</v>
      </c>
      <c r="D14" s="631" t="str">
        <f t="shared" si="3"/>
        <v>UVX17501250</v>
      </c>
      <c r="E14" s="1054">
        <f t="shared" si="1"/>
        <v>1236.7998227999999</v>
      </c>
      <c r="F14" s="632">
        <v>16</v>
      </c>
      <c r="G14" s="633">
        <f>F14*CCBASE!$B$51</f>
        <v>576</v>
      </c>
      <c r="H14" s="633">
        <f>CCBASE!$I$11*B14/1000</f>
        <v>281.73768385</v>
      </c>
      <c r="I14" s="633"/>
      <c r="J14" s="633"/>
      <c r="K14" s="633"/>
      <c r="L14" s="632"/>
      <c r="M14" s="633">
        <f>CCBASE!$I$15*B14/1000</f>
        <v>139.73029875</v>
      </c>
      <c r="N14" s="633"/>
      <c r="O14" s="633"/>
      <c r="P14" s="633">
        <f>CCBASE!$I$10</f>
        <v>30.661922000000001</v>
      </c>
      <c r="Q14" s="633">
        <f>CCBASE!$I$51</f>
        <v>2.9</v>
      </c>
      <c r="R14" s="633">
        <f>CCBASE!$I$4</f>
        <v>8.3986041999999994</v>
      </c>
      <c r="S14" s="633">
        <f>CCBASE!$I$8</f>
        <v>16.25526</v>
      </c>
      <c r="T14" s="632"/>
      <c r="U14" s="633"/>
      <c r="V14" s="633"/>
      <c r="W14" s="633">
        <f>CCBASE!$I$40*B14/1000</f>
        <v>72.289069999999995</v>
      </c>
      <c r="X14" s="633"/>
      <c r="Y14" s="633"/>
      <c r="Z14" s="633"/>
      <c r="AA14" s="633"/>
      <c r="AB14" s="633"/>
      <c r="AC14" s="633"/>
      <c r="AD14" s="633">
        <f>CCBASE!$I$32*2</f>
        <v>108.826984</v>
      </c>
      <c r="AI14" s="635"/>
      <c r="AJ14" s="635"/>
      <c r="AK14" s="636"/>
      <c r="AL14" s="636"/>
      <c r="AM14" s="636"/>
      <c r="AN14" s="636"/>
      <c r="AO14" s="636"/>
      <c r="AP14" s="636"/>
      <c r="AQ14" s="636"/>
      <c r="AR14" s="636"/>
      <c r="AS14" s="636"/>
    </row>
    <row r="15" spans="1:46" x14ac:dyDescent="0.2">
      <c r="A15" s="631" t="s">
        <v>192</v>
      </c>
      <c r="B15" s="631">
        <v>2000</v>
      </c>
      <c r="C15" s="631">
        <v>1250</v>
      </c>
      <c r="D15" s="631" t="str">
        <f t="shared" ref="D15" si="7">$A15&amp;B15&amp;C15</f>
        <v>UVX20001250</v>
      </c>
      <c r="E15" s="1054">
        <f t="shared" si="1"/>
        <v>1316.3857448999997</v>
      </c>
      <c r="F15" s="632">
        <v>16</v>
      </c>
      <c r="G15" s="633">
        <f>F15*CCBASE!$B$51</f>
        <v>576</v>
      </c>
      <c r="H15" s="633">
        <f>CCBASE!$I$11*B15/1000</f>
        <v>321.98592439999999</v>
      </c>
      <c r="I15" s="633"/>
      <c r="J15" s="633"/>
      <c r="K15" s="633"/>
      <c r="L15" s="632"/>
      <c r="M15" s="633">
        <f>CCBASE!$I$15*B15/1000</f>
        <v>159.69177000000002</v>
      </c>
      <c r="N15" s="633"/>
      <c r="O15" s="633"/>
      <c r="P15" s="633">
        <f>CCBASE!$I$9</f>
        <v>39.7111223</v>
      </c>
      <c r="Q15" s="633">
        <f>CCBASE!$I$51</f>
        <v>2.9</v>
      </c>
      <c r="R15" s="633">
        <f>CCBASE!$I$4</f>
        <v>8.3986041999999994</v>
      </c>
      <c r="S15" s="633">
        <f>CCBASE!$I$8</f>
        <v>16.25526</v>
      </c>
      <c r="T15" s="632"/>
      <c r="U15" s="633"/>
      <c r="V15" s="633"/>
      <c r="W15" s="633">
        <f>CCBASE!$I$40*B15/1000</f>
        <v>82.616079999999997</v>
      </c>
      <c r="X15" s="633"/>
      <c r="Y15" s="633"/>
      <c r="Z15" s="633"/>
      <c r="AA15" s="633"/>
      <c r="AB15" s="633"/>
      <c r="AC15" s="633"/>
      <c r="AD15" s="633">
        <f>CCBASE!$I$32*2</f>
        <v>108.826984</v>
      </c>
      <c r="AI15" s="635"/>
      <c r="AJ15" s="635"/>
      <c r="AN15" s="636"/>
      <c r="AO15" s="636"/>
      <c r="AP15" s="636"/>
      <c r="AQ15" s="636"/>
      <c r="AR15" s="636"/>
      <c r="AS15" s="636"/>
    </row>
    <row r="16" spans="1:46" x14ac:dyDescent="0.2">
      <c r="A16" s="631" t="s">
        <v>192</v>
      </c>
      <c r="B16" s="631">
        <v>2250</v>
      </c>
      <c r="C16" s="631">
        <v>1250</v>
      </c>
      <c r="D16" s="631" t="str">
        <f t="shared" si="3"/>
        <v>UVX22501250</v>
      </c>
      <c r="E16" s="1054">
        <f t="shared" si="1"/>
        <v>1386.9224666999999</v>
      </c>
      <c r="F16" s="632">
        <v>16</v>
      </c>
      <c r="G16" s="633">
        <f>F16*CCBASE!$B$51</f>
        <v>576</v>
      </c>
      <c r="H16" s="633">
        <f>CCBASE!$I$11*B16/1000</f>
        <v>362.23416494999998</v>
      </c>
      <c r="I16" s="633"/>
      <c r="J16" s="633"/>
      <c r="K16" s="633"/>
      <c r="L16" s="632"/>
      <c r="M16" s="633">
        <f>CCBASE!$I$15*B16/1000</f>
        <v>179.65324125000001</v>
      </c>
      <c r="N16" s="633"/>
      <c r="O16" s="633"/>
      <c r="P16" s="633">
        <f>CCBASE!$I$9</f>
        <v>39.7111223</v>
      </c>
      <c r="Q16" s="633">
        <f>CCBASE!$I$51</f>
        <v>2.9</v>
      </c>
      <c r="R16" s="633">
        <f>CCBASE!$I$4</f>
        <v>8.3986041999999994</v>
      </c>
      <c r="S16" s="633">
        <f>CCBASE!$I$8</f>
        <v>16.25526</v>
      </c>
      <c r="T16" s="632"/>
      <c r="U16" s="633"/>
      <c r="V16" s="633"/>
      <c r="W16" s="633">
        <f>CCBASE!$I$40*B16/1000</f>
        <v>92.943089999999998</v>
      </c>
      <c r="X16" s="633"/>
      <c r="Y16" s="633"/>
      <c r="Z16" s="633"/>
      <c r="AA16" s="633"/>
      <c r="AB16" s="633"/>
      <c r="AC16" s="633"/>
      <c r="AD16" s="633">
        <f>CCBASE!$I$32*2</f>
        <v>108.826984</v>
      </c>
      <c r="AI16" s="635"/>
      <c r="AJ16" s="635"/>
      <c r="AN16" s="636"/>
      <c r="AO16" s="636"/>
      <c r="AP16" s="636"/>
      <c r="AQ16" s="636"/>
      <c r="AR16" s="636"/>
      <c r="AS16" s="636"/>
    </row>
    <row r="17" spans="1:45" x14ac:dyDescent="0.2">
      <c r="A17" s="631" t="s">
        <v>192</v>
      </c>
      <c r="B17" s="631">
        <v>2500</v>
      </c>
      <c r="C17" s="631">
        <v>1250</v>
      </c>
      <c r="D17" s="631" t="str">
        <f t="shared" ref="D17" si="8">$A17&amp;B17&amp;C17</f>
        <v>UVX25001250</v>
      </c>
      <c r="E17" s="1054">
        <f t="shared" si="1"/>
        <v>1529.4591884999998</v>
      </c>
      <c r="F17" s="632">
        <v>18</v>
      </c>
      <c r="G17" s="633">
        <f>F17*CCBASE!$B$51</f>
        <v>648</v>
      </c>
      <c r="H17" s="633">
        <f>CCBASE!$I$11*B17/1000</f>
        <v>402.48240549999997</v>
      </c>
      <c r="I17" s="633"/>
      <c r="J17" s="633"/>
      <c r="K17" s="633"/>
      <c r="L17" s="632"/>
      <c r="M17" s="633">
        <f>CCBASE!$I$15*B17/1000</f>
        <v>199.61471250000002</v>
      </c>
      <c r="N17" s="633"/>
      <c r="O17" s="633"/>
      <c r="P17" s="633">
        <f>CCBASE!$I$9</f>
        <v>39.7111223</v>
      </c>
      <c r="Q17" s="633">
        <f>CCBASE!$I$51</f>
        <v>2.9</v>
      </c>
      <c r="R17" s="633">
        <f>CCBASE!$I$4</f>
        <v>8.3986041999999994</v>
      </c>
      <c r="S17" s="633">
        <f>CCBASE!$I$8</f>
        <v>16.25526</v>
      </c>
      <c r="T17" s="632"/>
      <c r="U17" s="633"/>
      <c r="V17" s="633"/>
      <c r="W17" s="633">
        <f>CCBASE!$I$40*B17/1000</f>
        <v>103.27009999999999</v>
      </c>
      <c r="X17" s="633"/>
      <c r="Y17" s="633"/>
      <c r="Z17" s="633"/>
      <c r="AA17" s="633"/>
      <c r="AB17" s="633"/>
      <c r="AC17" s="633"/>
      <c r="AD17" s="633">
        <f>CCBASE!$I$32*2</f>
        <v>108.826984</v>
      </c>
      <c r="AI17" s="635"/>
      <c r="AJ17" s="635"/>
      <c r="AN17" s="636"/>
      <c r="AO17" s="636"/>
      <c r="AP17" s="636"/>
      <c r="AQ17" s="636"/>
      <c r="AR17" s="636"/>
      <c r="AS17" s="636"/>
    </row>
    <row r="18" spans="1:45" x14ac:dyDescent="0.2">
      <c r="A18" s="631" t="s">
        <v>192</v>
      </c>
      <c r="B18" s="631">
        <v>2750</v>
      </c>
      <c r="C18" s="631">
        <v>1250</v>
      </c>
      <c r="D18" s="631" t="str">
        <f t="shared" si="3"/>
        <v>UVX27501250</v>
      </c>
      <c r="E18" s="1054">
        <f t="shared" si="1"/>
        <v>1599.9959102999997</v>
      </c>
      <c r="F18" s="632">
        <v>18</v>
      </c>
      <c r="G18" s="633">
        <f>F18*CCBASE!$B$51</f>
        <v>648</v>
      </c>
      <c r="H18" s="633">
        <f>CCBASE!$I$11*B18/1000</f>
        <v>442.73064604999996</v>
      </c>
      <c r="I18" s="633"/>
      <c r="J18" s="633"/>
      <c r="K18" s="633"/>
      <c r="L18" s="632"/>
      <c r="M18" s="633">
        <f>CCBASE!$I$15*B18/1000</f>
        <v>219.57618375000001</v>
      </c>
      <c r="N18" s="633"/>
      <c r="O18" s="633"/>
      <c r="P18" s="633">
        <f>CCBASE!$I$9</f>
        <v>39.7111223</v>
      </c>
      <c r="Q18" s="633">
        <f>CCBASE!$I$51</f>
        <v>2.9</v>
      </c>
      <c r="R18" s="633">
        <f>CCBASE!$I$4</f>
        <v>8.3986041999999994</v>
      </c>
      <c r="S18" s="633">
        <f>CCBASE!$I$8</f>
        <v>16.25526</v>
      </c>
      <c r="T18" s="632"/>
      <c r="U18" s="633"/>
      <c r="V18" s="633"/>
      <c r="W18" s="633">
        <f>CCBASE!$I$40*B18/1000</f>
        <v>113.59711</v>
      </c>
      <c r="X18" s="633"/>
      <c r="Y18" s="633"/>
      <c r="Z18" s="633"/>
      <c r="AA18" s="633"/>
      <c r="AB18" s="633"/>
      <c r="AC18" s="633"/>
      <c r="AD18" s="633">
        <f>CCBASE!$I$32*2</f>
        <v>108.826984</v>
      </c>
      <c r="AI18" s="635"/>
      <c r="AJ18" s="635"/>
      <c r="AN18" s="636"/>
      <c r="AO18" s="636"/>
      <c r="AP18" s="636"/>
      <c r="AQ18" s="636"/>
      <c r="AR18" s="636"/>
      <c r="AS18" s="636"/>
    </row>
    <row r="19" spans="1:45" x14ac:dyDescent="0.2">
      <c r="A19" s="631" t="s">
        <v>192</v>
      </c>
      <c r="B19" s="631">
        <v>3000</v>
      </c>
      <c r="C19" s="631">
        <v>1250</v>
      </c>
      <c r="D19" s="631" t="str">
        <f t="shared" ref="D19" si="9">$A19&amp;B19&amp;C19</f>
        <v>UVX30001250</v>
      </c>
      <c r="E19" s="1054">
        <f t="shared" si="1"/>
        <v>1670.5326320999998</v>
      </c>
      <c r="F19" s="632">
        <v>18</v>
      </c>
      <c r="G19" s="633">
        <f>F19*CCBASE!$B$51</f>
        <v>648</v>
      </c>
      <c r="H19" s="633">
        <f>CCBASE!$I$11*B19/1000</f>
        <v>482.97888659999995</v>
      </c>
      <c r="I19" s="633"/>
      <c r="J19" s="633"/>
      <c r="K19" s="633"/>
      <c r="L19" s="632"/>
      <c r="M19" s="633">
        <f>CCBASE!$I$15*B19/1000</f>
        <v>239.53765500000003</v>
      </c>
      <c r="N19" s="633"/>
      <c r="O19" s="633"/>
      <c r="P19" s="633">
        <f>CCBASE!$I$9</f>
        <v>39.7111223</v>
      </c>
      <c r="Q19" s="633">
        <f>CCBASE!$I$51</f>
        <v>2.9</v>
      </c>
      <c r="R19" s="633">
        <f>CCBASE!$I$4</f>
        <v>8.3986041999999994</v>
      </c>
      <c r="S19" s="633">
        <f>CCBASE!$I$8</f>
        <v>16.25526</v>
      </c>
      <c r="T19" s="632"/>
      <c r="U19" s="633"/>
      <c r="V19" s="633"/>
      <c r="W19" s="633">
        <f>CCBASE!$I$40*B19/1000</f>
        <v>123.92412</v>
      </c>
      <c r="X19" s="633"/>
      <c r="Y19" s="633"/>
      <c r="Z19" s="633"/>
      <c r="AA19" s="633"/>
      <c r="AB19" s="633"/>
      <c r="AC19" s="633"/>
      <c r="AD19" s="633">
        <f>CCBASE!$I$32*2</f>
        <v>108.826984</v>
      </c>
      <c r="AI19" s="635"/>
      <c r="AJ19" s="635"/>
      <c r="AN19" s="636"/>
      <c r="AO19" s="636"/>
      <c r="AP19" s="636"/>
      <c r="AQ19" s="636"/>
      <c r="AR19" s="636"/>
      <c r="AS19" s="636"/>
    </row>
    <row r="20" spans="1:45" x14ac:dyDescent="0.2">
      <c r="A20" s="631" t="s">
        <v>192</v>
      </c>
      <c r="B20" s="631">
        <v>1000</v>
      </c>
      <c r="C20" s="631">
        <v>1500</v>
      </c>
      <c r="D20" s="631" t="str">
        <f t="shared" si="3"/>
        <v>UVX10001500</v>
      </c>
      <c r="E20" s="1054">
        <f t="shared" si="1"/>
        <v>1070.1399333999998</v>
      </c>
      <c r="F20" s="632">
        <v>16</v>
      </c>
      <c r="G20" s="633">
        <f>F20*CCBASE!$B$51</f>
        <v>576</v>
      </c>
      <c r="H20" s="633">
        <f>CCBASE!$I$11*B20/1000</f>
        <v>160.99296219999999</v>
      </c>
      <c r="I20" s="633"/>
      <c r="J20" s="633"/>
      <c r="K20" s="633"/>
      <c r="L20" s="632"/>
      <c r="M20" s="633">
        <f>CCBASE!$I$15*B20/1000</f>
        <v>79.84588500000001</v>
      </c>
      <c r="N20" s="633"/>
      <c r="O20" s="633"/>
      <c r="P20" s="633">
        <f>CCBASE!$I$10</f>
        <v>30.661922000000001</v>
      </c>
      <c r="Q20" s="633">
        <f>CCBASE!$I$51</f>
        <v>2.9</v>
      </c>
      <c r="R20" s="633">
        <f>CCBASE!$I$4</f>
        <v>8.3986041999999994</v>
      </c>
      <c r="S20" s="633">
        <f>CCBASE!$I$8</f>
        <v>16.25526</v>
      </c>
      <c r="T20" s="632"/>
      <c r="U20" s="633"/>
      <c r="V20" s="633"/>
      <c r="W20" s="633">
        <f>CCBASE!$I$41*B20/1000</f>
        <v>59.051569999999998</v>
      </c>
      <c r="X20" s="633"/>
      <c r="Y20" s="633"/>
      <c r="Z20" s="633"/>
      <c r="AA20" s="633"/>
      <c r="AB20" s="633"/>
      <c r="AC20" s="633"/>
      <c r="AD20" s="633">
        <f>CCBASE!$I$33*2</f>
        <v>136.03372999999999</v>
      </c>
      <c r="AI20" s="635"/>
      <c r="AJ20" s="635"/>
      <c r="AN20" s="636"/>
      <c r="AO20" s="636"/>
      <c r="AP20" s="636"/>
      <c r="AQ20" s="636"/>
      <c r="AR20" s="636"/>
      <c r="AS20" s="636"/>
    </row>
    <row r="21" spans="1:45" x14ac:dyDescent="0.2">
      <c r="A21" s="631" t="s">
        <v>192</v>
      </c>
      <c r="B21" s="631">
        <v>1250</v>
      </c>
      <c r="C21" s="631">
        <v>1500</v>
      </c>
      <c r="D21" s="631" t="str">
        <f t="shared" si="3"/>
        <v>UVX12501500</v>
      </c>
      <c r="E21" s="1054">
        <f t="shared" si="1"/>
        <v>1145.1125376999998</v>
      </c>
      <c r="F21" s="632">
        <v>16</v>
      </c>
      <c r="G21" s="633">
        <f>F21*CCBASE!$B$51</f>
        <v>576</v>
      </c>
      <c r="H21" s="633">
        <f>CCBASE!$I$11*B21/1000</f>
        <v>201.24120274999999</v>
      </c>
      <c r="I21" s="633"/>
      <c r="J21" s="633"/>
      <c r="K21" s="633"/>
      <c r="L21" s="632"/>
      <c r="M21" s="633">
        <f>CCBASE!$I$15*B21/1000</f>
        <v>99.807356250000012</v>
      </c>
      <c r="N21" s="633"/>
      <c r="O21" s="633"/>
      <c r="P21" s="633">
        <f>CCBASE!$I$10</f>
        <v>30.661922000000001</v>
      </c>
      <c r="Q21" s="633">
        <f>CCBASE!$I$51</f>
        <v>2.9</v>
      </c>
      <c r="R21" s="633">
        <f>CCBASE!$I$4</f>
        <v>8.3986041999999994</v>
      </c>
      <c r="S21" s="633">
        <f>CCBASE!$I$8</f>
        <v>16.25526</v>
      </c>
      <c r="T21" s="632"/>
      <c r="U21" s="633"/>
      <c r="V21" s="633"/>
      <c r="W21" s="633">
        <f>CCBASE!$I$41*B21/1000</f>
        <v>73.814462499999991</v>
      </c>
      <c r="X21" s="633"/>
      <c r="Y21" s="633"/>
      <c r="Z21" s="633"/>
      <c r="AA21" s="633"/>
      <c r="AB21" s="633"/>
      <c r="AC21" s="633"/>
      <c r="AD21" s="633">
        <f>CCBASE!$I$33*2</f>
        <v>136.03372999999999</v>
      </c>
      <c r="AI21" s="635"/>
      <c r="AJ21" s="635"/>
      <c r="AK21" s="636"/>
      <c r="AL21" s="636"/>
      <c r="AM21" s="636"/>
      <c r="AN21" s="636"/>
      <c r="AO21" s="636"/>
      <c r="AP21" s="636"/>
      <c r="AQ21" s="636"/>
      <c r="AR21" s="636"/>
      <c r="AS21" s="636"/>
    </row>
    <row r="22" spans="1:45" x14ac:dyDescent="0.2">
      <c r="A22" s="631" t="s">
        <v>192</v>
      </c>
      <c r="B22" s="631">
        <v>1500</v>
      </c>
      <c r="C22" s="631">
        <v>1500</v>
      </c>
      <c r="D22" s="631" t="str">
        <f t="shared" ref="D22" si="10">$A22&amp;B22&amp;C22</f>
        <v>UVX15001500</v>
      </c>
      <c r="E22" s="1054">
        <f t="shared" si="1"/>
        <v>1220.0851419999999</v>
      </c>
      <c r="F22" s="632">
        <v>16</v>
      </c>
      <c r="G22" s="633">
        <f>F22*CCBASE!$B$51</f>
        <v>576</v>
      </c>
      <c r="H22" s="633">
        <f>CCBASE!$I$11*B22/1000</f>
        <v>241.48944329999998</v>
      </c>
      <c r="I22" s="633"/>
      <c r="J22" s="633"/>
      <c r="K22" s="633"/>
      <c r="L22" s="632"/>
      <c r="M22" s="633">
        <f>CCBASE!$I$15*B22/1000</f>
        <v>119.76882750000001</v>
      </c>
      <c r="N22" s="633"/>
      <c r="O22" s="633"/>
      <c r="P22" s="633">
        <f>CCBASE!$I$10</f>
        <v>30.661922000000001</v>
      </c>
      <c r="Q22" s="633">
        <f>CCBASE!$I$51</f>
        <v>2.9</v>
      </c>
      <c r="R22" s="633">
        <f>CCBASE!$I$4</f>
        <v>8.3986041999999994</v>
      </c>
      <c r="S22" s="633">
        <f>CCBASE!$I$8</f>
        <v>16.25526</v>
      </c>
      <c r="T22" s="632"/>
      <c r="U22" s="633"/>
      <c r="V22" s="633"/>
      <c r="W22" s="633">
        <f>CCBASE!$I$41*B22/1000</f>
        <v>88.577354999999997</v>
      </c>
      <c r="X22" s="633"/>
      <c r="Y22" s="633"/>
      <c r="Z22" s="633"/>
      <c r="AA22" s="633"/>
      <c r="AB22" s="633"/>
      <c r="AC22" s="633"/>
      <c r="AD22" s="633">
        <f>CCBASE!$I$33*2</f>
        <v>136.03372999999999</v>
      </c>
      <c r="AI22" s="635"/>
      <c r="AJ22" s="635"/>
      <c r="AK22" s="636"/>
      <c r="AL22" s="636"/>
      <c r="AM22" s="636"/>
      <c r="AN22" s="636"/>
      <c r="AO22" s="636"/>
      <c r="AP22" s="636"/>
      <c r="AQ22" s="636"/>
      <c r="AR22" s="636"/>
      <c r="AS22" s="636"/>
    </row>
    <row r="23" spans="1:45" x14ac:dyDescent="0.2">
      <c r="A23" s="631" t="s">
        <v>192</v>
      </c>
      <c r="B23" s="631">
        <v>1750</v>
      </c>
      <c r="C23" s="631">
        <v>1500</v>
      </c>
      <c r="D23" s="631" t="str">
        <f t="shared" si="3"/>
        <v>UVX17501500</v>
      </c>
      <c r="E23" s="1054">
        <f t="shared" si="1"/>
        <v>1295.0577463</v>
      </c>
      <c r="F23" s="632">
        <v>16</v>
      </c>
      <c r="G23" s="633">
        <f>F23*CCBASE!$B$51</f>
        <v>576</v>
      </c>
      <c r="H23" s="633">
        <f>CCBASE!$I$11*B23/1000</f>
        <v>281.73768385</v>
      </c>
      <c r="I23" s="633"/>
      <c r="J23" s="633"/>
      <c r="K23" s="633"/>
      <c r="L23" s="632"/>
      <c r="M23" s="633">
        <f>CCBASE!$I$15*B23/1000</f>
        <v>139.73029875</v>
      </c>
      <c r="N23" s="633"/>
      <c r="O23" s="633"/>
      <c r="P23" s="633">
        <f>CCBASE!$I$10</f>
        <v>30.661922000000001</v>
      </c>
      <c r="Q23" s="633">
        <f>CCBASE!$I$51</f>
        <v>2.9</v>
      </c>
      <c r="R23" s="633">
        <f>CCBASE!$I$4</f>
        <v>8.3986041999999994</v>
      </c>
      <c r="S23" s="633">
        <f>CCBASE!$I$8</f>
        <v>16.25526</v>
      </c>
      <c r="T23" s="632"/>
      <c r="U23" s="633"/>
      <c r="V23" s="633"/>
      <c r="W23" s="633">
        <f>CCBASE!$I$41*B23/1000</f>
        <v>103.3402475</v>
      </c>
      <c r="X23" s="633"/>
      <c r="Y23" s="633"/>
      <c r="Z23" s="633"/>
      <c r="AA23" s="633"/>
      <c r="AB23" s="633"/>
      <c r="AC23" s="633"/>
      <c r="AD23" s="633">
        <f>CCBASE!$I$33*2</f>
        <v>136.03372999999999</v>
      </c>
      <c r="AI23" s="635"/>
      <c r="AJ23" s="635"/>
      <c r="AK23" s="636"/>
      <c r="AL23" s="636"/>
      <c r="AM23" s="636"/>
      <c r="AN23" s="636"/>
      <c r="AO23" s="636"/>
      <c r="AP23" s="636"/>
      <c r="AQ23" s="636"/>
      <c r="AR23" s="636"/>
      <c r="AS23" s="636"/>
    </row>
    <row r="24" spans="1:45" x14ac:dyDescent="0.2">
      <c r="A24" s="631" t="s">
        <v>192</v>
      </c>
      <c r="B24" s="631">
        <v>2000</v>
      </c>
      <c r="C24" s="631">
        <v>1500</v>
      </c>
      <c r="D24" s="631" t="str">
        <f t="shared" si="3"/>
        <v>UVX20001500</v>
      </c>
      <c r="E24" s="1054">
        <f t="shared" si="1"/>
        <v>1379.0795508999995</v>
      </c>
      <c r="F24" s="632">
        <v>16</v>
      </c>
      <c r="G24" s="633">
        <f>F24*CCBASE!$B$51</f>
        <v>576</v>
      </c>
      <c r="H24" s="633">
        <f>CCBASE!$I$11*B24/1000</f>
        <v>321.98592439999999</v>
      </c>
      <c r="I24" s="633"/>
      <c r="J24" s="633"/>
      <c r="K24" s="633"/>
      <c r="L24" s="632"/>
      <c r="M24" s="633">
        <f>CCBASE!$I$15*B24/1000</f>
        <v>159.69177000000002</v>
      </c>
      <c r="N24" s="633"/>
      <c r="O24" s="633"/>
      <c r="P24" s="633">
        <f>CCBASE!$I$9</f>
        <v>39.7111223</v>
      </c>
      <c r="Q24" s="633">
        <f>CCBASE!$I$51</f>
        <v>2.9</v>
      </c>
      <c r="R24" s="633">
        <f>CCBASE!$I$4</f>
        <v>8.3986041999999994</v>
      </c>
      <c r="S24" s="633">
        <f>CCBASE!$I$8</f>
        <v>16.25526</v>
      </c>
      <c r="T24" s="632"/>
      <c r="U24" s="633"/>
      <c r="V24" s="633"/>
      <c r="W24" s="633">
        <f>CCBASE!$I$41*B24/1000</f>
        <v>118.10314</v>
      </c>
      <c r="X24" s="633"/>
      <c r="Y24" s="633"/>
      <c r="Z24" s="633"/>
      <c r="AA24" s="633"/>
      <c r="AB24" s="633"/>
      <c r="AC24" s="633"/>
      <c r="AD24" s="633">
        <f>CCBASE!$I$33*2</f>
        <v>136.03372999999999</v>
      </c>
      <c r="AI24" s="635"/>
      <c r="AJ24" s="635"/>
      <c r="AK24" s="636"/>
      <c r="AL24" s="636"/>
      <c r="AM24" s="636"/>
      <c r="AN24" s="636"/>
      <c r="AO24" s="636"/>
      <c r="AP24" s="636"/>
      <c r="AQ24" s="636"/>
      <c r="AR24" s="636"/>
      <c r="AS24" s="636"/>
    </row>
    <row r="25" spans="1:45" x14ac:dyDescent="0.2">
      <c r="A25" s="631" t="s">
        <v>192</v>
      </c>
      <c r="B25" s="631">
        <v>2250</v>
      </c>
      <c r="C25" s="631">
        <v>1500</v>
      </c>
      <c r="D25" s="631" t="str">
        <f t="shared" ref="D25" si="11">$A25&amp;B25&amp;C25</f>
        <v>UVX22501500</v>
      </c>
      <c r="E25" s="1054">
        <f t="shared" si="1"/>
        <v>1526.0521552</v>
      </c>
      <c r="F25" s="632">
        <v>18</v>
      </c>
      <c r="G25" s="633">
        <f>F25*CCBASE!$B$51</f>
        <v>648</v>
      </c>
      <c r="H25" s="633">
        <f>CCBASE!$I$11*B25/1000</f>
        <v>362.23416494999998</v>
      </c>
      <c r="I25" s="633"/>
      <c r="J25" s="633"/>
      <c r="K25" s="633"/>
      <c r="L25" s="632"/>
      <c r="M25" s="633">
        <f>CCBASE!$I$15*B25/1000</f>
        <v>179.65324125000001</v>
      </c>
      <c r="N25" s="633"/>
      <c r="O25" s="633"/>
      <c r="P25" s="633">
        <f>CCBASE!$I$9</f>
        <v>39.7111223</v>
      </c>
      <c r="Q25" s="633">
        <f>CCBASE!$I$51</f>
        <v>2.9</v>
      </c>
      <c r="R25" s="633">
        <f>CCBASE!$I$4</f>
        <v>8.3986041999999994</v>
      </c>
      <c r="S25" s="633">
        <f>CCBASE!$I$8</f>
        <v>16.25526</v>
      </c>
      <c r="T25" s="632"/>
      <c r="U25" s="633"/>
      <c r="V25" s="633"/>
      <c r="W25" s="633">
        <f>CCBASE!$I$41*B25/1000</f>
        <v>132.86603249999999</v>
      </c>
      <c r="X25" s="633"/>
      <c r="Y25" s="633"/>
      <c r="Z25" s="633"/>
      <c r="AA25" s="633"/>
      <c r="AB25" s="633"/>
      <c r="AC25" s="633"/>
      <c r="AD25" s="633">
        <f>CCBASE!$I$33*2</f>
        <v>136.03372999999999</v>
      </c>
      <c r="AI25" s="635"/>
      <c r="AJ25" s="635"/>
      <c r="AK25" s="636"/>
      <c r="AL25" s="636"/>
      <c r="AM25" s="636"/>
      <c r="AN25" s="636"/>
      <c r="AO25" s="636"/>
      <c r="AP25" s="636"/>
      <c r="AQ25" s="636"/>
      <c r="AR25" s="636"/>
      <c r="AS25" s="636"/>
    </row>
    <row r="26" spans="1:45" x14ac:dyDescent="0.2">
      <c r="A26" s="631" t="s">
        <v>192</v>
      </c>
      <c r="B26" s="631">
        <v>2500</v>
      </c>
      <c r="C26" s="631">
        <v>1500</v>
      </c>
      <c r="D26" s="631" t="str">
        <f t="shared" si="3"/>
        <v>UVX25001500</v>
      </c>
      <c r="E26" s="1054">
        <f t="shared" si="1"/>
        <v>1601.0247594999996</v>
      </c>
      <c r="F26" s="632">
        <v>18</v>
      </c>
      <c r="G26" s="633">
        <f>F26*CCBASE!$B$51</f>
        <v>648</v>
      </c>
      <c r="H26" s="633">
        <f>CCBASE!$I$11*B26/1000</f>
        <v>402.48240549999997</v>
      </c>
      <c r="I26" s="633"/>
      <c r="J26" s="633"/>
      <c r="K26" s="633"/>
      <c r="L26" s="632"/>
      <c r="M26" s="633">
        <f>CCBASE!$I$15*B26/1000</f>
        <v>199.61471250000002</v>
      </c>
      <c r="N26" s="633"/>
      <c r="O26" s="633"/>
      <c r="P26" s="633">
        <f>CCBASE!$I$9</f>
        <v>39.7111223</v>
      </c>
      <c r="Q26" s="633">
        <f>CCBASE!$I$51</f>
        <v>2.9</v>
      </c>
      <c r="R26" s="633">
        <f>CCBASE!$I$4</f>
        <v>8.3986041999999994</v>
      </c>
      <c r="S26" s="633">
        <f>CCBASE!$I$8</f>
        <v>16.25526</v>
      </c>
      <c r="T26" s="632"/>
      <c r="U26" s="633"/>
      <c r="V26" s="633"/>
      <c r="W26" s="633">
        <f>CCBASE!$I$41*B26/1000</f>
        <v>147.62892499999998</v>
      </c>
      <c r="X26" s="633"/>
      <c r="Y26" s="633"/>
      <c r="Z26" s="633"/>
      <c r="AA26" s="633"/>
      <c r="AB26" s="633"/>
      <c r="AC26" s="633"/>
      <c r="AD26" s="633">
        <f>CCBASE!$I$33*2</f>
        <v>136.03372999999999</v>
      </c>
      <c r="AI26" s="635"/>
      <c r="AJ26" s="635"/>
      <c r="AK26" s="636"/>
      <c r="AL26" s="636"/>
      <c r="AM26" s="636"/>
      <c r="AN26" s="636"/>
      <c r="AO26" s="636"/>
      <c r="AP26" s="636"/>
      <c r="AQ26" s="636"/>
      <c r="AR26" s="636"/>
      <c r="AS26" s="636"/>
    </row>
    <row r="27" spans="1:45" x14ac:dyDescent="0.2">
      <c r="A27" s="631" t="s">
        <v>192</v>
      </c>
      <c r="B27" s="631">
        <v>2750</v>
      </c>
      <c r="C27" s="631">
        <v>1500</v>
      </c>
      <c r="D27" s="631" t="str">
        <f t="shared" ref="D27" si="12">$A27&amp;B27&amp;C27</f>
        <v>UVX27501500</v>
      </c>
      <c r="E27" s="1054">
        <f t="shared" si="1"/>
        <v>1675.9973637999997</v>
      </c>
      <c r="F27" s="632">
        <v>18</v>
      </c>
      <c r="G27" s="633">
        <f>F27*CCBASE!$B$51</f>
        <v>648</v>
      </c>
      <c r="H27" s="633">
        <f>CCBASE!$I$11*B27/1000</f>
        <v>442.73064604999996</v>
      </c>
      <c r="I27" s="633"/>
      <c r="J27" s="633"/>
      <c r="K27" s="633"/>
      <c r="L27" s="632"/>
      <c r="M27" s="633">
        <f>CCBASE!$I$15*B27/1000</f>
        <v>219.57618375000001</v>
      </c>
      <c r="N27" s="633"/>
      <c r="O27" s="633"/>
      <c r="P27" s="633">
        <f>CCBASE!$I$9</f>
        <v>39.7111223</v>
      </c>
      <c r="Q27" s="633">
        <f>CCBASE!$I$51</f>
        <v>2.9</v>
      </c>
      <c r="R27" s="633">
        <f>CCBASE!$I$4</f>
        <v>8.3986041999999994</v>
      </c>
      <c r="S27" s="633">
        <f>CCBASE!$I$8</f>
        <v>16.25526</v>
      </c>
      <c r="T27" s="632"/>
      <c r="U27" s="633"/>
      <c r="V27" s="633"/>
      <c r="W27" s="633">
        <f>CCBASE!$I$41*B27/1000</f>
        <v>162.3918175</v>
      </c>
      <c r="X27" s="633"/>
      <c r="Y27" s="633"/>
      <c r="Z27" s="633"/>
      <c r="AA27" s="633"/>
      <c r="AB27" s="633"/>
      <c r="AC27" s="633"/>
      <c r="AD27" s="633">
        <f>CCBASE!$I$33*2</f>
        <v>136.03372999999999</v>
      </c>
      <c r="AI27" s="635"/>
      <c r="AJ27" s="635"/>
      <c r="AN27" s="636"/>
      <c r="AO27" s="636"/>
      <c r="AP27" s="636"/>
      <c r="AQ27" s="636"/>
      <c r="AR27" s="636"/>
      <c r="AS27" s="636"/>
    </row>
    <row r="28" spans="1:45" x14ac:dyDescent="0.2">
      <c r="A28" s="631" t="s">
        <v>192</v>
      </c>
      <c r="B28" s="631">
        <v>3000</v>
      </c>
      <c r="C28" s="631">
        <v>1500</v>
      </c>
      <c r="D28" s="631" t="str">
        <f t="shared" si="3"/>
        <v>UVX30001500</v>
      </c>
      <c r="E28" s="1054">
        <f t="shared" si="1"/>
        <v>1750.9699680999997</v>
      </c>
      <c r="F28" s="632">
        <v>18</v>
      </c>
      <c r="G28" s="633">
        <f>F28*CCBASE!$B$51</f>
        <v>648</v>
      </c>
      <c r="H28" s="633">
        <f>CCBASE!$I$11*B28/1000</f>
        <v>482.97888659999995</v>
      </c>
      <c r="I28" s="633"/>
      <c r="J28" s="633"/>
      <c r="K28" s="633"/>
      <c r="L28" s="632"/>
      <c r="M28" s="633">
        <f>CCBASE!$I$15*B28/1000</f>
        <v>239.53765500000003</v>
      </c>
      <c r="N28" s="633"/>
      <c r="O28" s="633"/>
      <c r="P28" s="633">
        <f>CCBASE!$I$9</f>
        <v>39.7111223</v>
      </c>
      <c r="Q28" s="633">
        <f>CCBASE!$I$51</f>
        <v>2.9</v>
      </c>
      <c r="R28" s="633">
        <f>CCBASE!$I$4</f>
        <v>8.3986041999999994</v>
      </c>
      <c r="S28" s="633">
        <f>CCBASE!$I$8</f>
        <v>16.25526</v>
      </c>
      <c r="T28" s="632"/>
      <c r="U28" s="633"/>
      <c r="V28" s="633"/>
      <c r="W28" s="633">
        <f>CCBASE!$I$41*B28/1000</f>
        <v>177.15470999999999</v>
      </c>
      <c r="X28" s="633"/>
      <c r="Y28" s="633"/>
      <c r="Z28" s="633"/>
      <c r="AA28" s="633"/>
      <c r="AB28" s="633"/>
      <c r="AC28" s="633"/>
      <c r="AD28" s="633">
        <f>CCBASE!$I$33*2</f>
        <v>136.03372999999999</v>
      </c>
      <c r="AI28" s="635"/>
      <c r="AJ28" s="635"/>
      <c r="AN28" s="636"/>
      <c r="AO28" s="636"/>
      <c r="AP28" s="636"/>
      <c r="AQ28" s="636"/>
      <c r="AR28" s="636"/>
      <c r="AS28" s="636"/>
    </row>
    <row r="29" spans="1:45" x14ac:dyDescent="0.2">
      <c r="A29" s="631" t="s">
        <v>192</v>
      </c>
      <c r="B29" s="631">
        <v>1000</v>
      </c>
      <c r="C29" s="631">
        <v>1750</v>
      </c>
      <c r="D29" s="631" t="str">
        <f t="shared" si="3"/>
        <v>UVX10001750</v>
      </c>
      <c r="E29" s="1054">
        <f t="shared" si="1"/>
        <v>1155.3088773999998</v>
      </c>
      <c r="F29" s="632">
        <v>16</v>
      </c>
      <c r="G29" s="633">
        <f>F29*CCBASE!$B$51</f>
        <v>576</v>
      </c>
      <c r="H29" s="633">
        <f>CCBASE!$I$11*B29/1000</f>
        <v>160.99296219999999</v>
      </c>
      <c r="I29" s="633"/>
      <c r="J29" s="633"/>
      <c r="K29" s="633"/>
      <c r="L29" s="638"/>
      <c r="M29" s="633">
        <f>CCBASE!$I$15*B29/1000</f>
        <v>79.84588500000001</v>
      </c>
      <c r="N29" s="633"/>
      <c r="O29" s="633"/>
      <c r="P29" s="633">
        <f>CCBASE!$I$10</f>
        <v>30.661922000000001</v>
      </c>
      <c r="Q29" s="633">
        <f>CCBASE!$I$51</f>
        <v>2.9</v>
      </c>
      <c r="R29" s="633">
        <f>CCBASE!$I$4</f>
        <v>8.3986041999999994</v>
      </c>
      <c r="S29" s="633">
        <f>CCBASE!$I$8</f>
        <v>16.25526</v>
      </c>
      <c r="T29" s="632"/>
      <c r="U29" s="632"/>
      <c r="V29" s="632"/>
      <c r="W29" s="633">
        <f>CCBASE!$I$42*B29/1000</f>
        <v>70.880589999999998</v>
      </c>
      <c r="X29" s="633"/>
      <c r="Y29" s="633"/>
      <c r="Z29" s="633"/>
      <c r="AA29" s="633"/>
      <c r="AB29" s="633"/>
      <c r="AC29" s="633"/>
      <c r="AD29" s="633">
        <f>CCBASE!$I$34*2</f>
        <v>209.37365399999999</v>
      </c>
      <c r="AI29" s="635"/>
      <c r="AJ29" s="635"/>
      <c r="AK29" s="636"/>
      <c r="AL29" s="636"/>
      <c r="AM29" s="636"/>
      <c r="AN29" s="636"/>
      <c r="AO29" s="636"/>
      <c r="AP29" s="636"/>
      <c r="AQ29" s="636"/>
      <c r="AR29" s="636"/>
      <c r="AS29" s="636"/>
    </row>
    <row r="30" spans="1:45" x14ac:dyDescent="0.2">
      <c r="A30" s="631" t="s">
        <v>192</v>
      </c>
      <c r="B30" s="631">
        <v>1250</v>
      </c>
      <c r="C30" s="631">
        <v>1750</v>
      </c>
      <c r="D30" s="631" t="str">
        <f t="shared" ref="D30" si="13">$A30&amp;B30&amp;C30</f>
        <v>UVX12501750</v>
      </c>
      <c r="E30" s="1054">
        <f t="shared" si="1"/>
        <v>1233.2387367000001</v>
      </c>
      <c r="F30" s="632">
        <v>16</v>
      </c>
      <c r="G30" s="633">
        <f>F30*CCBASE!$B$51</f>
        <v>576</v>
      </c>
      <c r="H30" s="633">
        <f>CCBASE!$I$11*B30/1000</f>
        <v>201.24120274999999</v>
      </c>
      <c r="I30" s="633"/>
      <c r="J30" s="633"/>
      <c r="K30" s="633"/>
      <c r="L30" s="638"/>
      <c r="M30" s="633">
        <f>CCBASE!$I$15*B30/1000</f>
        <v>99.807356250000012</v>
      </c>
      <c r="N30" s="633"/>
      <c r="O30" s="633"/>
      <c r="P30" s="633">
        <f>CCBASE!$I$10</f>
        <v>30.661922000000001</v>
      </c>
      <c r="Q30" s="633">
        <f>CCBASE!$I$51</f>
        <v>2.9</v>
      </c>
      <c r="R30" s="633">
        <f>CCBASE!$I$4</f>
        <v>8.3986041999999994</v>
      </c>
      <c r="S30" s="633">
        <f>CCBASE!$I$8</f>
        <v>16.25526</v>
      </c>
      <c r="T30" s="632"/>
      <c r="U30" s="632"/>
      <c r="V30" s="632"/>
      <c r="W30" s="633">
        <f>CCBASE!$I$42*B30/1000</f>
        <v>88.600737500000008</v>
      </c>
      <c r="X30" s="633"/>
      <c r="Y30" s="633"/>
      <c r="Z30" s="633"/>
      <c r="AA30" s="633"/>
      <c r="AB30" s="633"/>
      <c r="AC30" s="633"/>
      <c r="AD30" s="633">
        <f>CCBASE!$I$34*2</f>
        <v>209.37365399999999</v>
      </c>
      <c r="AI30" s="635"/>
      <c r="AJ30" s="635"/>
      <c r="AK30" s="636"/>
      <c r="AL30" s="636"/>
      <c r="AM30" s="636"/>
      <c r="AN30" s="636"/>
      <c r="AO30" s="636"/>
      <c r="AP30" s="636"/>
      <c r="AQ30" s="636"/>
      <c r="AR30" s="636"/>
      <c r="AS30" s="636"/>
    </row>
    <row r="31" spans="1:45" x14ac:dyDescent="0.2">
      <c r="A31" s="631" t="s">
        <v>192</v>
      </c>
      <c r="B31" s="631">
        <v>1500</v>
      </c>
      <c r="C31" s="631">
        <v>1750</v>
      </c>
      <c r="D31" s="631" t="str">
        <f t="shared" si="3"/>
        <v>UVX15001750</v>
      </c>
      <c r="E31" s="1054">
        <f t="shared" si="1"/>
        <v>1311.168596</v>
      </c>
      <c r="F31" s="632">
        <v>16</v>
      </c>
      <c r="G31" s="633">
        <f>F31*CCBASE!$B$51</f>
        <v>576</v>
      </c>
      <c r="H31" s="633">
        <f>CCBASE!$I$11*B31/1000</f>
        <v>241.48944329999998</v>
      </c>
      <c r="I31" s="633"/>
      <c r="J31" s="633"/>
      <c r="K31" s="633"/>
      <c r="L31" s="638"/>
      <c r="M31" s="633">
        <f>CCBASE!$I$15*B31/1000</f>
        <v>119.76882750000001</v>
      </c>
      <c r="N31" s="633"/>
      <c r="O31" s="633"/>
      <c r="P31" s="633">
        <f>CCBASE!$I$10</f>
        <v>30.661922000000001</v>
      </c>
      <c r="Q31" s="633">
        <f>CCBASE!$I$51</f>
        <v>2.9</v>
      </c>
      <c r="R31" s="633">
        <f>CCBASE!$I$4</f>
        <v>8.3986041999999994</v>
      </c>
      <c r="S31" s="633">
        <f>CCBASE!$I$8</f>
        <v>16.25526</v>
      </c>
      <c r="T31" s="632"/>
      <c r="U31" s="632"/>
      <c r="V31" s="632"/>
      <c r="W31" s="633">
        <f>CCBASE!$I$42*B31/1000</f>
        <v>106.32088499999999</v>
      </c>
      <c r="X31" s="633"/>
      <c r="Y31" s="633"/>
      <c r="Z31" s="633"/>
      <c r="AA31" s="633"/>
      <c r="AB31" s="633"/>
      <c r="AC31" s="633"/>
      <c r="AD31" s="633">
        <f>CCBASE!$I$34*2</f>
        <v>209.37365399999999</v>
      </c>
      <c r="AI31" s="635"/>
      <c r="AJ31" s="635"/>
      <c r="AK31" s="636"/>
      <c r="AL31" s="636"/>
      <c r="AM31" s="636"/>
      <c r="AN31" s="636"/>
      <c r="AO31" s="636"/>
      <c r="AP31" s="636"/>
      <c r="AQ31" s="636"/>
      <c r="AR31" s="636"/>
      <c r="AS31" s="636"/>
    </row>
    <row r="32" spans="1:45" x14ac:dyDescent="0.2">
      <c r="A32" s="631" t="s">
        <v>192</v>
      </c>
      <c r="B32" s="631">
        <v>1750</v>
      </c>
      <c r="C32" s="631">
        <v>1750</v>
      </c>
      <c r="D32" s="631" t="str">
        <f t="shared" ref="D32" si="14">$A32&amp;B32&amp;C32</f>
        <v>UVX17501750</v>
      </c>
      <c r="E32" s="1054">
        <f t="shared" si="1"/>
        <v>1398.1476555999998</v>
      </c>
      <c r="F32" s="632">
        <v>16</v>
      </c>
      <c r="G32" s="633">
        <f>F32*CCBASE!$B$51</f>
        <v>576</v>
      </c>
      <c r="H32" s="633">
        <f>CCBASE!$I$11*B32/1000</f>
        <v>281.73768385</v>
      </c>
      <c r="I32" s="633"/>
      <c r="J32" s="633"/>
      <c r="K32" s="633"/>
      <c r="L32" s="638"/>
      <c r="M32" s="633">
        <f>CCBASE!$I$15*B32/1000</f>
        <v>139.73029875</v>
      </c>
      <c r="N32" s="633"/>
      <c r="O32" s="633"/>
      <c r="P32" s="633">
        <f>CCBASE!$I$9</f>
        <v>39.7111223</v>
      </c>
      <c r="Q32" s="633">
        <f>CCBASE!$I$51</f>
        <v>2.9</v>
      </c>
      <c r="R32" s="633">
        <f>CCBASE!$I$4</f>
        <v>8.3986041999999994</v>
      </c>
      <c r="S32" s="633">
        <f>CCBASE!$I$8</f>
        <v>16.25526</v>
      </c>
      <c r="T32" s="632"/>
      <c r="U32" s="632"/>
      <c r="V32" s="632"/>
      <c r="W32" s="633">
        <f>CCBASE!$I$42*B32/1000</f>
        <v>124.0410325</v>
      </c>
      <c r="X32" s="633"/>
      <c r="Y32" s="633"/>
      <c r="Z32" s="633"/>
      <c r="AA32" s="633"/>
      <c r="AB32" s="633"/>
      <c r="AC32" s="633"/>
      <c r="AD32" s="633">
        <f>CCBASE!$I$34*2</f>
        <v>209.37365399999999</v>
      </c>
      <c r="AI32" s="635"/>
      <c r="AJ32" s="635"/>
    </row>
    <row r="33" spans="1:45" x14ac:dyDescent="0.2">
      <c r="A33" s="631" t="s">
        <v>192</v>
      </c>
      <c r="B33" s="631">
        <v>2000</v>
      </c>
      <c r="C33" s="631">
        <v>1750</v>
      </c>
      <c r="D33" s="631" t="str">
        <f t="shared" si="3"/>
        <v>UVX20001750</v>
      </c>
      <c r="E33" s="1054">
        <f t="shared" si="1"/>
        <v>1476.0775148999996</v>
      </c>
      <c r="F33" s="632">
        <v>16</v>
      </c>
      <c r="G33" s="633">
        <f>F33*CCBASE!$B$51</f>
        <v>576</v>
      </c>
      <c r="H33" s="633">
        <f>CCBASE!$I$11*B33/1000</f>
        <v>321.98592439999999</v>
      </c>
      <c r="I33" s="633"/>
      <c r="J33" s="633"/>
      <c r="K33" s="633"/>
      <c r="L33" s="638"/>
      <c r="M33" s="633">
        <f>CCBASE!$I$15*B33/1000</f>
        <v>159.69177000000002</v>
      </c>
      <c r="N33" s="633"/>
      <c r="O33" s="633"/>
      <c r="P33" s="633">
        <f>CCBASE!$I$9</f>
        <v>39.7111223</v>
      </c>
      <c r="Q33" s="633">
        <f>CCBASE!$I$51</f>
        <v>2.9</v>
      </c>
      <c r="R33" s="633">
        <f>CCBASE!$I$4</f>
        <v>8.3986041999999994</v>
      </c>
      <c r="S33" s="633">
        <f>CCBASE!$I$8</f>
        <v>16.25526</v>
      </c>
      <c r="T33" s="632"/>
      <c r="U33" s="632"/>
      <c r="V33" s="632"/>
      <c r="W33" s="633">
        <f>CCBASE!$I$42*B33/1000</f>
        <v>141.76118</v>
      </c>
      <c r="X33" s="633"/>
      <c r="Y33" s="633"/>
      <c r="Z33" s="633"/>
      <c r="AA33" s="633"/>
      <c r="AB33" s="633"/>
      <c r="AC33" s="633"/>
      <c r="AD33" s="633">
        <f>CCBASE!$I$34*2</f>
        <v>209.37365399999999</v>
      </c>
      <c r="AI33" s="635"/>
      <c r="AJ33" s="635"/>
    </row>
    <row r="34" spans="1:45" x14ac:dyDescent="0.2">
      <c r="A34" s="631" t="s">
        <v>192</v>
      </c>
      <c r="B34" s="631">
        <v>2250</v>
      </c>
      <c r="C34" s="631">
        <v>1750</v>
      </c>
      <c r="D34" s="631" t="str">
        <f t="shared" ref="D34" si="15">$A34&amp;B34&amp;C34</f>
        <v>UVX22501750</v>
      </c>
      <c r="E34" s="1054">
        <f t="shared" si="1"/>
        <v>1626.0073741999997</v>
      </c>
      <c r="F34" s="632">
        <v>18</v>
      </c>
      <c r="G34" s="633">
        <f>F34*CCBASE!$B$51</f>
        <v>648</v>
      </c>
      <c r="H34" s="633">
        <f>CCBASE!$I$11*B34/1000</f>
        <v>362.23416494999998</v>
      </c>
      <c r="I34" s="633"/>
      <c r="J34" s="633"/>
      <c r="K34" s="633"/>
      <c r="L34" s="638"/>
      <c r="M34" s="633">
        <f>CCBASE!$I$15*B34/1000</f>
        <v>179.65324125000001</v>
      </c>
      <c r="N34" s="633"/>
      <c r="O34" s="633"/>
      <c r="P34" s="633">
        <f>CCBASE!$I$9</f>
        <v>39.7111223</v>
      </c>
      <c r="Q34" s="633">
        <f>CCBASE!$I$51</f>
        <v>2.9</v>
      </c>
      <c r="R34" s="633">
        <f>CCBASE!$I$4</f>
        <v>8.3986041999999994</v>
      </c>
      <c r="S34" s="633">
        <f>CCBASE!$I$8</f>
        <v>16.25526</v>
      </c>
      <c r="T34" s="632"/>
      <c r="U34" s="632"/>
      <c r="V34" s="632"/>
      <c r="W34" s="633">
        <f>CCBASE!$I$42*B34/1000</f>
        <v>159.48132749999999</v>
      </c>
      <c r="X34" s="633"/>
      <c r="Y34" s="633"/>
      <c r="Z34" s="633"/>
      <c r="AA34" s="633"/>
      <c r="AB34" s="633"/>
      <c r="AC34" s="633"/>
      <c r="AD34" s="633">
        <f>CCBASE!$I$34*2</f>
        <v>209.37365399999999</v>
      </c>
      <c r="AI34" s="635"/>
      <c r="AJ34" s="635"/>
      <c r="AR34" s="636"/>
      <c r="AS34" s="636"/>
    </row>
    <row r="35" spans="1:45" x14ac:dyDescent="0.2">
      <c r="A35" s="631" t="s">
        <v>192</v>
      </c>
      <c r="B35" s="631">
        <v>2500</v>
      </c>
      <c r="C35" s="631">
        <v>1750</v>
      </c>
      <c r="D35" s="631" t="str">
        <f t="shared" si="3"/>
        <v>UVX25001750</v>
      </c>
      <c r="E35" s="1054">
        <f t="shared" si="1"/>
        <v>1703.9372334999998</v>
      </c>
      <c r="F35" s="632">
        <v>18</v>
      </c>
      <c r="G35" s="633">
        <f>F35*CCBASE!$B$51</f>
        <v>648</v>
      </c>
      <c r="H35" s="633">
        <f>CCBASE!$I$11*B35/1000</f>
        <v>402.48240549999997</v>
      </c>
      <c r="I35" s="633"/>
      <c r="J35" s="633"/>
      <c r="K35" s="633"/>
      <c r="L35" s="638"/>
      <c r="M35" s="633">
        <f>CCBASE!$I$15*B35/1000</f>
        <v>199.61471250000002</v>
      </c>
      <c r="N35" s="633"/>
      <c r="O35" s="633"/>
      <c r="P35" s="633">
        <f>CCBASE!$I$9</f>
        <v>39.7111223</v>
      </c>
      <c r="Q35" s="633">
        <f>CCBASE!$I$51</f>
        <v>2.9</v>
      </c>
      <c r="R35" s="633">
        <f>CCBASE!$I$4</f>
        <v>8.3986041999999994</v>
      </c>
      <c r="S35" s="633">
        <f>CCBASE!$I$8</f>
        <v>16.25526</v>
      </c>
      <c r="T35" s="632"/>
      <c r="U35" s="632"/>
      <c r="V35" s="632"/>
      <c r="W35" s="633">
        <f>CCBASE!$I$42*B35/1000</f>
        <v>177.20147500000002</v>
      </c>
      <c r="X35" s="633"/>
      <c r="Y35" s="633"/>
      <c r="Z35" s="633"/>
      <c r="AA35" s="633"/>
      <c r="AB35" s="633"/>
      <c r="AC35" s="633"/>
      <c r="AD35" s="633">
        <f>CCBASE!$I$34*2</f>
        <v>209.37365399999999</v>
      </c>
      <c r="AI35" s="635"/>
      <c r="AJ35" s="635"/>
      <c r="AR35" s="636"/>
      <c r="AS35" s="636"/>
    </row>
    <row r="36" spans="1:45" x14ac:dyDescent="0.2">
      <c r="A36" s="631" t="s">
        <v>192</v>
      </c>
      <c r="B36" s="631">
        <v>2750</v>
      </c>
      <c r="C36" s="631">
        <v>1750</v>
      </c>
      <c r="D36" s="631" t="str">
        <f t="shared" si="3"/>
        <v>UVX27501750</v>
      </c>
      <c r="E36" s="1054">
        <f t="shared" si="1"/>
        <v>1781.8670927999997</v>
      </c>
      <c r="F36" s="632">
        <v>18</v>
      </c>
      <c r="G36" s="633">
        <f>F36*CCBASE!$B$51</f>
        <v>648</v>
      </c>
      <c r="H36" s="633">
        <f>CCBASE!$I$11*B36/1000</f>
        <v>442.73064604999996</v>
      </c>
      <c r="I36" s="633"/>
      <c r="J36" s="633"/>
      <c r="K36" s="633"/>
      <c r="L36" s="638"/>
      <c r="M36" s="633">
        <f>CCBASE!$I$15*B36/1000</f>
        <v>219.57618375000001</v>
      </c>
      <c r="N36" s="633"/>
      <c r="O36" s="633"/>
      <c r="P36" s="633">
        <f>CCBASE!$I$9</f>
        <v>39.7111223</v>
      </c>
      <c r="Q36" s="633">
        <f>CCBASE!$I$51</f>
        <v>2.9</v>
      </c>
      <c r="R36" s="633">
        <f>CCBASE!$I$4</f>
        <v>8.3986041999999994</v>
      </c>
      <c r="S36" s="633">
        <f>CCBASE!$I$8</f>
        <v>16.25526</v>
      </c>
      <c r="T36" s="632"/>
      <c r="U36" s="632"/>
      <c r="V36" s="632"/>
      <c r="W36" s="633">
        <f>CCBASE!$I$42*B36/1000</f>
        <v>194.92162249999998</v>
      </c>
      <c r="X36" s="633"/>
      <c r="Y36" s="633"/>
      <c r="Z36" s="633"/>
      <c r="AA36" s="633"/>
      <c r="AB36" s="633"/>
      <c r="AC36" s="633"/>
      <c r="AD36" s="633">
        <f>CCBASE!$I$34*2</f>
        <v>209.37365399999999</v>
      </c>
      <c r="AI36" s="635"/>
      <c r="AJ36" s="635"/>
      <c r="AK36" s="636"/>
      <c r="AL36" s="636"/>
      <c r="AM36" s="636"/>
      <c r="AN36" s="636"/>
      <c r="AO36" s="636"/>
      <c r="AP36" s="636"/>
      <c r="AQ36" s="636"/>
      <c r="AR36" s="636"/>
      <c r="AS36" s="636"/>
    </row>
    <row r="37" spans="1:45" x14ac:dyDescent="0.2">
      <c r="A37" s="631" t="s">
        <v>192</v>
      </c>
      <c r="B37" s="631">
        <v>3000</v>
      </c>
      <c r="C37" s="631">
        <v>1750</v>
      </c>
      <c r="D37" s="631" t="str">
        <f t="shared" si="3"/>
        <v>UVX30001750</v>
      </c>
      <c r="E37" s="1054">
        <f t="shared" si="1"/>
        <v>1859.7969520999998</v>
      </c>
      <c r="F37" s="632">
        <v>18</v>
      </c>
      <c r="G37" s="633">
        <f>F37*CCBASE!$B$51</f>
        <v>648</v>
      </c>
      <c r="H37" s="633">
        <f>CCBASE!$I$11*B37/1000</f>
        <v>482.97888659999995</v>
      </c>
      <c r="I37" s="633"/>
      <c r="J37" s="633"/>
      <c r="K37" s="633"/>
      <c r="L37" s="638"/>
      <c r="M37" s="633">
        <f>CCBASE!$I$15*B37/1000</f>
        <v>239.53765500000003</v>
      </c>
      <c r="N37" s="633"/>
      <c r="O37" s="633"/>
      <c r="P37" s="633">
        <f>CCBASE!$I$9</f>
        <v>39.7111223</v>
      </c>
      <c r="Q37" s="633">
        <f>CCBASE!$I$51</f>
        <v>2.9</v>
      </c>
      <c r="R37" s="633">
        <f>CCBASE!$I$4</f>
        <v>8.3986041999999994</v>
      </c>
      <c r="S37" s="633">
        <f>CCBASE!$I$8</f>
        <v>16.25526</v>
      </c>
      <c r="T37" s="632"/>
      <c r="U37" s="632"/>
      <c r="V37" s="632"/>
      <c r="W37" s="633">
        <f>CCBASE!$I$42*B37/1000</f>
        <v>212.64176999999998</v>
      </c>
      <c r="X37" s="633"/>
      <c r="Y37" s="633"/>
      <c r="Z37" s="633"/>
      <c r="AA37" s="633"/>
      <c r="AB37" s="633"/>
      <c r="AC37" s="633"/>
      <c r="AD37" s="633">
        <f>CCBASE!$I$34*2</f>
        <v>209.37365399999999</v>
      </c>
      <c r="AI37" s="635"/>
      <c r="AJ37" s="635"/>
      <c r="AK37" s="636"/>
      <c r="AL37" s="636"/>
      <c r="AM37" s="636"/>
      <c r="AN37" s="636"/>
      <c r="AO37" s="636"/>
      <c r="AP37" s="636"/>
      <c r="AQ37" s="636"/>
      <c r="AR37" s="636"/>
      <c r="AS37" s="636"/>
    </row>
    <row r="38" spans="1:45" x14ac:dyDescent="0.2">
      <c r="A38" s="631" t="s">
        <v>192</v>
      </c>
      <c r="B38" s="631">
        <v>1000</v>
      </c>
      <c r="C38" s="631">
        <v>2000</v>
      </c>
      <c r="D38" s="631" t="str">
        <f t="shared" ref="D38:D46" si="16">$A38&amp;B38&amp;C38</f>
        <v>UVX10002000</v>
      </c>
      <c r="E38" s="1054">
        <f t="shared" si="1"/>
        <v>1247.5752333999999</v>
      </c>
      <c r="F38" s="632">
        <v>16</v>
      </c>
      <c r="G38" s="633">
        <f>F38*CCBASE!$B$51</f>
        <v>576</v>
      </c>
      <c r="H38" s="633">
        <f>CCBASE!$I$11*B38/1000</f>
        <v>160.99296219999999</v>
      </c>
      <c r="I38" s="633"/>
      <c r="J38" s="633"/>
      <c r="K38" s="633"/>
      <c r="L38" s="638"/>
      <c r="M38" s="633">
        <f>CCBASE!$I$15*B38/1000</f>
        <v>79.84588500000001</v>
      </c>
      <c r="N38" s="633"/>
      <c r="O38" s="633"/>
      <c r="P38" s="633">
        <f>CCBASE!$I$10</f>
        <v>30.661922000000001</v>
      </c>
      <c r="Q38" s="633">
        <f>CCBASE!$I$51</f>
        <v>2.9</v>
      </c>
      <c r="R38" s="633">
        <f>CCBASE!$I$4</f>
        <v>8.3986041999999994</v>
      </c>
      <c r="S38" s="633">
        <f>CCBASE!$I$8</f>
        <v>16.25526</v>
      </c>
      <c r="T38" s="632"/>
      <c r="U38" s="632"/>
      <c r="V38" s="632"/>
      <c r="W38" s="633">
        <f>CCBASE!$I$43*B38/1000</f>
        <v>88.624119999999991</v>
      </c>
      <c r="X38" s="633"/>
      <c r="Y38" s="633"/>
      <c r="Z38" s="633"/>
      <c r="AA38" s="633"/>
      <c r="AB38" s="633"/>
      <c r="AC38" s="633"/>
      <c r="AD38" s="633">
        <f>CCBASE!$I$35*2</f>
        <v>283.89648</v>
      </c>
      <c r="AI38" s="635"/>
      <c r="AJ38" s="635"/>
      <c r="AK38" s="636"/>
      <c r="AL38" s="636"/>
      <c r="AM38" s="636"/>
      <c r="AN38" s="636"/>
      <c r="AO38" s="636"/>
      <c r="AP38" s="636"/>
      <c r="AQ38" s="636"/>
      <c r="AR38" s="636"/>
      <c r="AS38" s="636"/>
    </row>
    <row r="39" spans="1:45" x14ac:dyDescent="0.2">
      <c r="A39" s="631" t="s">
        <v>192</v>
      </c>
      <c r="B39" s="631">
        <v>1250</v>
      </c>
      <c r="C39" s="631">
        <v>2000</v>
      </c>
      <c r="D39" s="631" t="str">
        <f t="shared" si="16"/>
        <v>UVX12502000</v>
      </c>
      <c r="E39" s="1054">
        <f t="shared" si="1"/>
        <v>1329.9409752000001</v>
      </c>
      <c r="F39" s="632">
        <v>16</v>
      </c>
      <c r="G39" s="633">
        <f>F39*CCBASE!$B$51</f>
        <v>576</v>
      </c>
      <c r="H39" s="633">
        <f>CCBASE!$I$11*B39/1000</f>
        <v>201.24120274999999</v>
      </c>
      <c r="I39" s="633"/>
      <c r="J39" s="633"/>
      <c r="K39" s="633"/>
      <c r="L39" s="638"/>
      <c r="M39" s="633">
        <f>CCBASE!$I$15*B39/1000</f>
        <v>99.807356250000012</v>
      </c>
      <c r="N39" s="633"/>
      <c r="O39" s="633"/>
      <c r="P39" s="633">
        <f>CCBASE!$I$10</f>
        <v>30.661922000000001</v>
      </c>
      <c r="Q39" s="633">
        <f>CCBASE!$I$51</f>
        <v>2.9</v>
      </c>
      <c r="R39" s="633">
        <f>CCBASE!$I$4</f>
        <v>8.3986041999999994</v>
      </c>
      <c r="S39" s="633">
        <f>CCBASE!$I$8</f>
        <v>16.25526</v>
      </c>
      <c r="T39" s="632"/>
      <c r="U39" s="632"/>
      <c r="V39" s="632"/>
      <c r="W39" s="633">
        <f>CCBASE!$I$43*B39/1000</f>
        <v>110.78014999999999</v>
      </c>
      <c r="X39" s="633"/>
      <c r="Y39" s="633"/>
      <c r="Z39" s="633"/>
      <c r="AA39" s="633"/>
      <c r="AB39" s="633"/>
      <c r="AC39" s="633"/>
      <c r="AD39" s="633">
        <f>CCBASE!$I$35*2</f>
        <v>283.89648</v>
      </c>
      <c r="AI39" s="635"/>
      <c r="AJ39" s="635"/>
      <c r="AK39" s="636"/>
      <c r="AL39" s="636"/>
      <c r="AM39" s="636"/>
      <c r="AN39" s="636"/>
      <c r="AO39" s="636"/>
      <c r="AP39" s="636"/>
      <c r="AQ39" s="636"/>
      <c r="AR39" s="636"/>
      <c r="AS39" s="636"/>
    </row>
    <row r="40" spans="1:45" x14ac:dyDescent="0.2">
      <c r="A40" s="631" t="s">
        <v>192</v>
      </c>
      <c r="B40" s="631">
        <v>1500</v>
      </c>
      <c r="C40" s="631">
        <v>2000</v>
      </c>
      <c r="D40" s="631" t="str">
        <f t="shared" ref="D40" si="17">$A40&amp;B40&amp;C40</f>
        <v>UVX15002000</v>
      </c>
      <c r="E40" s="1054">
        <f t="shared" si="1"/>
        <v>1412.3067169999999</v>
      </c>
      <c r="F40" s="632">
        <v>16</v>
      </c>
      <c r="G40" s="633">
        <f>F40*CCBASE!$B$51</f>
        <v>576</v>
      </c>
      <c r="H40" s="633">
        <f>CCBASE!$I$11*B40/1000</f>
        <v>241.48944329999998</v>
      </c>
      <c r="I40" s="633"/>
      <c r="J40" s="633"/>
      <c r="K40" s="633"/>
      <c r="L40" s="638"/>
      <c r="M40" s="633">
        <f>CCBASE!$I$15*B40/1000</f>
        <v>119.76882750000001</v>
      </c>
      <c r="N40" s="633"/>
      <c r="O40" s="633"/>
      <c r="P40" s="633">
        <f>CCBASE!$I$10</f>
        <v>30.661922000000001</v>
      </c>
      <c r="Q40" s="633">
        <f>CCBASE!$I$51</f>
        <v>2.9</v>
      </c>
      <c r="R40" s="633">
        <f>CCBASE!$I$4</f>
        <v>8.3986041999999994</v>
      </c>
      <c r="S40" s="633">
        <f>CCBASE!$I$8</f>
        <v>16.25526</v>
      </c>
      <c r="T40" s="632"/>
      <c r="U40" s="632"/>
      <c r="V40" s="632"/>
      <c r="W40" s="633">
        <f>CCBASE!$I$43*B40/1000</f>
        <v>132.93617999999998</v>
      </c>
      <c r="X40" s="633"/>
      <c r="Y40" s="633"/>
      <c r="Z40" s="633"/>
      <c r="AA40" s="633"/>
      <c r="AB40" s="633"/>
      <c r="AC40" s="633"/>
      <c r="AD40" s="633">
        <f>CCBASE!$I$35*2</f>
        <v>283.89648</v>
      </c>
      <c r="AI40" s="635"/>
      <c r="AJ40" s="635"/>
      <c r="AK40" s="636"/>
      <c r="AL40" s="636"/>
      <c r="AM40" s="636"/>
      <c r="AN40" s="636"/>
      <c r="AO40" s="636"/>
      <c r="AP40" s="636"/>
      <c r="AQ40" s="636"/>
      <c r="AR40" s="636"/>
      <c r="AS40" s="636"/>
    </row>
    <row r="41" spans="1:45" x14ac:dyDescent="0.2">
      <c r="A41" s="631" t="s">
        <v>192</v>
      </c>
      <c r="B41" s="631">
        <v>1750</v>
      </c>
      <c r="C41" s="631">
        <v>2000</v>
      </c>
      <c r="D41" s="631" t="str">
        <f t="shared" si="16"/>
        <v>UVX17502000</v>
      </c>
      <c r="E41" s="1054">
        <f t="shared" si="1"/>
        <v>1494.6724587999997</v>
      </c>
      <c r="F41" s="632">
        <v>16</v>
      </c>
      <c r="G41" s="633">
        <f>F41*CCBASE!$B$51</f>
        <v>576</v>
      </c>
      <c r="H41" s="633">
        <f>CCBASE!$I$11*B41/1000</f>
        <v>281.73768385</v>
      </c>
      <c r="I41" s="633"/>
      <c r="J41" s="633"/>
      <c r="K41" s="633"/>
      <c r="L41" s="638"/>
      <c r="M41" s="633">
        <f>CCBASE!$I$15*B41/1000</f>
        <v>139.73029875</v>
      </c>
      <c r="N41" s="633"/>
      <c r="O41" s="633"/>
      <c r="P41" s="633">
        <f>CCBASE!$I$10</f>
        <v>30.661922000000001</v>
      </c>
      <c r="Q41" s="633">
        <f>CCBASE!$I$51</f>
        <v>2.9</v>
      </c>
      <c r="R41" s="633">
        <f>CCBASE!$I$4</f>
        <v>8.3986041999999994</v>
      </c>
      <c r="S41" s="633">
        <f>CCBASE!$I$8</f>
        <v>16.25526</v>
      </c>
      <c r="T41" s="632"/>
      <c r="U41" s="632"/>
      <c r="V41" s="632"/>
      <c r="W41" s="633">
        <f>CCBASE!$I$43*B41/1000</f>
        <v>155.09220999999999</v>
      </c>
      <c r="X41" s="633"/>
      <c r="Y41" s="633"/>
      <c r="Z41" s="633"/>
      <c r="AA41" s="633"/>
      <c r="AB41" s="633"/>
      <c r="AC41" s="633"/>
      <c r="AD41" s="633">
        <f>CCBASE!$I$35*2</f>
        <v>283.89648</v>
      </c>
      <c r="AI41" s="635"/>
      <c r="AJ41" s="635"/>
      <c r="AK41" s="636"/>
      <c r="AL41" s="636"/>
      <c r="AM41" s="636"/>
      <c r="AN41" s="636"/>
      <c r="AO41" s="636"/>
      <c r="AP41" s="636"/>
      <c r="AQ41" s="636"/>
      <c r="AR41" s="636"/>
      <c r="AS41" s="636"/>
    </row>
    <row r="42" spans="1:45" x14ac:dyDescent="0.2">
      <c r="A42" s="631" t="s">
        <v>192</v>
      </c>
      <c r="B42" s="631">
        <v>2000</v>
      </c>
      <c r="C42" s="631">
        <v>2000</v>
      </c>
      <c r="D42" s="631" t="str">
        <f t="shared" si="16"/>
        <v>UVX20002000</v>
      </c>
      <c r="E42" s="1054">
        <f t="shared" si="1"/>
        <v>1586.0874008999995</v>
      </c>
      <c r="F42" s="632">
        <v>16</v>
      </c>
      <c r="G42" s="633">
        <f>F42*CCBASE!$B$51</f>
        <v>576</v>
      </c>
      <c r="H42" s="633">
        <f>CCBASE!$I$11*B42/1000</f>
        <v>321.98592439999999</v>
      </c>
      <c r="I42" s="633"/>
      <c r="J42" s="633"/>
      <c r="K42" s="633"/>
      <c r="L42" s="638"/>
      <c r="M42" s="633">
        <f>CCBASE!$I$15*B42/1000</f>
        <v>159.69177000000002</v>
      </c>
      <c r="N42" s="633"/>
      <c r="O42" s="633"/>
      <c r="P42" s="633">
        <f>CCBASE!$I$9</f>
        <v>39.7111223</v>
      </c>
      <c r="Q42" s="633">
        <f>CCBASE!$I$51</f>
        <v>2.9</v>
      </c>
      <c r="R42" s="633">
        <f>CCBASE!$I$4</f>
        <v>8.3986041999999994</v>
      </c>
      <c r="S42" s="633">
        <f>CCBASE!$I$8</f>
        <v>16.25526</v>
      </c>
      <c r="T42" s="632"/>
      <c r="U42" s="632"/>
      <c r="V42" s="632"/>
      <c r="W42" s="633">
        <f>CCBASE!$I$43*B42/1000</f>
        <v>177.24823999999998</v>
      </c>
      <c r="X42" s="633"/>
      <c r="Y42" s="633"/>
      <c r="Z42" s="633"/>
      <c r="AA42" s="633"/>
      <c r="AB42" s="633"/>
      <c r="AC42" s="633"/>
      <c r="AD42" s="633">
        <f>CCBASE!$I$35*2</f>
        <v>283.89648</v>
      </c>
      <c r="AI42" s="635"/>
      <c r="AJ42" s="635"/>
    </row>
    <row r="43" spans="1:45" x14ac:dyDescent="0.2">
      <c r="A43" s="631" t="s">
        <v>192</v>
      </c>
      <c r="B43" s="631">
        <v>2250</v>
      </c>
      <c r="C43" s="631">
        <v>2000</v>
      </c>
      <c r="D43" s="631" t="str">
        <f t="shared" ref="D43" si="18">$A43&amp;B43&amp;C43</f>
        <v>UVX22502000</v>
      </c>
      <c r="E43" s="1054">
        <f t="shared" si="1"/>
        <v>1740.4531426999997</v>
      </c>
      <c r="F43" s="632">
        <v>18</v>
      </c>
      <c r="G43" s="633">
        <f>F43*CCBASE!$B$51</f>
        <v>648</v>
      </c>
      <c r="H43" s="633">
        <f>CCBASE!$I$11*B43/1000</f>
        <v>362.23416494999998</v>
      </c>
      <c r="I43" s="633"/>
      <c r="J43" s="633"/>
      <c r="K43" s="633"/>
      <c r="L43" s="638"/>
      <c r="M43" s="633">
        <f>CCBASE!$I$15*B43/1000</f>
        <v>179.65324125000001</v>
      </c>
      <c r="N43" s="633"/>
      <c r="O43" s="633"/>
      <c r="P43" s="633">
        <f>CCBASE!$I$9</f>
        <v>39.7111223</v>
      </c>
      <c r="Q43" s="633">
        <f>CCBASE!$I$51</f>
        <v>2.9</v>
      </c>
      <c r="R43" s="633">
        <f>CCBASE!$I$4</f>
        <v>8.3986041999999994</v>
      </c>
      <c r="S43" s="633">
        <f>CCBASE!$I$8</f>
        <v>16.25526</v>
      </c>
      <c r="T43" s="632"/>
      <c r="U43" s="632"/>
      <c r="V43" s="632"/>
      <c r="W43" s="633">
        <f>CCBASE!$I$43*B43/1000</f>
        <v>199.40427</v>
      </c>
      <c r="X43" s="633"/>
      <c r="Y43" s="633"/>
      <c r="Z43" s="633"/>
      <c r="AA43" s="633"/>
      <c r="AB43" s="633"/>
      <c r="AC43" s="633"/>
      <c r="AD43" s="633">
        <f>CCBASE!$I$35*2</f>
        <v>283.89648</v>
      </c>
      <c r="AI43" s="635"/>
      <c r="AJ43" s="635"/>
      <c r="AR43" s="636"/>
      <c r="AS43" s="636"/>
    </row>
    <row r="44" spans="1:45" x14ac:dyDescent="0.2">
      <c r="A44" s="631" t="s">
        <v>192</v>
      </c>
      <c r="B44" s="631">
        <v>2500</v>
      </c>
      <c r="C44" s="631">
        <v>2000</v>
      </c>
      <c r="D44" s="631" t="str">
        <f t="shared" si="16"/>
        <v>UVX25002000</v>
      </c>
      <c r="E44" s="1054">
        <f t="shared" si="1"/>
        <v>1822.8188844999995</v>
      </c>
      <c r="F44" s="632">
        <v>18</v>
      </c>
      <c r="G44" s="633">
        <f>F44*CCBASE!$B$51</f>
        <v>648</v>
      </c>
      <c r="H44" s="633">
        <f>CCBASE!$I$11*B44/1000</f>
        <v>402.48240549999997</v>
      </c>
      <c r="I44" s="633"/>
      <c r="J44" s="633"/>
      <c r="K44" s="633"/>
      <c r="L44" s="638"/>
      <c r="M44" s="633">
        <f>CCBASE!$I$15*B44/1000</f>
        <v>199.61471250000002</v>
      </c>
      <c r="N44" s="633"/>
      <c r="O44" s="633"/>
      <c r="P44" s="633">
        <f>CCBASE!$I$9</f>
        <v>39.7111223</v>
      </c>
      <c r="Q44" s="633">
        <f>CCBASE!$I$51</f>
        <v>2.9</v>
      </c>
      <c r="R44" s="633">
        <f>CCBASE!$I$4</f>
        <v>8.3986041999999994</v>
      </c>
      <c r="S44" s="633">
        <f>CCBASE!$I$8</f>
        <v>16.25526</v>
      </c>
      <c r="T44" s="632"/>
      <c r="U44" s="632"/>
      <c r="V44" s="632"/>
      <c r="W44" s="633">
        <f>CCBASE!$I$43*B44/1000</f>
        <v>221.56029999999998</v>
      </c>
      <c r="X44" s="633"/>
      <c r="Y44" s="633"/>
      <c r="Z44" s="633"/>
      <c r="AA44" s="633"/>
      <c r="AB44" s="633"/>
      <c r="AC44" s="633"/>
      <c r="AD44" s="633">
        <f>CCBASE!$I$35*2</f>
        <v>283.89648</v>
      </c>
      <c r="AI44" s="635"/>
      <c r="AJ44" s="635"/>
      <c r="AR44" s="636"/>
      <c r="AS44" s="636"/>
    </row>
    <row r="45" spans="1:45" x14ac:dyDescent="0.2">
      <c r="A45" s="631" t="s">
        <v>192</v>
      </c>
      <c r="B45" s="631">
        <v>2750</v>
      </c>
      <c r="C45" s="631">
        <v>2000</v>
      </c>
      <c r="D45" s="631" t="str">
        <f t="shared" ref="D45" si="19">$A45&amp;B45&amp;C45</f>
        <v>UVX27502000</v>
      </c>
      <c r="E45" s="1054">
        <f t="shared" si="1"/>
        <v>1905.1846262999998</v>
      </c>
      <c r="F45" s="632">
        <v>18</v>
      </c>
      <c r="G45" s="633">
        <f>F45*CCBASE!$B$51</f>
        <v>648</v>
      </c>
      <c r="H45" s="633">
        <f>CCBASE!$I$11*B45/1000</f>
        <v>442.73064604999996</v>
      </c>
      <c r="I45" s="633"/>
      <c r="J45" s="633"/>
      <c r="K45" s="633"/>
      <c r="L45" s="638"/>
      <c r="M45" s="633">
        <f>CCBASE!$I$15*B45/1000</f>
        <v>219.57618375000001</v>
      </c>
      <c r="N45" s="633"/>
      <c r="O45" s="633"/>
      <c r="P45" s="633">
        <f>CCBASE!$I$9</f>
        <v>39.7111223</v>
      </c>
      <c r="Q45" s="633">
        <f>CCBASE!$I$51</f>
        <v>2.9</v>
      </c>
      <c r="R45" s="633">
        <f>CCBASE!$I$4</f>
        <v>8.3986041999999994</v>
      </c>
      <c r="S45" s="633">
        <f>CCBASE!$I$8</f>
        <v>16.25526</v>
      </c>
      <c r="T45" s="632"/>
      <c r="U45" s="632"/>
      <c r="V45" s="632"/>
      <c r="W45" s="633">
        <f>CCBASE!$I$43*B45/1000</f>
        <v>243.71633</v>
      </c>
      <c r="X45" s="633"/>
      <c r="Y45" s="633"/>
      <c r="Z45" s="633"/>
      <c r="AA45" s="633"/>
      <c r="AB45" s="633"/>
      <c r="AC45" s="633"/>
      <c r="AD45" s="633">
        <f>CCBASE!$I$35*2</f>
        <v>283.89648</v>
      </c>
      <c r="AI45" s="635"/>
      <c r="AJ45" s="635"/>
      <c r="AK45" s="636"/>
      <c r="AL45" s="636"/>
      <c r="AM45" s="636"/>
      <c r="AN45" s="636"/>
      <c r="AO45" s="636"/>
      <c r="AP45" s="636"/>
      <c r="AQ45" s="636"/>
      <c r="AR45" s="636"/>
      <c r="AS45" s="636"/>
    </row>
    <row r="46" spans="1:45" x14ac:dyDescent="0.2">
      <c r="A46" s="631" t="s">
        <v>192</v>
      </c>
      <c r="B46" s="631">
        <v>3000</v>
      </c>
      <c r="C46" s="631">
        <v>2000</v>
      </c>
      <c r="D46" s="631" t="str">
        <f t="shared" si="16"/>
        <v>UVX30002000</v>
      </c>
      <c r="E46" s="1054">
        <f t="shared" si="1"/>
        <v>1987.5503680999996</v>
      </c>
      <c r="F46" s="632">
        <v>18</v>
      </c>
      <c r="G46" s="633">
        <f>F46*CCBASE!$B$51</f>
        <v>648</v>
      </c>
      <c r="H46" s="633">
        <f>CCBASE!$I$11*B46/1000</f>
        <v>482.97888659999995</v>
      </c>
      <c r="I46" s="633"/>
      <c r="J46" s="633"/>
      <c r="K46" s="633"/>
      <c r="L46" s="638"/>
      <c r="M46" s="633">
        <f>CCBASE!$I$15*B46/1000</f>
        <v>239.53765500000003</v>
      </c>
      <c r="N46" s="633"/>
      <c r="O46" s="633"/>
      <c r="P46" s="633">
        <f>CCBASE!$I$9</f>
        <v>39.7111223</v>
      </c>
      <c r="Q46" s="633">
        <f>CCBASE!$I$51</f>
        <v>2.9</v>
      </c>
      <c r="R46" s="633">
        <f>CCBASE!$I$4</f>
        <v>8.3986041999999994</v>
      </c>
      <c r="S46" s="633">
        <f>CCBASE!$I$8</f>
        <v>16.25526</v>
      </c>
      <c r="T46" s="632"/>
      <c r="U46" s="632"/>
      <c r="V46" s="632"/>
      <c r="W46" s="633">
        <f>CCBASE!$I$43*B46/1000</f>
        <v>265.87235999999996</v>
      </c>
      <c r="X46" s="633"/>
      <c r="Y46" s="633"/>
      <c r="Z46" s="633"/>
      <c r="AA46" s="633"/>
      <c r="AB46" s="633"/>
      <c r="AC46" s="633"/>
      <c r="AD46" s="633">
        <f>CCBASE!$I$35*2</f>
        <v>283.89648</v>
      </c>
      <c r="AI46" s="635"/>
      <c r="AJ46" s="635"/>
      <c r="AK46" s="636"/>
      <c r="AL46" s="636"/>
      <c r="AM46" s="636"/>
      <c r="AN46" s="636"/>
      <c r="AO46" s="636"/>
      <c r="AP46" s="636"/>
      <c r="AQ46" s="636"/>
      <c r="AR46" s="636"/>
      <c r="AS46" s="636"/>
    </row>
    <row r="47" spans="1:45" x14ac:dyDescent="0.2">
      <c r="A47" s="631" t="s">
        <v>138</v>
      </c>
      <c r="B47" s="631">
        <v>1000</v>
      </c>
      <c r="C47" s="631">
        <v>1000</v>
      </c>
      <c r="D47" s="631" t="str">
        <f t="shared" ref="D47" si="20">A47&amp;B47&amp;C47</f>
        <v>UVI10001000</v>
      </c>
      <c r="E47" s="1054">
        <f t="shared" si="1"/>
        <v>1452.4405663999999</v>
      </c>
      <c r="F47" s="632">
        <v>19</v>
      </c>
      <c r="G47" s="633">
        <f>F47*CCBASE!$B$51</f>
        <v>684</v>
      </c>
      <c r="H47" s="633">
        <f>CCBASE!$I$11*B47/1000</f>
        <v>160.99296219999999</v>
      </c>
      <c r="I47" s="633"/>
      <c r="J47" s="633"/>
      <c r="K47" s="633"/>
      <c r="L47" s="633">
        <f>CCBASE!$I$14*B47/1000</f>
        <v>209.37365399999999</v>
      </c>
      <c r="M47" s="633"/>
      <c r="N47" s="633"/>
      <c r="O47" s="633">
        <f>CCBASE!$I$45*B47/1000</f>
        <v>9.9700000000000006</v>
      </c>
      <c r="P47" s="633">
        <f>CCBASE!$I$10</f>
        <v>30.661922000000001</v>
      </c>
      <c r="Q47" s="633">
        <f>CCBASE!$H$51</f>
        <v>5.16</v>
      </c>
      <c r="R47" s="633">
        <f>CCBASE!$I$4</f>
        <v>8.3986041999999994</v>
      </c>
      <c r="S47" s="633">
        <f>CCBASE!$I$8</f>
        <v>16.25526</v>
      </c>
      <c r="T47" s="633">
        <f>CCBASE!$I$44</f>
        <v>94.69</v>
      </c>
      <c r="U47" s="633"/>
      <c r="V47" s="633"/>
      <c r="W47" s="633">
        <f>CCBASE!$I$40*B47/1000</f>
        <v>41.308039999999998</v>
      </c>
      <c r="X47" s="633"/>
      <c r="Y47" s="633"/>
      <c r="Z47" s="633"/>
      <c r="AA47" s="633"/>
      <c r="AB47" s="633"/>
      <c r="AC47" s="633"/>
      <c r="AD47" s="633">
        <f>CCBASE!$I$36*2</f>
        <v>191.630124</v>
      </c>
      <c r="AI47" s="635"/>
      <c r="AJ47" s="635"/>
      <c r="AK47" s="636"/>
      <c r="AL47" s="636"/>
      <c r="AM47" s="636"/>
      <c r="AN47" s="636"/>
      <c r="AO47" s="636"/>
      <c r="AP47" s="636"/>
      <c r="AQ47" s="636"/>
      <c r="AR47" s="636"/>
      <c r="AS47" s="636"/>
    </row>
    <row r="48" spans="1:45" x14ac:dyDescent="0.2">
      <c r="A48" s="631" t="s">
        <v>138</v>
      </c>
      <c r="B48" s="631">
        <v>1250</v>
      </c>
      <c r="C48" s="631">
        <v>1000</v>
      </c>
      <c r="D48" s="631" t="str">
        <f>A48&amp;B48&amp;C48</f>
        <v>UVI12501000</v>
      </c>
      <c r="E48" s="1054">
        <f t="shared" si="1"/>
        <v>1557.8517304500001</v>
      </c>
      <c r="F48" s="632">
        <v>19</v>
      </c>
      <c r="G48" s="633">
        <f>F48*CCBASE!$B$51</f>
        <v>684</v>
      </c>
      <c r="H48" s="633">
        <f>CCBASE!$I$11*B48/1000</f>
        <v>201.24120274999999</v>
      </c>
      <c r="I48" s="633"/>
      <c r="J48" s="633"/>
      <c r="K48" s="633"/>
      <c r="L48" s="633">
        <f>CCBASE!$I$14*B48/1000</f>
        <v>261.71706749999998</v>
      </c>
      <c r="M48" s="633"/>
      <c r="N48" s="633"/>
      <c r="O48" s="633">
        <f>CCBASE!$I$45*B48/1000</f>
        <v>12.4625</v>
      </c>
      <c r="P48" s="633">
        <f>CCBASE!$I$10</f>
        <v>30.661922000000001</v>
      </c>
      <c r="Q48" s="633">
        <f>CCBASE!$H$51</f>
        <v>5.16</v>
      </c>
      <c r="R48" s="633">
        <f>CCBASE!$I$4</f>
        <v>8.3986041999999994</v>
      </c>
      <c r="S48" s="633">
        <f>CCBASE!$I$8</f>
        <v>16.25526</v>
      </c>
      <c r="T48" s="633">
        <f>CCBASE!$I$44</f>
        <v>94.69</v>
      </c>
      <c r="U48" s="633"/>
      <c r="V48" s="633"/>
      <c r="W48" s="633">
        <f>CCBASE!$I$40*B48/1000</f>
        <v>51.635049999999993</v>
      </c>
      <c r="X48" s="633"/>
      <c r="Y48" s="633"/>
      <c r="Z48" s="633"/>
      <c r="AA48" s="633"/>
      <c r="AB48" s="633"/>
      <c r="AC48" s="633"/>
      <c r="AD48" s="633">
        <f>CCBASE!$I$36*2</f>
        <v>191.630124</v>
      </c>
      <c r="AJ48" s="639"/>
    </row>
    <row r="49" spans="1:36" x14ac:dyDescent="0.2">
      <c r="A49" s="631" t="s">
        <v>138</v>
      </c>
      <c r="B49" s="631">
        <v>1500</v>
      </c>
      <c r="C49" s="631">
        <v>1000</v>
      </c>
      <c r="D49" s="631" t="str">
        <f>A49&amp;B49&amp;C49</f>
        <v>UVI15001000</v>
      </c>
      <c r="E49" s="1054">
        <f t="shared" si="1"/>
        <v>1663.2628944999999</v>
      </c>
      <c r="F49" s="632">
        <v>19</v>
      </c>
      <c r="G49" s="633">
        <f>F49*CCBASE!$B$51</f>
        <v>684</v>
      </c>
      <c r="H49" s="633">
        <f>CCBASE!$I$11*B49/1000</f>
        <v>241.48944329999998</v>
      </c>
      <c r="I49" s="633"/>
      <c r="J49" s="633"/>
      <c r="K49" s="633"/>
      <c r="L49" s="633">
        <f>CCBASE!$I$14*B49/1000</f>
        <v>314.06048099999998</v>
      </c>
      <c r="M49" s="633"/>
      <c r="N49" s="633"/>
      <c r="O49" s="633">
        <f>CCBASE!$I$45*B49/1000</f>
        <v>14.955000000000002</v>
      </c>
      <c r="P49" s="633">
        <f>CCBASE!$I$10</f>
        <v>30.661922000000001</v>
      </c>
      <c r="Q49" s="633">
        <f>CCBASE!$H$51</f>
        <v>5.16</v>
      </c>
      <c r="R49" s="633">
        <f>CCBASE!$I$4</f>
        <v>8.3986041999999994</v>
      </c>
      <c r="S49" s="633">
        <f>CCBASE!$I$8</f>
        <v>16.25526</v>
      </c>
      <c r="T49" s="633">
        <f>CCBASE!$I$44</f>
        <v>94.69</v>
      </c>
      <c r="U49" s="633"/>
      <c r="V49" s="633"/>
      <c r="W49" s="633">
        <f>CCBASE!$I$40*B49/1000</f>
        <v>61.962060000000001</v>
      </c>
      <c r="X49" s="633"/>
      <c r="Y49" s="633"/>
      <c r="Z49" s="633"/>
      <c r="AA49" s="633"/>
      <c r="AB49" s="633"/>
      <c r="AC49" s="633"/>
      <c r="AD49" s="633">
        <f>CCBASE!$I$36*2</f>
        <v>191.630124</v>
      </c>
      <c r="AJ49" s="639"/>
    </row>
    <row r="50" spans="1:36" x14ac:dyDescent="0.2">
      <c r="A50" s="631" t="s">
        <v>138</v>
      </c>
      <c r="B50" s="631">
        <v>1750</v>
      </c>
      <c r="C50" s="631">
        <v>1000</v>
      </c>
      <c r="D50" s="631" t="str">
        <f t="shared" ref="D50" si="21">A50&amp;B50&amp;C50</f>
        <v>UVI17501000</v>
      </c>
      <c r="E50" s="1054">
        <f t="shared" si="1"/>
        <v>1777.7232588499999</v>
      </c>
      <c r="F50" s="632">
        <v>19</v>
      </c>
      <c r="G50" s="633">
        <f>F50*CCBASE!$B$51</f>
        <v>684</v>
      </c>
      <c r="H50" s="633">
        <f>CCBASE!$I$11*B50/1000</f>
        <v>281.73768385</v>
      </c>
      <c r="I50" s="633"/>
      <c r="J50" s="633"/>
      <c r="K50" s="633"/>
      <c r="L50" s="633">
        <f>CCBASE!$I$14*B50/1000</f>
        <v>366.40389449999998</v>
      </c>
      <c r="M50" s="633"/>
      <c r="N50" s="633"/>
      <c r="O50" s="633">
        <f>CCBASE!$I$45*B50/1000</f>
        <v>17.447500000000002</v>
      </c>
      <c r="P50" s="633">
        <f>CCBASE!$I$9</f>
        <v>39.7111223</v>
      </c>
      <c r="Q50" s="633">
        <f>CCBASE!$H$51</f>
        <v>5.16</v>
      </c>
      <c r="R50" s="633">
        <f>CCBASE!$I$4</f>
        <v>8.3986041999999994</v>
      </c>
      <c r="S50" s="633">
        <f>CCBASE!$I$8</f>
        <v>16.25526</v>
      </c>
      <c r="T50" s="633">
        <f>CCBASE!$I$44</f>
        <v>94.69</v>
      </c>
      <c r="U50" s="633"/>
      <c r="V50" s="633"/>
      <c r="W50" s="633">
        <f>CCBASE!$I$40*B50/1000</f>
        <v>72.289069999999995</v>
      </c>
      <c r="X50" s="633"/>
      <c r="Y50" s="633"/>
      <c r="Z50" s="633"/>
      <c r="AA50" s="633"/>
      <c r="AB50" s="633"/>
      <c r="AC50" s="633"/>
      <c r="AD50" s="633">
        <f>CCBASE!$I$36*2</f>
        <v>191.630124</v>
      </c>
    </row>
    <row r="51" spans="1:36" x14ac:dyDescent="0.2">
      <c r="A51" s="631" t="s">
        <v>138</v>
      </c>
      <c r="B51" s="631">
        <v>2000</v>
      </c>
      <c r="C51" s="631">
        <v>1000</v>
      </c>
      <c r="D51" s="631" t="str">
        <f t="shared" ref="D51:D82" si="22">A51&amp;B51&amp;C51</f>
        <v>UVI20001000</v>
      </c>
      <c r="E51" s="1054">
        <f t="shared" si="1"/>
        <v>1883.1344228999999</v>
      </c>
      <c r="F51" s="632">
        <v>19</v>
      </c>
      <c r="G51" s="633">
        <f>F51*CCBASE!$B$51</f>
        <v>684</v>
      </c>
      <c r="H51" s="633">
        <f>CCBASE!$I$11*B51/1000</f>
        <v>321.98592439999999</v>
      </c>
      <c r="I51" s="633"/>
      <c r="J51" s="633"/>
      <c r="K51" s="633"/>
      <c r="L51" s="633">
        <f>CCBASE!$I$14*B51/1000</f>
        <v>418.74730799999998</v>
      </c>
      <c r="M51" s="633"/>
      <c r="N51" s="633"/>
      <c r="O51" s="633">
        <f>CCBASE!$I$45*B51/1000</f>
        <v>19.940000000000001</v>
      </c>
      <c r="P51" s="633">
        <f>CCBASE!$I$9</f>
        <v>39.7111223</v>
      </c>
      <c r="Q51" s="633">
        <f>CCBASE!$H$51</f>
        <v>5.16</v>
      </c>
      <c r="R51" s="633">
        <f>CCBASE!$I$4</f>
        <v>8.3986041999999994</v>
      </c>
      <c r="S51" s="633">
        <f>CCBASE!$I$8</f>
        <v>16.25526</v>
      </c>
      <c r="T51" s="633">
        <f>CCBASE!$I$44</f>
        <v>94.69</v>
      </c>
      <c r="U51" s="633"/>
      <c r="V51" s="633"/>
      <c r="W51" s="633">
        <f>CCBASE!$I$40*B51/1000</f>
        <v>82.616079999999997</v>
      </c>
      <c r="X51" s="633"/>
      <c r="Y51" s="633"/>
      <c r="Z51" s="633"/>
      <c r="AA51" s="633"/>
      <c r="AB51" s="633"/>
      <c r="AC51" s="633"/>
      <c r="AD51" s="633">
        <f>CCBASE!$I$36*2</f>
        <v>191.630124</v>
      </c>
    </row>
    <row r="52" spans="1:36" x14ac:dyDescent="0.2">
      <c r="A52" s="631" t="s">
        <v>138</v>
      </c>
      <c r="B52" s="631">
        <v>2250</v>
      </c>
      <c r="C52" s="631">
        <v>1000</v>
      </c>
      <c r="D52" s="631" t="str">
        <f t="shared" ref="D52" si="23">A52&amp;B52&amp;C52</f>
        <v>UVI22501000</v>
      </c>
      <c r="E52" s="1054">
        <f t="shared" si="1"/>
        <v>2168.5455869499997</v>
      </c>
      <c r="F52" s="632">
        <v>24</v>
      </c>
      <c r="G52" s="633">
        <f>F52*CCBASE!$B$51</f>
        <v>864</v>
      </c>
      <c r="H52" s="633">
        <f>CCBASE!$I$11*B52/1000</f>
        <v>362.23416494999998</v>
      </c>
      <c r="I52" s="633"/>
      <c r="J52" s="633"/>
      <c r="K52" s="633"/>
      <c r="L52" s="633">
        <f>CCBASE!$I$14*B52/1000</f>
        <v>471.09072149999997</v>
      </c>
      <c r="M52" s="633"/>
      <c r="N52" s="633"/>
      <c r="O52" s="633">
        <f>CCBASE!$I$45*B52/1000</f>
        <v>22.432500000000001</v>
      </c>
      <c r="P52" s="633">
        <f>CCBASE!$I$9</f>
        <v>39.7111223</v>
      </c>
      <c r="Q52" s="633">
        <f>CCBASE!$H$51</f>
        <v>5.16</v>
      </c>
      <c r="R52" s="633">
        <f>CCBASE!$I$4</f>
        <v>8.3986041999999994</v>
      </c>
      <c r="S52" s="633">
        <f>CCBASE!$I$8</f>
        <v>16.25526</v>
      </c>
      <c r="T52" s="633">
        <f>CCBASE!$I$44</f>
        <v>94.69</v>
      </c>
      <c r="U52" s="633"/>
      <c r="V52" s="633"/>
      <c r="W52" s="633">
        <f>CCBASE!$I$40*B52/1000</f>
        <v>92.943089999999998</v>
      </c>
      <c r="X52" s="633"/>
      <c r="Y52" s="633"/>
      <c r="Z52" s="633"/>
      <c r="AA52" s="633"/>
      <c r="AB52" s="633"/>
      <c r="AC52" s="633"/>
      <c r="AD52" s="633">
        <f>CCBASE!$I$36*2</f>
        <v>191.630124</v>
      </c>
    </row>
    <row r="53" spans="1:36" x14ac:dyDescent="0.2">
      <c r="A53" s="631" t="s">
        <v>138</v>
      </c>
      <c r="B53" s="631">
        <v>2500</v>
      </c>
      <c r="C53" s="631">
        <v>1000</v>
      </c>
      <c r="D53" s="631" t="str">
        <f t="shared" si="22"/>
        <v>UVI25001000</v>
      </c>
      <c r="E53" s="1054">
        <f t="shared" si="1"/>
        <v>2273.9567509999997</v>
      </c>
      <c r="F53" s="632">
        <v>24</v>
      </c>
      <c r="G53" s="633">
        <f>F53*CCBASE!$B$51</f>
        <v>864</v>
      </c>
      <c r="H53" s="633">
        <f>CCBASE!$I$11*B53/1000</f>
        <v>402.48240549999997</v>
      </c>
      <c r="I53" s="633"/>
      <c r="J53" s="633"/>
      <c r="K53" s="633"/>
      <c r="L53" s="633">
        <f>CCBASE!$I$14*B53/1000</f>
        <v>523.43413499999997</v>
      </c>
      <c r="M53" s="633"/>
      <c r="N53" s="633"/>
      <c r="O53" s="633">
        <f>CCBASE!$I$45*B53/1000</f>
        <v>24.925000000000001</v>
      </c>
      <c r="P53" s="633">
        <f>CCBASE!$I$9</f>
        <v>39.7111223</v>
      </c>
      <c r="Q53" s="633">
        <f>CCBASE!$H$51</f>
        <v>5.16</v>
      </c>
      <c r="R53" s="633">
        <f>CCBASE!$I$4</f>
        <v>8.3986041999999994</v>
      </c>
      <c r="S53" s="633">
        <f>CCBASE!$I$8</f>
        <v>16.25526</v>
      </c>
      <c r="T53" s="633">
        <f>CCBASE!$I$44</f>
        <v>94.69</v>
      </c>
      <c r="U53" s="633"/>
      <c r="V53" s="633"/>
      <c r="W53" s="633">
        <f>CCBASE!$I$40*B53/1000</f>
        <v>103.27009999999999</v>
      </c>
      <c r="X53" s="633"/>
      <c r="Y53" s="633"/>
      <c r="Z53" s="633"/>
      <c r="AA53" s="633"/>
      <c r="AB53" s="633"/>
      <c r="AC53" s="633"/>
      <c r="AD53" s="633">
        <f>CCBASE!$I$36*2</f>
        <v>191.630124</v>
      </c>
    </row>
    <row r="54" spans="1:36" x14ac:dyDescent="0.2">
      <c r="A54" s="631" t="s">
        <v>138</v>
      </c>
      <c r="B54" s="631">
        <v>2750</v>
      </c>
      <c r="C54" s="631">
        <v>1000</v>
      </c>
      <c r="D54" s="631" t="str">
        <f t="shared" ref="D54" si="24">A54&amp;B54&amp;C54</f>
        <v>UVI27501000</v>
      </c>
      <c r="E54" s="1054">
        <f t="shared" si="1"/>
        <v>2379.3679150499997</v>
      </c>
      <c r="F54" s="632">
        <v>24</v>
      </c>
      <c r="G54" s="633">
        <f>F54*CCBASE!$B$51</f>
        <v>864</v>
      </c>
      <c r="H54" s="633">
        <f>CCBASE!$I$11*B54/1000</f>
        <v>442.73064604999996</v>
      </c>
      <c r="I54" s="633"/>
      <c r="J54" s="633"/>
      <c r="K54" s="633"/>
      <c r="L54" s="633">
        <f>CCBASE!$I$14*B54/1000</f>
        <v>575.77754849999997</v>
      </c>
      <c r="M54" s="633"/>
      <c r="N54" s="633"/>
      <c r="O54" s="633">
        <f>CCBASE!$I$45*B54/1000</f>
        <v>27.4175</v>
      </c>
      <c r="P54" s="633">
        <f>CCBASE!$I$9</f>
        <v>39.7111223</v>
      </c>
      <c r="Q54" s="633">
        <f>CCBASE!$H$51</f>
        <v>5.16</v>
      </c>
      <c r="R54" s="633">
        <f>CCBASE!$I$4</f>
        <v>8.3986041999999994</v>
      </c>
      <c r="S54" s="633">
        <f>CCBASE!$I$8</f>
        <v>16.25526</v>
      </c>
      <c r="T54" s="633">
        <f>CCBASE!$I$44</f>
        <v>94.69</v>
      </c>
      <c r="U54" s="633"/>
      <c r="V54" s="633"/>
      <c r="W54" s="633">
        <f>CCBASE!$I$40*B54/1000</f>
        <v>113.59711</v>
      </c>
      <c r="X54" s="633"/>
      <c r="Y54" s="633"/>
      <c r="Z54" s="633"/>
      <c r="AA54" s="633"/>
      <c r="AB54" s="633"/>
      <c r="AC54" s="633"/>
      <c r="AD54" s="633">
        <f>CCBASE!$I$36*2</f>
        <v>191.630124</v>
      </c>
    </row>
    <row r="55" spans="1:36" x14ac:dyDescent="0.2">
      <c r="A55" s="631" t="s">
        <v>138</v>
      </c>
      <c r="B55" s="631">
        <v>3000</v>
      </c>
      <c r="C55" s="631">
        <v>1000</v>
      </c>
      <c r="D55" s="631" t="str">
        <f t="shared" si="22"/>
        <v>UVI30001000</v>
      </c>
      <c r="E55" s="1054">
        <f t="shared" si="1"/>
        <v>2484.7790790999998</v>
      </c>
      <c r="F55" s="632">
        <v>24</v>
      </c>
      <c r="G55" s="633">
        <f>F55*CCBASE!$B$51</f>
        <v>864</v>
      </c>
      <c r="H55" s="633">
        <f>CCBASE!$I$11*B55/1000</f>
        <v>482.97888659999995</v>
      </c>
      <c r="I55" s="633"/>
      <c r="J55" s="633"/>
      <c r="K55" s="633"/>
      <c r="L55" s="633">
        <f>CCBASE!$I$14*B55/1000</f>
        <v>628.12096199999996</v>
      </c>
      <c r="M55" s="633"/>
      <c r="N55" s="633"/>
      <c r="O55" s="633">
        <f>CCBASE!$I$45*B55/1000</f>
        <v>29.910000000000004</v>
      </c>
      <c r="P55" s="633">
        <f>CCBASE!$I$9</f>
        <v>39.7111223</v>
      </c>
      <c r="Q55" s="633">
        <f>CCBASE!$H$51</f>
        <v>5.16</v>
      </c>
      <c r="R55" s="633">
        <f>CCBASE!$I$4</f>
        <v>8.3986041999999994</v>
      </c>
      <c r="S55" s="633">
        <f>CCBASE!$I$8</f>
        <v>16.25526</v>
      </c>
      <c r="T55" s="633">
        <f>CCBASE!$I$44</f>
        <v>94.69</v>
      </c>
      <c r="U55" s="633"/>
      <c r="V55" s="633"/>
      <c r="W55" s="633">
        <f>CCBASE!$I$40*B55/1000</f>
        <v>123.92412</v>
      </c>
      <c r="X55" s="633"/>
      <c r="Y55" s="633"/>
      <c r="Z55" s="633"/>
      <c r="AA55" s="633"/>
      <c r="AB55" s="633"/>
      <c r="AC55" s="633"/>
      <c r="AD55" s="633">
        <f>CCBASE!$I$36*2</f>
        <v>191.630124</v>
      </c>
    </row>
    <row r="56" spans="1:36" x14ac:dyDescent="0.2">
      <c r="A56" s="631" t="s">
        <v>138</v>
      </c>
      <c r="B56" s="631">
        <v>1000</v>
      </c>
      <c r="C56" s="631">
        <v>1250</v>
      </c>
      <c r="D56" s="631" t="str">
        <f t="shared" si="22"/>
        <v>UVI10001250</v>
      </c>
      <c r="E56" s="1054">
        <f t="shared" si="1"/>
        <v>1452.4405663999999</v>
      </c>
      <c r="F56" s="632">
        <v>19</v>
      </c>
      <c r="G56" s="633">
        <f>F56*CCBASE!$B$51</f>
        <v>684</v>
      </c>
      <c r="H56" s="633">
        <f>CCBASE!$I$11*B56/1000</f>
        <v>160.99296219999999</v>
      </c>
      <c r="I56" s="633"/>
      <c r="J56" s="633"/>
      <c r="K56" s="633"/>
      <c r="L56" s="633">
        <f>CCBASE!$I$14*B56/1000</f>
        <v>209.37365399999999</v>
      </c>
      <c r="M56" s="633"/>
      <c r="N56" s="633"/>
      <c r="O56" s="633">
        <f>CCBASE!$I$45*B56/1000</f>
        <v>9.9700000000000006</v>
      </c>
      <c r="P56" s="633">
        <f>CCBASE!$I$10</f>
        <v>30.661922000000001</v>
      </c>
      <c r="Q56" s="633">
        <f>CCBASE!$H$51</f>
        <v>5.16</v>
      </c>
      <c r="R56" s="633">
        <f>CCBASE!$I$4</f>
        <v>8.3986041999999994</v>
      </c>
      <c r="S56" s="633">
        <f>CCBASE!$I$8</f>
        <v>16.25526</v>
      </c>
      <c r="T56" s="633">
        <f>CCBASE!$I$44</f>
        <v>94.69</v>
      </c>
      <c r="U56" s="633"/>
      <c r="V56" s="633"/>
      <c r="W56" s="633">
        <f>CCBASE!$I$40*B56/1000</f>
        <v>41.308039999999998</v>
      </c>
      <c r="X56" s="633"/>
      <c r="Y56" s="633"/>
      <c r="Z56" s="633"/>
      <c r="AA56" s="633"/>
      <c r="AB56" s="633"/>
      <c r="AC56" s="633"/>
      <c r="AD56" s="633">
        <f>CCBASE!$I$36*2</f>
        <v>191.630124</v>
      </c>
    </row>
    <row r="57" spans="1:36" x14ac:dyDescent="0.2">
      <c r="A57" s="631" t="s">
        <v>138</v>
      </c>
      <c r="B57" s="631">
        <v>1250</v>
      </c>
      <c r="C57" s="631">
        <v>1250</v>
      </c>
      <c r="D57" s="631" t="str">
        <f t="shared" ref="D57" si="25">A57&amp;B57&amp;C57</f>
        <v>UVI12501250</v>
      </c>
      <c r="E57" s="1054">
        <f t="shared" si="1"/>
        <v>1557.8517304500001</v>
      </c>
      <c r="F57" s="632">
        <v>19</v>
      </c>
      <c r="G57" s="633">
        <f>F57*CCBASE!$B$51</f>
        <v>684</v>
      </c>
      <c r="H57" s="633">
        <f>CCBASE!$I$11*B57/1000</f>
        <v>201.24120274999999</v>
      </c>
      <c r="I57" s="633"/>
      <c r="J57" s="633"/>
      <c r="K57" s="633"/>
      <c r="L57" s="633">
        <f>CCBASE!$I$14*B57/1000</f>
        <v>261.71706749999998</v>
      </c>
      <c r="M57" s="633"/>
      <c r="N57" s="633"/>
      <c r="O57" s="633">
        <f>CCBASE!$I$45*B57/1000</f>
        <v>12.4625</v>
      </c>
      <c r="P57" s="633">
        <f>CCBASE!$I$10</f>
        <v>30.661922000000001</v>
      </c>
      <c r="Q57" s="633">
        <f>CCBASE!$H$51</f>
        <v>5.16</v>
      </c>
      <c r="R57" s="633">
        <f>CCBASE!$I$4</f>
        <v>8.3986041999999994</v>
      </c>
      <c r="S57" s="633">
        <f>CCBASE!$I$8</f>
        <v>16.25526</v>
      </c>
      <c r="T57" s="633">
        <f>CCBASE!$I$44</f>
        <v>94.69</v>
      </c>
      <c r="U57" s="633"/>
      <c r="V57" s="633"/>
      <c r="W57" s="633">
        <f>CCBASE!$I$40*B57/1000</f>
        <v>51.635049999999993</v>
      </c>
      <c r="X57" s="633"/>
      <c r="Y57" s="633"/>
      <c r="Z57" s="633"/>
      <c r="AA57" s="633"/>
      <c r="AB57" s="633"/>
      <c r="AC57" s="633"/>
      <c r="AD57" s="633">
        <f>CCBASE!$I$36*2</f>
        <v>191.630124</v>
      </c>
    </row>
    <row r="58" spans="1:36" x14ac:dyDescent="0.2">
      <c r="A58" s="631" t="s">
        <v>138</v>
      </c>
      <c r="B58" s="631">
        <v>1500</v>
      </c>
      <c r="C58" s="631">
        <v>1250</v>
      </c>
      <c r="D58" s="631" t="str">
        <f t="shared" si="22"/>
        <v>UVI15001250</v>
      </c>
      <c r="E58" s="1054">
        <f t="shared" si="1"/>
        <v>1663.2628944999999</v>
      </c>
      <c r="F58" s="632">
        <v>19</v>
      </c>
      <c r="G58" s="633">
        <f>F58*CCBASE!$B$51</f>
        <v>684</v>
      </c>
      <c r="H58" s="633">
        <f>CCBASE!$I$11*B58/1000</f>
        <v>241.48944329999998</v>
      </c>
      <c r="I58" s="633"/>
      <c r="J58" s="633"/>
      <c r="K58" s="633"/>
      <c r="L58" s="633">
        <f>CCBASE!$I$14*B58/1000</f>
        <v>314.06048099999998</v>
      </c>
      <c r="M58" s="633"/>
      <c r="N58" s="633"/>
      <c r="O58" s="633">
        <f>CCBASE!$I$45*B58/1000</f>
        <v>14.955000000000002</v>
      </c>
      <c r="P58" s="633">
        <f>CCBASE!$I$10</f>
        <v>30.661922000000001</v>
      </c>
      <c r="Q58" s="633">
        <f>CCBASE!$H$51</f>
        <v>5.16</v>
      </c>
      <c r="R58" s="633">
        <f>CCBASE!$I$4</f>
        <v>8.3986041999999994</v>
      </c>
      <c r="S58" s="633">
        <f>CCBASE!$I$8</f>
        <v>16.25526</v>
      </c>
      <c r="T58" s="633">
        <f>CCBASE!$I$44</f>
        <v>94.69</v>
      </c>
      <c r="U58" s="633"/>
      <c r="V58" s="633"/>
      <c r="W58" s="633">
        <f>CCBASE!$I$40*B58/1000</f>
        <v>61.962060000000001</v>
      </c>
      <c r="X58" s="633"/>
      <c r="Y58" s="633"/>
      <c r="Z58" s="633"/>
      <c r="AA58" s="633"/>
      <c r="AB58" s="633"/>
      <c r="AC58" s="633"/>
      <c r="AD58" s="633">
        <f>CCBASE!$I$36*2</f>
        <v>191.630124</v>
      </c>
    </row>
    <row r="59" spans="1:36" x14ac:dyDescent="0.2">
      <c r="A59" s="631" t="s">
        <v>138</v>
      </c>
      <c r="B59" s="631">
        <v>1750</v>
      </c>
      <c r="C59" s="631">
        <v>1250</v>
      </c>
      <c r="D59" s="631" t="str">
        <f t="shared" ref="D59" si="26">A59&amp;B59&amp;C59</f>
        <v>UVI17501250</v>
      </c>
      <c r="E59" s="1054">
        <f t="shared" si="1"/>
        <v>1777.7232588499999</v>
      </c>
      <c r="F59" s="632">
        <v>19</v>
      </c>
      <c r="G59" s="633">
        <f>F59*CCBASE!$B$51</f>
        <v>684</v>
      </c>
      <c r="H59" s="633">
        <f>CCBASE!$I$11*B59/1000</f>
        <v>281.73768385</v>
      </c>
      <c r="I59" s="633"/>
      <c r="J59" s="633"/>
      <c r="K59" s="633"/>
      <c r="L59" s="633">
        <f>CCBASE!$I$14*B59/1000</f>
        <v>366.40389449999998</v>
      </c>
      <c r="M59" s="633"/>
      <c r="N59" s="633"/>
      <c r="O59" s="633">
        <f>CCBASE!$I$45*B59/1000</f>
        <v>17.447500000000002</v>
      </c>
      <c r="P59" s="633">
        <f>CCBASE!$I$9</f>
        <v>39.7111223</v>
      </c>
      <c r="Q59" s="633">
        <f>CCBASE!$H$51</f>
        <v>5.16</v>
      </c>
      <c r="R59" s="633">
        <f>CCBASE!$I$4</f>
        <v>8.3986041999999994</v>
      </c>
      <c r="S59" s="633">
        <f>CCBASE!$I$8</f>
        <v>16.25526</v>
      </c>
      <c r="T59" s="633">
        <f>CCBASE!$I$44</f>
        <v>94.69</v>
      </c>
      <c r="U59" s="633"/>
      <c r="V59" s="633"/>
      <c r="W59" s="633">
        <f>CCBASE!$I$40*B59/1000</f>
        <v>72.289069999999995</v>
      </c>
      <c r="X59" s="633"/>
      <c r="Y59" s="633"/>
      <c r="Z59" s="633"/>
      <c r="AA59" s="633"/>
      <c r="AB59" s="633"/>
      <c r="AC59" s="633"/>
      <c r="AD59" s="633">
        <f>CCBASE!$I$36*2</f>
        <v>191.630124</v>
      </c>
    </row>
    <row r="60" spans="1:36" x14ac:dyDescent="0.2">
      <c r="A60" s="631" t="s">
        <v>138</v>
      </c>
      <c r="B60" s="631">
        <v>2000</v>
      </c>
      <c r="C60" s="631">
        <v>1250</v>
      </c>
      <c r="D60" s="631" t="str">
        <f t="shared" si="22"/>
        <v>UVI20001250</v>
      </c>
      <c r="E60" s="1054">
        <f t="shared" si="1"/>
        <v>1883.1344228999999</v>
      </c>
      <c r="F60" s="632">
        <v>19</v>
      </c>
      <c r="G60" s="633">
        <f>F60*CCBASE!$B$51</f>
        <v>684</v>
      </c>
      <c r="H60" s="633">
        <f>CCBASE!$I$11*B60/1000</f>
        <v>321.98592439999999</v>
      </c>
      <c r="I60" s="633"/>
      <c r="J60" s="633"/>
      <c r="K60" s="633"/>
      <c r="L60" s="633">
        <f>CCBASE!$I$14*B60/1000</f>
        <v>418.74730799999998</v>
      </c>
      <c r="M60" s="633"/>
      <c r="N60" s="633"/>
      <c r="O60" s="633">
        <f>CCBASE!$I$45*B60/1000</f>
        <v>19.940000000000001</v>
      </c>
      <c r="P60" s="633">
        <f>CCBASE!$I$9</f>
        <v>39.7111223</v>
      </c>
      <c r="Q60" s="633">
        <f>CCBASE!$H$51</f>
        <v>5.16</v>
      </c>
      <c r="R60" s="633">
        <f>CCBASE!$I$4</f>
        <v>8.3986041999999994</v>
      </c>
      <c r="S60" s="633">
        <f>CCBASE!$I$8</f>
        <v>16.25526</v>
      </c>
      <c r="T60" s="633">
        <f>CCBASE!$I$44</f>
        <v>94.69</v>
      </c>
      <c r="U60" s="633"/>
      <c r="V60" s="633"/>
      <c r="W60" s="633">
        <f>CCBASE!$I$40*B60/1000</f>
        <v>82.616079999999997</v>
      </c>
      <c r="X60" s="633"/>
      <c r="Y60" s="633"/>
      <c r="Z60" s="633"/>
      <c r="AA60" s="633"/>
      <c r="AB60" s="633"/>
      <c r="AC60" s="633"/>
      <c r="AD60" s="633">
        <f>CCBASE!$I$36*2</f>
        <v>191.630124</v>
      </c>
    </row>
    <row r="61" spans="1:36" x14ac:dyDescent="0.2">
      <c r="A61" s="631" t="s">
        <v>138</v>
      </c>
      <c r="B61" s="631">
        <v>2250</v>
      </c>
      <c r="C61" s="631">
        <v>1250</v>
      </c>
      <c r="D61" s="631" t="str">
        <f t="shared" ref="D61" si="27">A61&amp;B61&amp;C61</f>
        <v>UVI22501250</v>
      </c>
      <c r="E61" s="1054">
        <f t="shared" si="1"/>
        <v>2168.5455869499997</v>
      </c>
      <c r="F61" s="632">
        <v>24</v>
      </c>
      <c r="G61" s="633">
        <f>F61*CCBASE!$B$51</f>
        <v>864</v>
      </c>
      <c r="H61" s="633">
        <f>CCBASE!$I$11*B61/1000</f>
        <v>362.23416494999998</v>
      </c>
      <c r="I61" s="633"/>
      <c r="J61" s="633"/>
      <c r="K61" s="633"/>
      <c r="L61" s="633">
        <f>CCBASE!$I$14*B61/1000</f>
        <v>471.09072149999997</v>
      </c>
      <c r="M61" s="633"/>
      <c r="N61" s="633"/>
      <c r="O61" s="633">
        <f>CCBASE!$I$45*B61/1000</f>
        <v>22.432500000000001</v>
      </c>
      <c r="P61" s="633">
        <f>CCBASE!$I$9</f>
        <v>39.7111223</v>
      </c>
      <c r="Q61" s="633">
        <f>CCBASE!$H$51</f>
        <v>5.16</v>
      </c>
      <c r="R61" s="633">
        <f>CCBASE!$I$4</f>
        <v>8.3986041999999994</v>
      </c>
      <c r="S61" s="633">
        <f>CCBASE!$I$8</f>
        <v>16.25526</v>
      </c>
      <c r="T61" s="633">
        <f>CCBASE!$I$44</f>
        <v>94.69</v>
      </c>
      <c r="U61" s="633"/>
      <c r="V61" s="633"/>
      <c r="W61" s="633">
        <f>CCBASE!$I$40*B61/1000</f>
        <v>92.943089999999998</v>
      </c>
      <c r="X61" s="633"/>
      <c r="Y61" s="633"/>
      <c r="Z61" s="633"/>
      <c r="AA61" s="633"/>
      <c r="AB61" s="633"/>
      <c r="AC61" s="633"/>
      <c r="AD61" s="633">
        <f>CCBASE!$I$36*2</f>
        <v>191.630124</v>
      </c>
    </row>
    <row r="62" spans="1:36" x14ac:dyDescent="0.2">
      <c r="A62" s="631" t="s">
        <v>138</v>
      </c>
      <c r="B62" s="631">
        <v>2500</v>
      </c>
      <c r="C62" s="631">
        <v>1250</v>
      </c>
      <c r="D62" s="631" t="str">
        <f t="shared" si="22"/>
        <v>UVI25001250</v>
      </c>
      <c r="E62" s="1054">
        <f t="shared" si="1"/>
        <v>2273.9567509999997</v>
      </c>
      <c r="F62" s="632">
        <v>24</v>
      </c>
      <c r="G62" s="633">
        <f>F62*CCBASE!$B$51</f>
        <v>864</v>
      </c>
      <c r="H62" s="633">
        <f>CCBASE!$I$11*B62/1000</f>
        <v>402.48240549999997</v>
      </c>
      <c r="I62" s="633"/>
      <c r="J62" s="633"/>
      <c r="K62" s="633"/>
      <c r="L62" s="633">
        <f>CCBASE!$I$14*B62/1000</f>
        <v>523.43413499999997</v>
      </c>
      <c r="M62" s="633"/>
      <c r="N62" s="633"/>
      <c r="O62" s="633">
        <f>CCBASE!$I$45*B62/1000</f>
        <v>24.925000000000001</v>
      </c>
      <c r="P62" s="633">
        <f>CCBASE!$I$9</f>
        <v>39.7111223</v>
      </c>
      <c r="Q62" s="633">
        <f>CCBASE!$H$51</f>
        <v>5.16</v>
      </c>
      <c r="R62" s="633">
        <f>CCBASE!$I$4</f>
        <v>8.3986041999999994</v>
      </c>
      <c r="S62" s="633">
        <f>CCBASE!$I$8</f>
        <v>16.25526</v>
      </c>
      <c r="T62" s="633">
        <f>CCBASE!$I$44</f>
        <v>94.69</v>
      </c>
      <c r="U62" s="633"/>
      <c r="V62" s="633"/>
      <c r="W62" s="633">
        <f>CCBASE!$I$40*B62/1000</f>
        <v>103.27009999999999</v>
      </c>
      <c r="X62" s="633"/>
      <c r="Y62" s="633"/>
      <c r="Z62" s="633"/>
      <c r="AA62" s="633"/>
      <c r="AB62" s="633"/>
      <c r="AC62" s="633"/>
      <c r="AD62" s="633">
        <f>CCBASE!$I$36*2</f>
        <v>191.630124</v>
      </c>
    </row>
    <row r="63" spans="1:36" x14ac:dyDescent="0.2">
      <c r="A63" s="631" t="s">
        <v>138</v>
      </c>
      <c r="B63" s="631">
        <v>2750</v>
      </c>
      <c r="C63" s="631">
        <v>1250</v>
      </c>
      <c r="D63" s="631" t="str">
        <f t="shared" ref="D63" si="28">A63&amp;B63&amp;C63</f>
        <v>UVI27501250</v>
      </c>
      <c r="E63" s="1054">
        <f t="shared" si="1"/>
        <v>2379.3679150499997</v>
      </c>
      <c r="F63" s="632">
        <v>24</v>
      </c>
      <c r="G63" s="633">
        <f>F63*CCBASE!$B$51</f>
        <v>864</v>
      </c>
      <c r="H63" s="633">
        <f>CCBASE!$I$11*B63/1000</f>
        <v>442.73064604999996</v>
      </c>
      <c r="I63" s="633"/>
      <c r="J63" s="633"/>
      <c r="K63" s="633"/>
      <c r="L63" s="633">
        <f>CCBASE!$I$14*B63/1000</f>
        <v>575.77754849999997</v>
      </c>
      <c r="M63" s="633"/>
      <c r="N63" s="633"/>
      <c r="O63" s="633">
        <f>CCBASE!$I$45*B63/1000</f>
        <v>27.4175</v>
      </c>
      <c r="P63" s="633">
        <f>CCBASE!$I$9</f>
        <v>39.7111223</v>
      </c>
      <c r="Q63" s="633">
        <f>CCBASE!$H$51</f>
        <v>5.16</v>
      </c>
      <c r="R63" s="633">
        <f>CCBASE!$I$4</f>
        <v>8.3986041999999994</v>
      </c>
      <c r="S63" s="633">
        <f>CCBASE!$I$8</f>
        <v>16.25526</v>
      </c>
      <c r="T63" s="633">
        <f>CCBASE!$I$44</f>
        <v>94.69</v>
      </c>
      <c r="U63" s="633"/>
      <c r="V63" s="633"/>
      <c r="W63" s="633">
        <f>CCBASE!$I$40*B63/1000</f>
        <v>113.59711</v>
      </c>
      <c r="X63" s="633"/>
      <c r="Y63" s="633"/>
      <c r="Z63" s="633"/>
      <c r="AA63" s="633"/>
      <c r="AB63" s="633"/>
      <c r="AC63" s="633"/>
      <c r="AD63" s="633">
        <f>CCBASE!$I$36*2</f>
        <v>191.630124</v>
      </c>
    </row>
    <row r="64" spans="1:36" x14ac:dyDescent="0.2">
      <c r="A64" s="631" t="s">
        <v>138</v>
      </c>
      <c r="B64" s="631">
        <v>3000</v>
      </c>
      <c r="C64" s="631">
        <v>1250</v>
      </c>
      <c r="D64" s="631" t="str">
        <f t="shared" si="22"/>
        <v>UVI30001250</v>
      </c>
      <c r="E64" s="1054">
        <f t="shared" si="1"/>
        <v>2484.7790790999998</v>
      </c>
      <c r="F64" s="632">
        <v>24</v>
      </c>
      <c r="G64" s="633">
        <f>F64*CCBASE!$B$51</f>
        <v>864</v>
      </c>
      <c r="H64" s="633">
        <f>CCBASE!$I$11*B64/1000</f>
        <v>482.97888659999995</v>
      </c>
      <c r="I64" s="633"/>
      <c r="J64" s="633"/>
      <c r="K64" s="633"/>
      <c r="L64" s="633">
        <f>CCBASE!$I$14*B64/1000</f>
        <v>628.12096199999996</v>
      </c>
      <c r="M64" s="633"/>
      <c r="N64" s="633"/>
      <c r="O64" s="633">
        <f>CCBASE!$I$45*B64/1000</f>
        <v>29.910000000000004</v>
      </c>
      <c r="P64" s="633">
        <f>CCBASE!$I$9</f>
        <v>39.7111223</v>
      </c>
      <c r="Q64" s="633">
        <f>CCBASE!$H$51</f>
        <v>5.16</v>
      </c>
      <c r="R64" s="633">
        <f>CCBASE!$I$4</f>
        <v>8.3986041999999994</v>
      </c>
      <c r="S64" s="633">
        <f>CCBASE!$I$8</f>
        <v>16.25526</v>
      </c>
      <c r="T64" s="633">
        <f>CCBASE!$I$44</f>
        <v>94.69</v>
      </c>
      <c r="U64" s="633"/>
      <c r="V64" s="633"/>
      <c r="W64" s="633">
        <f>CCBASE!$I$40*B64/1000</f>
        <v>123.92412</v>
      </c>
      <c r="X64" s="633"/>
      <c r="Y64" s="633"/>
      <c r="Z64" s="633"/>
      <c r="AA64" s="633"/>
      <c r="AB64" s="633"/>
      <c r="AC64" s="633"/>
      <c r="AD64" s="633">
        <f>CCBASE!$I$36*2</f>
        <v>191.630124</v>
      </c>
    </row>
    <row r="65" spans="1:30" x14ac:dyDescent="0.2">
      <c r="A65" s="631" t="s">
        <v>138</v>
      </c>
      <c r="B65" s="631">
        <v>1000</v>
      </c>
      <c r="C65" s="631">
        <v>1500</v>
      </c>
      <c r="D65" s="631" t="str">
        <f t="shared" si="22"/>
        <v>UVI10001500</v>
      </c>
      <c r="E65" s="1054">
        <f t="shared" si="1"/>
        <v>1518.6830783999999</v>
      </c>
      <c r="F65" s="632">
        <v>19</v>
      </c>
      <c r="G65" s="633">
        <f>F65*CCBASE!$B$51</f>
        <v>684</v>
      </c>
      <c r="H65" s="633">
        <f>CCBASE!$I$11*B65/1000</f>
        <v>160.99296219999999</v>
      </c>
      <c r="I65" s="633"/>
      <c r="J65" s="633"/>
      <c r="K65" s="633"/>
      <c r="L65" s="633">
        <f>CCBASE!$I$14*B65/1000</f>
        <v>209.37365399999999</v>
      </c>
      <c r="M65" s="633"/>
      <c r="N65" s="633"/>
      <c r="O65" s="633">
        <f>CCBASE!$I$45*B65/1000</f>
        <v>9.9700000000000006</v>
      </c>
      <c r="P65" s="633">
        <f>CCBASE!$I$10</f>
        <v>30.661922000000001</v>
      </c>
      <c r="Q65" s="633">
        <f>CCBASE!$H$51</f>
        <v>5.16</v>
      </c>
      <c r="R65" s="633">
        <f>CCBASE!$I$4</f>
        <v>8.3986041999999994</v>
      </c>
      <c r="S65" s="633">
        <f>CCBASE!$I$8</f>
        <v>16.25526</v>
      </c>
      <c r="T65" s="633">
        <f>CCBASE!$I$44</f>
        <v>94.69</v>
      </c>
      <c r="U65" s="633"/>
      <c r="V65" s="633"/>
      <c r="W65" s="633">
        <f>CCBASE!$I$41*B65/1000</f>
        <v>59.051569999999998</v>
      </c>
      <c r="X65" s="633"/>
      <c r="Y65" s="633"/>
      <c r="Z65" s="633"/>
      <c r="AA65" s="633"/>
      <c r="AB65" s="633"/>
      <c r="AC65" s="633"/>
      <c r="AD65" s="633">
        <f>CCBASE!$I$37*2</f>
        <v>240.12910599999998</v>
      </c>
    </row>
    <row r="66" spans="1:30" x14ac:dyDescent="0.2">
      <c r="A66" s="631" t="s">
        <v>138</v>
      </c>
      <c r="B66" s="631">
        <v>1250</v>
      </c>
      <c r="C66" s="631">
        <v>1500</v>
      </c>
      <c r="D66" s="631" t="str">
        <f t="shared" ref="D66:D67" si="29">A66&amp;B66&amp;C66</f>
        <v>UVI12501500</v>
      </c>
      <c r="E66" s="1054">
        <f t="shared" si="1"/>
        <v>1628.5301249499998</v>
      </c>
      <c r="F66" s="632">
        <v>19</v>
      </c>
      <c r="G66" s="633">
        <f>F66*CCBASE!$B$51</f>
        <v>684</v>
      </c>
      <c r="H66" s="633">
        <f>CCBASE!$I$11*B66/1000</f>
        <v>201.24120274999999</v>
      </c>
      <c r="I66" s="633"/>
      <c r="J66" s="633"/>
      <c r="K66" s="633"/>
      <c r="L66" s="633">
        <f>CCBASE!$I$14*B66/1000</f>
        <v>261.71706749999998</v>
      </c>
      <c r="M66" s="633"/>
      <c r="N66" s="633"/>
      <c r="O66" s="633">
        <f>CCBASE!$I$45*B66/1000</f>
        <v>12.4625</v>
      </c>
      <c r="P66" s="633">
        <f>CCBASE!$I$10</f>
        <v>30.661922000000001</v>
      </c>
      <c r="Q66" s="633">
        <f>CCBASE!$H$51</f>
        <v>5.16</v>
      </c>
      <c r="R66" s="633">
        <f>CCBASE!$I$4</f>
        <v>8.3986041999999994</v>
      </c>
      <c r="S66" s="633">
        <f>CCBASE!$I$8</f>
        <v>16.25526</v>
      </c>
      <c r="T66" s="633">
        <f>CCBASE!$I$44</f>
        <v>94.69</v>
      </c>
      <c r="U66" s="633"/>
      <c r="V66" s="633"/>
      <c r="W66" s="633">
        <f>CCBASE!$I$41*B66/1000</f>
        <v>73.814462499999991</v>
      </c>
      <c r="X66" s="633"/>
      <c r="Y66" s="633"/>
      <c r="Z66" s="633"/>
      <c r="AA66" s="633"/>
      <c r="AB66" s="633"/>
      <c r="AC66" s="633"/>
      <c r="AD66" s="633">
        <f>CCBASE!$I$37*2</f>
        <v>240.12910599999998</v>
      </c>
    </row>
    <row r="67" spans="1:30" x14ac:dyDescent="0.2">
      <c r="A67" s="631" t="s">
        <v>138</v>
      </c>
      <c r="B67" s="631">
        <v>1500</v>
      </c>
      <c r="C67" s="631">
        <v>1500</v>
      </c>
      <c r="D67" s="631" t="str">
        <f t="shared" si="29"/>
        <v>UVI15001500</v>
      </c>
      <c r="E67" s="1054">
        <f t="shared" ref="E67:E130" si="30">SUM(G67:AD67)</f>
        <v>1747.4263717999997</v>
      </c>
      <c r="F67" s="632">
        <v>19</v>
      </c>
      <c r="G67" s="633">
        <f>F67*CCBASE!$B$51</f>
        <v>684</v>
      </c>
      <c r="H67" s="633">
        <f>CCBASE!$I$11*B67/1000</f>
        <v>241.48944329999998</v>
      </c>
      <c r="I67" s="633"/>
      <c r="J67" s="633"/>
      <c r="K67" s="633"/>
      <c r="L67" s="633">
        <f>CCBASE!$I$14*B67/1000</f>
        <v>314.06048099999998</v>
      </c>
      <c r="M67" s="633"/>
      <c r="N67" s="633"/>
      <c r="O67" s="633">
        <f>CCBASE!$I$45*B67/1000</f>
        <v>14.955000000000002</v>
      </c>
      <c r="P67" s="633">
        <f>CCBASE!$I$9</f>
        <v>39.7111223</v>
      </c>
      <c r="Q67" s="633">
        <f>CCBASE!$H$51</f>
        <v>5.16</v>
      </c>
      <c r="R67" s="633">
        <f>CCBASE!$I$4</f>
        <v>8.3986041999999994</v>
      </c>
      <c r="S67" s="633">
        <f>CCBASE!$I$8</f>
        <v>16.25526</v>
      </c>
      <c r="T67" s="633">
        <f>CCBASE!$I$44</f>
        <v>94.69</v>
      </c>
      <c r="U67" s="633"/>
      <c r="V67" s="633"/>
      <c r="W67" s="633">
        <f>CCBASE!$I$41*B67/1000</f>
        <v>88.577354999999997</v>
      </c>
      <c r="X67" s="633"/>
      <c r="Y67" s="633"/>
      <c r="Z67" s="633"/>
      <c r="AA67" s="633"/>
      <c r="AB67" s="633"/>
      <c r="AC67" s="633"/>
      <c r="AD67" s="633">
        <f>CCBASE!$I$37*2</f>
        <v>240.12910599999998</v>
      </c>
    </row>
    <row r="68" spans="1:30" x14ac:dyDescent="0.2">
      <c r="A68" s="631" t="s">
        <v>138</v>
      </c>
      <c r="B68" s="631">
        <v>1750</v>
      </c>
      <c r="C68" s="631">
        <v>1500</v>
      </c>
      <c r="D68" s="631" t="str">
        <f t="shared" si="22"/>
        <v>UVI17501500</v>
      </c>
      <c r="E68" s="1054">
        <f t="shared" si="30"/>
        <v>1848.2242180499998</v>
      </c>
      <c r="F68" s="632">
        <v>19</v>
      </c>
      <c r="G68" s="633">
        <f>F68*CCBASE!$B$51</f>
        <v>684</v>
      </c>
      <c r="H68" s="633">
        <f>CCBASE!$I$11*B68/1000</f>
        <v>281.73768385</v>
      </c>
      <c r="I68" s="633"/>
      <c r="J68" s="633"/>
      <c r="K68" s="633"/>
      <c r="L68" s="633">
        <f>CCBASE!$I$14*B68/1000</f>
        <v>366.40389449999998</v>
      </c>
      <c r="M68" s="633"/>
      <c r="N68" s="633"/>
      <c r="O68" s="633">
        <f>CCBASE!$I$45*B68/1000</f>
        <v>17.447500000000002</v>
      </c>
      <c r="P68" s="633">
        <f>CCBASE!$I$10</f>
        <v>30.661922000000001</v>
      </c>
      <c r="Q68" s="633">
        <f>CCBASE!$H$51</f>
        <v>5.16</v>
      </c>
      <c r="R68" s="633">
        <f>CCBASE!$I$4</f>
        <v>8.3986041999999994</v>
      </c>
      <c r="S68" s="633">
        <f>CCBASE!$I$8</f>
        <v>16.25526</v>
      </c>
      <c r="T68" s="633">
        <f>CCBASE!$I$44</f>
        <v>94.69</v>
      </c>
      <c r="U68" s="633"/>
      <c r="V68" s="633"/>
      <c r="W68" s="633">
        <f>CCBASE!$I$41*B68/1000</f>
        <v>103.3402475</v>
      </c>
      <c r="X68" s="633"/>
      <c r="Y68" s="633"/>
      <c r="Z68" s="633"/>
      <c r="AA68" s="633"/>
      <c r="AB68" s="633"/>
      <c r="AC68" s="633"/>
      <c r="AD68" s="633">
        <f>CCBASE!$I$37*2</f>
        <v>240.12910599999998</v>
      </c>
    </row>
    <row r="69" spans="1:30" x14ac:dyDescent="0.2">
      <c r="A69" s="631" t="s">
        <v>138</v>
      </c>
      <c r="B69" s="631">
        <v>2000</v>
      </c>
      <c r="C69" s="631">
        <v>1500</v>
      </c>
      <c r="D69" s="631" t="str">
        <f t="shared" si="22"/>
        <v>UVI20001500</v>
      </c>
      <c r="E69" s="1054">
        <f t="shared" si="30"/>
        <v>1967.1204648999997</v>
      </c>
      <c r="F69" s="632">
        <v>19</v>
      </c>
      <c r="G69" s="633">
        <f>F69*CCBASE!$B$51</f>
        <v>684</v>
      </c>
      <c r="H69" s="633">
        <f>CCBASE!$I$11*B69/1000</f>
        <v>321.98592439999999</v>
      </c>
      <c r="I69" s="633"/>
      <c r="J69" s="633"/>
      <c r="K69" s="633"/>
      <c r="L69" s="633">
        <f>CCBASE!$I$14*B69/1000</f>
        <v>418.74730799999998</v>
      </c>
      <c r="M69" s="633"/>
      <c r="N69" s="633"/>
      <c r="O69" s="633">
        <f>CCBASE!$I$45*B69/1000</f>
        <v>19.940000000000001</v>
      </c>
      <c r="P69" s="633">
        <f>CCBASE!$I$9</f>
        <v>39.7111223</v>
      </c>
      <c r="Q69" s="633">
        <f>CCBASE!$H$51</f>
        <v>5.16</v>
      </c>
      <c r="R69" s="633">
        <f>CCBASE!$I$4</f>
        <v>8.3986041999999994</v>
      </c>
      <c r="S69" s="633">
        <f>CCBASE!$I$8</f>
        <v>16.25526</v>
      </c>
      <c r="T69" s="633">
        <f>CCBASE!$I$44</f>
        <v>94.69</v>
      </c>
      <c r="U69" s="633"/>
      <c r="V69" s="633"/>
      <c r="W69" s="633">
        <f>CCBASE!$I$41*B69/1000</f>
        <v>118.10314</v>
      </c>
      <c r="X69" s="633"/>
      <c r="Y69" s="633"/>
      <c r="Z69" s="633"/>
      <c r="AA69" s="633"/>
      <c r="AB69" s="633"/>
      <c r="AC69" s="633"/>
      <c r="AD69" s="633">
        <f>CCBASE!$I$37*2</f>
        <v>240.12910599999998</v>
      </c>
    </row>
    <row r="70" spans="1:30" x14ac:dyDescent="0.2">
      <c r="A70" s="631" t="s">
        <v>138</v>
      </c>
      <c r="B70" s="631">
        <v>2250</v>
      </c>
      <c r="C70" s="631">
        <v>1500</v>
      </c>
      <c r="D70" s="631" t="str">
        <f t="shared" ref="D70" si="31">A70&amp;B70&amp;C70</f>
        <v>UVI22501500</v>
      </c>
      <c r="E70" s="1054">
        <f t="shared" si="30"/>
        <v>2256.9675114499996</v>
      </c>
      <c r="F70" s="632">
        <v>24</v>
      </c>
      <c r="G70" s="633">
        <f>F70*CCBASE!$B$51</f>
        <v>864</v>
      </c>
      <c r="H70" s="633">
        <f>CCBASE!$I$11*B70/1000</f>
        <v>362.23416494999998</v>
      </c>
      <c r="I70" s="633"/>
      <c r="J70" s="633"/>
      <c r="K70" s="633"/>
      <c r="L70" s="633">
        <f>CCBASE!$I$14*B70/1000</f>
        <v>471.09072149999997</v>
      </c>
      <c r="M70" s="633"/>
      <c r="N70" s="633"/>
      <c r="O70" s="633">
        <f>CCBASE!$I$45*B70/1000</f>
        <v>22.432500000000001</v>
      </c>
      <c r="P70" s="633">
        <f>CCBASE!$I$9</f>
        <v>39.7111223</v>
      </c>
      <c r="Q70" s="633">
        <f>CCBASE!$H$51</f>
        <v>5.16</v>
      </c>
      <c r="R70" s="633">
        <f>CCBASE!$I$4</f>
        <v>8.3986041999999994</v>
      </c>
      <c r="S70" s="633">
        <f>CCBASE!$I$8</f>
        <v>16.25526</v>
      </c>
      <c r="T70" s="633">
        <f>CCBASE!$I$44</f>
        <v>94.69</v>
      </c>
      <c r="U70" s="633"/>
      <c r="V70" s="633"/>
      <c r="W70" s="633">
        <f>CCBASE!$I$41*B70/1000</f>
        <v>132.86603249999999</v>
      </c>
      <c r="X70" s="633"/>
      <c r="Y70" s="633"/>
      <c r="Z70" s="633"/>
      <c r="AA70" s="633"/>
      <c r="AB70" s="633"/>
      <c r="AC70" s="633"/>
      <c r="AD70" s="633">
        <f>CCBASE!$I$37*2</f>
        <v>240.12910599999998</v>
      </c>
    </row>
    <row r="71" spans="1:30" x14ac:dyDescent="0.2">
      <c r="A71" s="631" t="s">
        <v>138</v>
      </c>
      <c r="B71" s="631">
        <v>2500</v>
      </c>
      <c r="C71" s="631">
        <v>1500</v>
      </c>
      <c r="D71" s="631" t="str">
        <f t="shared" si="22"/>
        <v>UVI25001500</v>
      </c>
      <c r="E71" s="1054">
        <f t="shared" si="30"/>
        <v>2366.8145579999996</v>
      </c>
      <c r="F71" s="632">
        <v>24</v>
      </c>
      <c r="G71" s="633">
        <f>F71*CCBASE!$B$51</f>
        <v>864</v>
      </c>
      <c r="H71" s="633">
        <f>CCBASE!$I$11*B71/1000</f>
        <v>402.48240549999997</v>
      </c>
      <c r="I71" s="633"/>
      <c r="J71" s="633"/>
      <c r="K71" s="633"/>
      <c r="L71" s="633">
        <f>CCBASE!$I$14*B71/1000</f>
        <v>523.43413499999997</v>
      </c>
      <c r="M71" s="633"/>
      <c r="N71" s="633"/>
      <c r="O71" s="633">
        <f>CCBASE!$I$45*B71/1000</f>
        <v>24.925000000000001</v>
      </c>
      <c r="P71" s="633">
        <f>CCBASE!$I$9</f>
        <v>39.7111223</v>
      </c>
      <c r="Q71" s="633">
        <f>CCBASE!$H$51</f>
        <v>5.16</v>
      </c>
      <c r="R71" s="633">
        <f>CCBASE!$I$4</f>
        <v>8.3986041999999994</v>
      </c>
      <c r="S71" s="633">
        <f>CCBASE!$I$8</f>
        <v>16.25526</v>
      </c>
      <c r="T71" s="633">
        <f>CCBASE!$I$44</f>
        <v>94.69</v>
      </c>
      <c r="U71" s="633"/>
      <c r="V71" s="633"/>
      <c r="W71" s="633">
        <f>CCBASE!$I$41*B71/1000</f>
        <v>147.62892499999998</v>
      </c>
      <c r="X71" s="633"/>
      <c r="Y71" s="633"/>
      <c r="Z71" s="633"/>
      <c r="AA71" s="633"/>
      <c r="AB71" s="633"/>
      <c r="AC71" s="633"/>
      <c r="AD71" s="633">
        <f>CCBASE!$I$37*2</f>
        <v>240.12910599999998</v>
      </c>
    </row>
    <row r="72" spans="1:30" x14ac:dyDescent="0.2">
      <c r="A72" s="631" t="s">
        <v>138</v>
      </c>
      <c r="B72" s="631">
        <v>2750</v>
      </c>
      <c r="C72" s="631">
        <v>1500</v>
      </c>
      <c r="D72" s="631" t="str">
        <f t="shared" ref="D72" si="32">A72&amp;B72&amp;C72</f>
        <v>UVI27501500</v>
      </c>
      <c r="E72" s="1054">
        <f t="shared" si="30"/>
        <v>2476.6616045499995</v>
      </c>
      <c r="F72" s="632">
        <v>24</v>
      </c>
      <c r="G72" s="633">
        <f>F72*CCBASE!$B$51</f>
        <v>864</v>
      </c>
      <c r="H72" s="633">
        <f>CCBASE!$I$11*B72/1000</f>
        <v>442.73064604999996</v>
      </c>
      <c r="I72" s="633"/>
      <c r="J72" s="633"/>
      <c r="K72" s="633"/>
      <c r="L72" s="633">
        <f>CCBASE!$I$14*B72/1000</f>
        <v>575.77754849999997</v>
      </c>
      <c r="M72" s="633"/>
      <c r="N72" s="633"/>
      <c r="O72" s="633">
        <f>CCBASE!$I$45*B72/1000</f>
        <v>27.4175</v>
      </c>
      <c r="P72" s="633">
        <f>CCBASE!$I$9</f>
        <v>39.7111223</v>
      </c>
      <c r="Q72" s="633">
        <f>CCBASE!$H$51</f>
        <v>5.16</v>
      </c>
      <c r="R72" s="633">
        <f>CCBASE!$I$4</f>
        <v>8.3986041999999994</v>
      </c>
      <c r="S72" s="633">
        <f>CCBASE!$I$8</f>
        <v>16.25526</v>
      </c>
      <c r="T72" s="633">
        <f>CCBASE!$I$44</f>
        <v>94.69</v>
      </c>
      <c r="U72" s="633"/>
      <c r="V72" s="633"/>
      <c r="W72" s="633">
        <f>CCBASE!$I$41*B72/1000</f>
        <v>162.3918175</v>
      </c>
      <c r="X72" s="633"/>
      <c r="Y72" s="633"/>
      <c r="Z72" s="633"/>
      <c r="AA72" s="633"/>
      <c r="AB72" s="633"/>
      <c r="AC72" s="633"/>
      <c r="AD72" s="633">
        <f>CCBASE!$I$37*2</f>
        <v>240.12910599999998</v>
      </c>
    </row>
    <row r="73" spans="1:30" x14ac:dyDescent="0.2">
      <c r="A73" s="631" t="s">
        <v>138</v>
      </c>
      <c r="B73" s="631">
        <v>3000</v>
      </c>
      <c r="C73" s="631">
        <v>1500</v>
      </c>
      <c r="D73" s="631" t="str">
        <f t="shared" si="22"/>
        <v>UVI30001500</v>
      </c>
      <c r="E73" s="1054">
        <f t="shared" si="30"/>
        <v>2586.5086510999995</v>
      </c>
      <c r="F73" s="632">
        <v>24</v>
      </c>
      <c r="G73" s="633">
        <f>F73*CCBASE!$B$51</f>
        <v>864</v>
      </c>
      <c r="H73" s="633">
        <f>CCBASE!$I$11*B73/1000</f>
        <v>482.97888659999995</v>
      </c>
      <c r="I73" s="633"/>
      <c r="J73" s="633"/>
      <c r="K73" s="633"/>
      <c r="L73" s="633">
        <f>CCBASE!$I$14*B73/1000</f>
        <v>628.12096199999996</v>
      </c>
      <c r="M73" s="633"/>
      <c r="N73" s="633"/>
      <c r="O73" s="633">
        <f>CCBASE!$I$45*B73/1000</f>
        <v>29.910000000000004</v>
      </c>
      <c r="P73" s="633">
        <f>CCBASE!$I$9</f>
        <v>39.7111223</v>
      </c>
      <c r="Q73" s="633">
        <f>CCBASE!$H$51</f>
        <v>5.16</v>
      </c>
      <c r="R73" s="633">
        <f>CCBASE!$I$4</f>
        <v>8.3986041999999994</v>
      </c>
      <c r="S73" s="633">
        <f>CCBASE!$I$8</f>
        <v>16.25526</v>
      </c>
      <c r="T73" s="633">
        <f>CCBASE!$I$44</f>
        <v>94.69</v>
      </c>
      <c r="U73" s="633"/>
      <c r="V73" s="633"/>
      <c r="W73" s="633">
        <f>CCBASE!$I$41*B73/1000</f>
        <v>177.15470999999999</v>
      </c>
      <c r="X73" s="633"/>
      <c r="Y73" s="633"/>
      <c r="Z73" s="633"/>
      <c r="AA73" s="633"/>
      <c r="AB73" s="633"/>
      <c r="AC73" s="633"/>
      <c r="AD73" s="633">
        <f>CCBASE!$I$37*2</f>
        <v>240.12910599999998</v>
      </c>
    </row>
    <row r="74" spans="1:30" x14ac:dyDescent="0.2">
      <c r="A74" s="631" t="s">
        <v>138</v>
      </c>
      <c r="B74" s="631">
        <v>1000</v>
      </c>
      <c r="C74" s="631">
        <v>1750</v>
      </c>
      <c r="D74" s="631" t="str">
        <f t="shared" si="22"/>
        <v>UVI10001750</v>
      </c>
      <c r="E74" s="1054">
        <f t="shared" si="30"/>
        <v>1562.4504523999999</v>
      </c>
      <c r="F74" s="632">
        <v>19</v>
      </c>
      <c r="G74" s="633">
        <f>F74*CCBASE!$B$51</f>
        <v>684</v>
      </c>
      <c r="H74" s="633">
        <f>CCBASE!$I$11*B74/1000</f>
        <v>160.99296219999999</v>
      </c>
      <c r="I74" s="633"/>
      <c r="J74" s="633"/>
      <c r="K74" s="633"/>
      <c r="L74" s="633">
        <f>CCBASE!$I$14*B74/1000</f>
        <v>209.37365399999999</v>
      </c>
      <c r="M74" s="633"/>
      <c r="N74" s="633"/>
      <c r="O74" s="633">
        <f>CCBASE!$I$45*B74/1000</f>
        <v>9.9700000000000006</v>
      </c>
      <c r="P74" s="633">
        <f>CCBASE!$I$10</f>
        <v>30.661922000000001</v>
      </c>
      <c r="Q74" s="633">
        <f>CCBASE!$H$51</f>
        <v>5.16</v>
      </c>
      <c r="R74" s="633">
        <f>CCBASE!$I$4</f>
        <v>8.3986041999999994</v>
      </c>
      <c r="S74" s="633">
        <f>CCBASE!$I$8</f>
        <v>16.25526</v>
      </c>
      <c r="T74" s="633">
        <f>CCBASE!$I$44</f>
        <v>94.69</v>
      </c>
      <c r="U74" s="632"/>
      <c r="V74" s="632"/>
      <c r="W74" s="633">
        <f>CCBASE!$I$42*B74/1000</f>
        <v>70.880589999999998</v>
      </c>
      <c r="X74" s="633"/>
      <c r="Y74" s="633"/>
      <c r="Z74" s="633"/>
      <c r="AA74" s="633"/>
      <c r="AB74" s="633"/>
      <c r="AC74" s="633"/>
      <c r="AD74" s="633">
        <f>CCBASE!$I$38*2</f>
        <v>272.06745999999998</v>
      </c>
    </row>
    <row r="75" spans="1:30" x14ac:dyDescent="0.2">
      <c r="A75" s="631" t="s">
        <v>138</v>
      </c>
      <c r="B75" s="631">
        <v>1250</v>
      </c>
      <c r="C75" s="631">
        <v>1750</v>
      </c>
      <c r="D75" s="631" t="str">
        <f t="shared" ref="D75" si="33">A75&amp;B75&amp;C75</f>
        <v>UVI12501750</v>
      </c>
      <c r="E75" s="1054">
        <f t="shared" si="30"/>
        <v>1675.2547539499999</v>
      </c>
      <c r="F75" s="632">
        <v>19</v>
      </c>
      <c r="G75" s="633">
        <f>F75*CCBASE!$B$51</f>
        <v>684</v>
      </c>
      <c r="H75" s="633">
        <f>CCBASE!$I$11*B75/1000</f>
        <v>201.24120274999999</v>
      </c>
      <c r="I75" s="633"/>
      <c r="J75" s="633"/>
      <c r="K75" s="633"/>
      <c r="L75" s="633">
        <f>CCBASE!$I$14*B75/1000</f>
        <v>261.71706749999998</v>
      </c>
      <c r="M75" s="633"/>
      <c r="N75" s="633"/>
      <c r="O75" s="633">
        <f>CCBASE!$I$45*B75/1000</f>
        <v>12.4625</v>
      </c>
      <c r="P75" s="633">
        <f>CCBASE!$I$10</f>
        <v>30.661922000000001</v>
      </c>
      <c r="Q75" s="633">
        <f>CCBASE!$H$51</f>
        <v>5.16</v>
      </c>
      <c r="R75" s="633">
        <f>CCBASE!$I$4</f>
        <v>8.3986041999999994</v>
      </c>
      <c r="S75" s="633">
        <f>CCBASE!$I$8</f>
        <v>16.25526</v>
      </c>
      <c r="T75" s="633">
        <f>CCBASE!$I$44</f>
        <v>94.69</v>
      </c>
      <c r="U75" s="632"/>
      <c r="V75" s="632"/>
      <c r="W75" s="633">
        <f>CCBASE!$I$42*B75/1000</f>
        <v>88.600737500000008</v>
      </c>
      <c r="X75" s="633"/>
      <c r="Y75" s="633"/>
      <c r="Z75" s="633"/>
      <c r="AA75" s="633"/>
      <c r="AB75" s="633"/>
      <c r="AC75" s="633"/>
      <c r="AD75" s="633">
        <f>CCBASE!$I$38*2</f>
        <v>272.06745999999998</v>
      </c>
    </row>
    <row r="76" spans="1:30" x14ac:dyDescent="0.2">
      <c r="A76" s="631" t="s">
        <v>138</v>
      </c>
      <c r="B76" s="631">
        <v>1500</v>
      </c>
      <c r="C76" s="631">
        <v>1750</v>
      </c>
      <c r="D76" s="631" t="str">
        <f t="shared" si="22"/>
        <v>UVI15001750</v>
      </c>
      <c r="E76" s="1054">
        <f t="shared" si="30"/>
        <v>1788.0590554999999</v>
      </c>
      <c r="F76" s="632">
        <v>19</v>
      </c>
      <c r="G76" s="633">
        <f>F76*CCBASE!$B$51</f>
        <v>684</v>
      </c>
      <c r="H76" s="633">
        <f>CCBASE!$I$11*B76/1000</f>
        <v>241.48944329999998</v>
      </c>
      <c r="I76" s="633"/>
      <c r="J76" s="633"/>
      <c r="K76" s="633"/>
      <c r="L76" s="633">
        <f>CCBASE!$I$14*B76/1000</f>
        <v>314.06048099999998</v>
      </c>
      <c r="M76" s="633"/>
      <c r="N76" s="633"/>
      <c r="O76" s="633">
        <f>CCBASE!$I$45*B76/1000</f>
        <v>14.955000000000002</v>
      </c>
      <c r="P76" s="633">
        <f>CCBASE!$I$10</f>
        <v>30.661922000000001</v>
      </c>
      <c r="Q76" s="633">
        <f>CCBASE!$H$51</f>
        <v>5.16</v>
      </c>
      <c r="R76" s="633">
        <f>CCBASE!$I$4</f>
        <v>8.3986041999999994</v>
      </c>
      <c r="S76" s="633">
        <f>CCBASE!$I$8</f>
        <v>16.25526</v>
      </c>
      <c r="T76" s="633">
        <f>CCBASE!$I$44</f>
        <v>94.69</v>
      </c>
      <c r="U76" s="632"/>
      <c r="V76" s="632"/>
      <c r="W76" s="633">
        <f>CCBASE!$I$42*B76/1000</f>
        <v>106.32088499999999</v>
      </c>
      <c r="X76" s="633"/>
      <c r="Y76" s="633"/>
      <c r="Z76" s="633"/>
      <c r="AA76" s="633"/>
      <c r="AB76" s="633"/>
      <c r="AC76" s="633"/>
      <c r="AD76" s="633">
        <f>CCBASE!$I$38*2</f>
        <v>272.06745999999998</v>
      </c>
    </row>
    <row r="77" spans="1:30" x14ac:dyDescent="0.2">
      <c r="A77" s="631" t="s">
        <v>138</v>
      </c>
      <c r="B77" s="631">
        <v>1750</v>
      </c>
      <c r="C77" s="631">
        <v>1750</v>
      </c>
      <c r="D77" s="631" t="str">
        <f t="shared" ref="D77" si="34">A77&amp;B77&amp;C77</f>
        <v>UVI17501750</v>
      </c>
      <c r="E77" s="1054">
        <f t="shared" si="30"/>
        <v>1909.9125573499998</v>
      </c>
      <c r="F77" s="632">
        <v>19</v>
      </c>
      <c r="G77" s="633">
        <f>F77*CCBASE!$B$51</f>
        <v>684</v>
      </c>
      <c r="H77" s="633">
        <f>CCBASE!$I$11*B77/1000</f>
        <v>281.73768385</v>
      </c>
      <c r="I77" s="633"/>
      <c r="J77" s="633"/>
      <c r="K77" s="633"/>
      <c r="L77" s="633">
        <f>CCBASE!$I$14*B77/1000</f>
        <v>366.40389449999998</v>
      </c>
      <c r="M77" s="633"/>
      <c r="N77" s="633"/>
      <c r="O77" s="633">
        <f>CCBASE!$I$45*B77/1000</f>
        <v>17.447500000000002</v>
      </c>
      <c r="P77" s="633">
        <f>CCBASE!$I$9</f>
        <v>39.7111223</v>
      </c>
      <c r="Q77" s="633">
        <f>CCBASE!$H$51</f>
        <v>5.16</v>
      </c>
      <c r="R77" s="633">
        <f>CCBASE!$I$4</f>
        <v>8.3986041999999994</v>
      </c>
      <c r="S77" s="633">
        <f>CCBASE!$I$8</f>
        <v>16.25526</v>
      </c>
      <c r="T77" s="633">
        <f>CCBASE!$I$44</f>
        <v>94.69</v>
      </c>
      <c r="U77" s="632"/>
      <c r="V77" s="632"/>
      <c r="W77" s="633">
        <f>CCBASE!$I$42*B77/1000</f>
        <v>124.0410325</v>
      </c>
      <c r="X77" s="633"/>
      <c r="Y77" s="633"/>
      <c r="Z77" s="633"/>
      <c r="AA77" s="633"/>
      <c r="AB77" s="633"/>
      <c r="AC77" s="633"/>
      <c r="AD77" s="633">
        <f>CCBASE!$I$38*2</f>
        <v>272.06745999999998</v>
      </c>
    </row>
    <row r="78" spans="1:30" x14ac:dyDescent="0.2">
      <c r="A78" s="631" t="s">
        <v>138</v>
      </c>
      <c r="B78" s="631">
        <v>2000</v>
      </c>
      <c r="C78" s="631">
        <v>1750</v>
      </c>
      <c r="D78" s="631" t="str">
        <f t="shared" si="22"/>
        <v>UVI20001750</v>
      </c>
      <c r="E78" s="1054">
        <f t="shared" si="30"/>
        <v>2022.7168588999998</v>
      </c>
      <c r="F78" s="632">
        <v>19</v>
      </c>
      <c r="G78" s="633">
        <f>F78*CCBASE!$B$51</f>
        <v>684</v>
      </c>
      <c r="H78" s="633">
        <f>CCBASE!$I$11*B78/1000</f>
        <v>321.98592439999999</v>
      </c>
      <c r="I78" s="633"/>
      <c r="J78" s="633"/>
      <c r="K78" s="633"/>
      <c r="L78" s="633">
        <f>CCBASE!$I$14*B78/1000</f>
        <v>418.74730799999998</v>
      </c>
      <c r="M78" s="633"/>
      <c r="N78" s="633"/>
      <c r="O78" s="633">
        <f>CCBASE!$I$45*B78/1000</f>
        <v>19.940000000000001</v>
      </c>
      <c r="P78" s="633">
        <f>CCBASE!$I$9</f>
        <v>39.7111223</v>
      </c>
      <c r="Q78" s="633">
        <f>CCBASE!$H$51</f>
        <v>5.16</v>
      </c>
      <c r="R78" s="633">
        <f>CCBASE!$I$4</f>
        <v>8.3986041999999994</v>
      </c>
      <c r="S78" s="633">
        <f>CCBASE!$I$8</f>
        <v>16.25526</v>
      </c>
      <c r="T78" s="633">
        <f>CCBASE!$I$44</f>
        <v>94.69</v>
      </c>
      <c r="U78" s="632"/>
      <c r="V78" s="632"/>
      <c r="W78" s="633">
        <f>CCBASE!$I$42*B78/1000</f>
        <v>141.76118</v>
      </c>
      <c r="X78" s="633"/>
      <c r="Y78" s="633"/>
      <c r="Z78" s="633"/>
      <c r="AA78" s="633"/>
      <c r="AB78" s="633"/>
      <c r="AC78" s="633"/>
      <c r="AD78" s="633">
        <f>CCBASE!$I$38*2</f>
        <v>272.06745999999998</v>
      </c>
    </row>
    <row r="79" spans="1:30" x14ac:dyDescent="0.2">
      <c r="A79" s="631" t="s">
        <v>138</v>
      </c>
      <c r="B79" s="631">
        <v>2250</v>
      </c>
      <c r="C79" s="631">
        <v>1750</v>
      </c>
      <c r="D79" s="631" t="str">
        <f t="shared" ref="D79" si="35">A79&amp;B79&amp;C79</f>
        <v>UVI22501750</v>
      </c>
      <c r="E79" s="1054">
        <f t="shared" si="30"/>
        <v>2315.5211604499996</v>
      </c>
      <c r="F79" s="632">
        <v>24</v>
      </c>
      <c r="G79" s="633">
        <f>F79*CCBASE!$B$51</f>
        <v>864</v>
      </c>
      <c r="H79" s="633">
        <f>CCBASE!$I$11*B79/1000</f>
        <v>362.23416494999998</v>
      </c>
      <c r="I79" s="633"/>
      <c r="J79" s="633"/>
      <c r="K79" s="633"/>
      <c r="L79" s="633">
        <f>CCBASE!$I$14*B79/1000</f>
        <v>471.09072149999997</v>
      </c>
      <c r="M79" s="633"/>
      <c r="N79" s="633"/>
      <c r="O79" s="633">
        <f>CCBASE!$I$45*B79/1000</f>
        <v>22.432500000000001</v>
      </c>
      <c r="P79" s="633">
        <f>CCBASE!$I$9</f>
        <v>39.7111223</v>
      </c>
      <c r="Q79" s="633">
        <f>CCBASE!$H$51</f>
        <v>5.16</v>
      </c>
      <c r="R79" s="633">
        <f>CCBASE!$I$4</f>
        <v>8.3986041999999994</v>
      </c>
      <c r="S79" s="633">
        <f>CCBASE!$I$8</f>
        <v>16.25526</v>
      </c>
      <c r="T79" s="633">
        <f>CCBASE!$I$44</f>
        <v>94.69</v>
      </c>
      <c r="U79" s="632"/>
      <c r="V79" s="632"/>
      <c r="W79" s="633">
        <f>CCBASE!$I$42*B79/1000</f>
        <v>159.48132749999999</v>
      </c>
      <c r="X79" s="633"/>
      <c r="Y79" s="633"/>
      <c r="Z79" s="633"/>
      <c r="AA79" s="633"/>
      <c r="AB79" s="633"/>
      <c r="AC79" s="633"/>
      <c r="AD79" s="633">
        <f>CCBASE!$I$38*2</f>
        <v>272.06745999999998</v>
      </c>
    </row>
    <row r="80" spans="1:30" x14ac:dyDescent="0.2">
      <c r="A80" s="631" t="s">
        <v>138</v>
      </c>
      <c r="B80" s="631">
        <v>2500</v>
      </c>
      <c r="C80" s="631">
        <v>1750</v>
      </c>
      <c r="D80" s="631" t="str">
        <f t="shared" si="22"/>
        <v>UVI25001750</v>
      </c>
      <c r="E80" s="1054">
        <f t="shared" si="30"/>
        <v>2428.3254619999998</v>
      </c>
      <c r="F80" s="632">
        <v>24</v>
      </c>
      <c r="G80" s="633">
        <f>F80*CCBASE!$B$51</f>
        <v>864</v>
      </c>
      <c r="H80" s="633">
        <f>CCBASE!$I$11*B80/1000</f>
        <v>402.48240549999997</v>
      </c>
      <c r="I80" s="633"/>
      <c r="J80" s="633"/>
      <c r="K80" s="633"/>
      <c r="L80" s="633">
        <f>CCBASE!$I$14*B80/1000</f>
        <v>523.43413499999997</v>
      </c>
      <c r="M80" s="633"/>
      <c r="N80" s="633"/>
      <c r="O80" s="633">
        <f>CCBASE!$I$45*B80/1000</f>
        <v>24.925000000000001</v>
      </c>
      <c r="P80" s="633">
        <f>CCBASE!$I$9</f>
        <v>39.7111223</v>
      </c>
      <c r="Q80" s="633">
        <f>CCBASE!$H$51</f>
        <v>5.16</v>
      </c>
      <c r="R80" s="633">
        <f>CCBASE!$I$4</f>
        <v>8.3986041999999994</v>
      </c>
      <c r="S80" s="633">
        <f>CCBASE!$I$8</f>
        <v>16.25526</v>
      </c>
      <c r="T80" s="633">
        <f>CCBASE!$I$44</f>
        <v>94.69</v>
      </c>
      <c r="U80" s="632"/>
      <c r="V80" s="632"/>
      <c r="W80" s="633">
        <f>CCBASE!$I$42*B80/1000</f>
        <v>177.20147500000002</v>
      </c>
      <c r="X80" s="633"/>
      <c r="Y80" s="633"/>
      <c r="Z80" s="633"/>
      <c r="AA80" s="633"/>
      <c r="AB80" s="633"/>
      <c r="AC80" s="633"/>
      <c r="AD80" s="633">
        <f>CCBASE!$I$38*2</f>
        <v>272.06745999999998</v>
      </c>
    </row>
    <row r="81" spans="1:30" x14ac:dyDescent="0.2">
      <c r="A81" s="631" t="s">
        <v>138</v>
      </c>
      <c r="B81" s="631">
        <v>2750</v>
      </c>
      <c r="C81" s="631">
        <v>1750</v>
      </c>
      <c r="D81" s="631" t="str">
        <f t="shared" ref="D81" si="36">A81&amp;B81&amp;C81</f>
        <v>UVI27501750</v>
      </c>
      <c r="E81" s="1054">
        <f t="shared" si="30"/>
        <v>2541.1297635499996</v>
      </c>
      <c r="F81" s="632">
        <v>24</v>
      </c>
      <c r="G81" s="633">
        <f>F81*CCBASE!$B$51</f>
        <v>864</v>
      </c>
      <c r="H81" s="633">
        <f>CCBASE!$I$11*B81/1000</f>
        <v>442.73064604999996</v>
      </c>
      <c r="I81" s="633"/>
      <c r="J81" s="633"/>
      <c r="K81" s="633"/>
      <c r="L81" s="633">
        <f>CCBASE!$I$14*B81/1000</f>
        <v>575.77754849999997</v>
      </c>
      <c r="M81" s="633"/>
      <c r="N81" s="633"/>
      <c r="O81" s="633">
        <f>CCBASE!$I$45*B81/1000</f>
        <v>27.4175</v>
      </c>
      <c r="P81" s="633">
        <f>CCBASE!$I$9</f>
        <v>39.7111223</v>
      </c>
      <c r="Q81" s="633">
        <f>CCBASE!$H$51</f>
        <v>5.16</v>
      </c>
      <c r="R81" s="633">
        <f>CCBASE!$I$4</f>
        <v>8.3986041999999994</v>
      </c>
      <c r="S81" s="633">
        <f>CCBASE!$I$8</f>
        <v>16.25526</v>
      </c>
      <c r="T81" s="633">
        <f>CCBASE!$I$44</f>
        <v>94.69</v>
      </c>
      <c r="U81" s="632"/>
      <c r="V81" s="632"/>
      <c r="W81" s="633">
        <f>CCBASE!$I$42*B81/1000</f>
        <v>194.92162249999998</v>
      </c>
      <c r="X81" s="633"/>
      <c r="Y81" s="633"/>
      <c r="Z81" s="633"/>
      <c r="AA81" s="633"/>
      <c r="AB81" s="633"/>
      <c r="AC81" s="633"/>
      <c r="AD81" s="633">
        <f>CCBASE!$I$38*2</f>
        <v>272.06745999999998</v>
      </c>
    </row>
    <row r="82" spans="1:30" x14ac:dyDescent="0.2">
      <c r="A82" s="631" t="s">
        <v>138</v>
      </c>
      <c r="B82" s="631">
        <v>3000</v>
      </c>
      <c r="C82" s="631">
        <v>1750</v>
      </c>
      <c r="D82" s="631" t="str">
        <f t="shared" si="22"/>
        <v>UVI30001750</v>
      </c>
      <c r="E82" s="1054">
        <f t="shared" si="30"/>
        <v>2653.9340651000002</v>
      </c>
      <c r="F82" s="632">
        <v>24</v>
      </c>
      <c r="G82" s="633">
        <f>F82*CCBASE!$B$51</f>
        <v>864</v>
      </c>
      <c r="H82" s="633">
        <f>CCBASE!$I$11*B82/1000</f>
        <v>482.97888659999995</v>
      </c>
      <c r="I82" s="633"/>
      <c r="J82" s="633"/>
      <c r="K82" s="633"/>
      <c r="L82" s="633">
        <f>CCBASE!$I$14*B82/1000</f>
        <v>628.12096199999996</v>
      </c>
      <c r="M82" s="633"/>
      <c r="N82" s="633"/>
      <c r="O82" s="633">
        <f>CCBASE!$I$45*B82/1000</f>
        <v>29.910000000000004</v>
      </c>
      <c r="P82" s="633">
        <f>CCBASE!$I$9</f>
        <v>39.7111223</v>
      </c>
      <c r="Q82" s="633">
        <f>CCBASE!$H$51</f>
        <v>5.16</v>
      </c>
      <c r="R82" s="633">
        <f>CCBASE!$I$4</f>
        <v>8.3986041999999994</v>
      </c>
      <c r="S82" s="633">
        <f>CCBASE!$I$8</f>
        <v>16.25526</v>
      </c>
      <c r="T82" s="633">
        <f>CCBASE!$I$44</f>
        <v>94.69</v>
      </c>
      <c r="U82" s="632"/>
      <c r="V82" s="632"/>
      <c r="W82" s="633">
        <f>CCBASE!$I$42*B82/1000</f>
        <v>212.64176999999998</v>
      </c>
      <c r="X82" s="633"/>
      <c r="Y82" s="633"/>
      <c r="Z82" s="633"/>
      <c r="AA82" s="633"/>
      <c r="AB82" s="633"/>
      <c r="AC82" s="633"/>
      <c r="AD82" s="633">
        <f>CCBASE!$I$38*2</f>
        <v>272.06745999999998</v>
      </c>
    </row>
    <row r="83" spans="1:30" x14ac:dyDescent="0.2">
      <c r="A83" s="631" t="s">
        <v>138</v>
      </c>
      <c r="B83" s="631">
        <v>1000</v>
      </c>
      <c r="C83" s="631">
        <v>2000</v>
      </c>
      <c r="D83" s="631" t="str">
        <f t="shared" ref="D83:D84" si="37">A83&amp;B83&amp;C83</f>
        <v>UVI10002000</v>
      </c>
      <c r="E83" s="1054">
        <f t="shared" si="30"/>
        <v>1619.2297483999998</v>
      </c>
      <c r="F83" s="632">
        <v>19</v>
      </c>
      <c r="G83" s="633">
        <f>F83*CCBASE!$B$51</f>
        <v>684</v>
      </c>
      <c r="H83" s="633">
        <f>CCBASE!$I$11*B83/1000</f>
        <v>160.99296219999999</v>
      </c>
      <c r="I83" s="633"/>
      <c r="J83" s="633"/>
      <c r="K83" s="633"/>
      <c r="L83" s="633">
        <f>CCBASE!$I$14*B83/1000</f>
        <v>209.37365399999999</v>
      </c>
      <c r="M83" s="633"/>
      <c r="N83" s="633"/>
      <c r="O83" s="633">
        <f>CCBASE!$I$45*B83/1000</f>
        <v>9.9700000000000006</v>
      </c>
      <c r="P83" s="633">
        <f>CCBASE!$I$10</f>
        <v>30.661922000000001</v>
      </c>
      <c r="Q83" s="633">
        <f>CCBASE!$H$51</f>
        <v>5.16</v>
      </c>
      <c r="R83" s="633">
        <f>CCBASE!$I$4</f>
        <v>8.3986041999999994</v>
      </c>
      <c r="S83" s="633">
        <f>CCBASE!$I$8</f>
        <v>16.25526</v>
      </c>
      <c r="T83" s="633">
        <f>CCBASE!$I$44</f>
        <v>94.69</v>
      </c>
      <c r="U83" s="632"/>
      <c r="V83" s="632"/>
      <c r="W83" s="633">
        <f>CCBASE!$I$43*B83/1000</f>
        <v>88.624119999999991</v>
      </c>
      <c r="X83" s="633"/>
      <c r="Y83" s="633"/>
      <c r="Z83" s="633"/>
      <c r="AA83" s="633"/>
      <c r="AB83" s="633"/>
      <c r="AC83" s="633"/>
      <c r="AD83" s="633">
        <f>CCBASE!$I$39*2</f>
        <v>311.10322599999995</v>
      </c>
    </row>
    <row r="84" spans="1:30" x14ac:dyDescent="0.2">
      <c r="A84" s="631" t="s">
        <v>138</v>
      </c>
      <c r="B84" s="631">
        <v>1250</v>
      </c>
      <c r="C84" s="631">
        <v>2000</v>
      </c>
      <c r="D84" s="631" t="str">
        <f t="shared" si="37"/>
        <v>UVI12502000</v>
      </c>
      <c r="E84" s="1054">
        <f t="shared" si="30"/>
        <v>1736.46993245</v>
      </c>
      <c r="F84" s="632">
        <v>19</v>
      </c>
      <c r="G84" s="633">
        <f>F84*CCBASE!$B$51</f>
        <v>684</v>
      </c>
      <c r="H84" s="633">
        <f>CCBASE!$I$11*B84/1000</f>
        <v>201.24120274999999</v>
      </c>
      <c r="I84" s="633"/>
      <c r="J84" s="633"/>
      <c r="K84" s="633"/>
      <c r="L84" s="633">
        <f>CCBASE!$I$14*B84/1000</f>
        <v>261.71706749999998</v>
      </c>
      <c r="M84" s="633"/>
      <c r="N84" s="633"/>
      <c r="O84" s="633">
        <f>CCBASE!$I$45*B84/1000</f>
        <v>12.4625</v>
      </c>
      <c r="P84" s="633">
        <f>CCBASE!$I$10</f>
        <v>30.661922000000001</v>
      </c>
      <c r="Q84" s="633">
        <f>CCBASE!$H$51</f>
        <v>5.16</v>
      </c>
      <c r="R84" s="633">
        <f>CCBASE!$I$4</f>
        <v>8.3986041999999994</v>
      </c>
      <c r="S84" s="633">
        <f>CCBASE!$I$8</f>
        <v>16.25526</v>
      </c>
      <c r="T84" s="633">
        <f>CCBASE!$I$44</f>
        <v>94.69</v>
      </c>
      <c r="U84" s="632"/>
      <c r="V84" s="632"/>
      <c r="W84" s="633">
        <f>CCBASE!$I$43*B84/1000</f>
        <v>110.78014999999999</v>
      </c>
      <c r="X84" s="633"/>
      <c r="Y84" s="633"/>
      <c r="Z84" s="633"/>
      <c r="AA84" s="633"/>
      <c r="AB84" s="633"/>
      <c r="AC84" s="633"/>
      <c r="AD84" s="633">
        <f>CCBASE!$I$39*2</f>
        <v>311.10322599999995</v>
      </c>
    </row>
    <row r="85" spans="1:30" x14ac:dyDescent="0.2">
      <c r="A85" s="631" t="s">
        <v>138</v>
      </c>
      <c r="B85" s="631">
        <v>1500</v>
      </c>
      <c r="C85" s="631">
        <v>2000</v>
      </c>
      <c r="D85" s="631" t="str">
        <f t="shared" ref="D85" si="38">A85&amp;B85&amp;C85</f>
        <v>UVI15002000</v>
      </c>
      <c r="E85" s="1054">
        <f t="shared" si="30"/>
        <v>1853.7101164999997</v>
      </c>
      <c r="F85" s="632">
        <v>19</v>
      </c>
      <c r="G85" s="633">
        <f>F85*CCBASE!$B$51</f>
        <v>684</v>
      </c>
      <c r="H85" s="633">
        <f>CCBASE!$I$11*B85/1000</f>
        <v>241.48944329999998</v>
      </c>
      <c r="I85" s="633"/>
      <c r="J85" s="633"/>
      <c r="K85" s="633"/>
      <c r="L85" s="633">
        <f>CCBASE!$I$14*B85/1000</f>
        <v>314.06048099999998</v>
      </c>
      <c r="M85" s="633"/>
      <c r="N85" s="633"/>
      <c r="O85" s="633">
        <f>CCBASE!$I$45*B85/1000</f>
        <v>14.955000000000002</v>
      </c>
      <c r="P85" s="633">
        <f>CCBASE!$I$10</f>
        <v>30.661922000000001</v>
      </c>
      <c r="Q85" s="633">
        <f>CCBASE!$H$51</f>
        <v>5.16</v>
      </c>
      <c r="R85" s="633">
        <f>CCBASE!$I$4</f>
        <v>8.3986041999999994</v>
      </c>
      <c r="S85" s="633">
        <f>CCBASE!$I$8</f>
        <v>16.25526</v>
      </c>
      <c r="T85" s="633">
        <f>CCBASE!$I$44</f>
        <v>94.69</v>
      </c>
      <c r="U85" s="632"/>
      <c r="V85" s="632"/>
      <c r="W85" s="633">
        <f>CCBASE!$I$43*B85/1000</f>
        <v>132.93617999999998</v>
      </c>
      <c r="X85" s="633"/>
      <c r="Y85" s="633"/>
      <c r="Z85" s="633"/>
      <c r="AA85" s="633"/>
      <c r="AB85" s="633"/>
      <c r="AC85" s="633"/>
      <c r="AD85" s="633">
        <f>CCBASE!$I$39*2</f>
        <v>311.10322599999995</v>
      </c>
    </row>
    <row r="86" spans="1:30" x14ac:dyDescent="0.2">
      <c r="A86" s="631" t="s">
        <v>138</v>
      </c>
      <c r="B86" s="631">
        <v>1750</v>
      </c>
      <c r="C86" s="631">
        <v>2000</v>
      </c>
      <c r="D86" s="631" t="str">
        <f t="shared" ref="D86" si="39">A86&amp;B86&amp;C86</f>
        <v>UVI17502000</v>
      </c>
      <c r="E86" s="1054">
        <f t="shared" si="30"/>
        <v>1979.9995008499998</v>
      </c>
      <c r="F86" s="632">
        <v>19</v>
      </c>
      <c r="G86" s="633">
        <f>F86*CCBASE!$B$51</f>
        <v>684</v>
      </c>
      <c r="H86" s="633">
        <f>CCBASE!$I$11*B86/1000</f>
        <v>281.73768385</v>
      </c>
      <c r="I86" s="633"/>
      <c r="J86" s="633"/>
      <c r="K86" s="633"/>
      <c r="L86" s="633">
        <f>CCBASE!$I$14*B86/1000</f>
        <v>366.40389449999998</v>
      </c>
      <c r="M86" s="633"/>
      <c r="N86" s="633"/>
      <c r="O86" s="633">
        <f>CCBASE!$I$45*B86/1000</f>
        <v>17.447500000000002</v>
      </c>
      <c r="P86" s="633">
        <f>CCBASE!$I$9</f>
        <v>39.7111223</v>
      </c>
      <c r="Q86" s="633">
        <f>CCBASE!$H$51</f>
        <v>5.16</v>
      </c>
      <c r="R86" s="633">
        <f>CCBASE!$I$4</f>
        <v>8.3986041999999994</v>
      </c>
      <c r="S86" s="633">
        <f>CCBASE!$I$8</f>
        <v>16.25526</v>
      </c>
      <c r="T86" s="633">
        <f>CCBASE!$I$44</f>
        <v>94.69</v>
      </c>
      <c r="U86" s="632"/>
      <c r="V86" s="632"/>
      <c r="W86" s="633">
        <f>CCBASE!$I$43*B86/1000</f>
        <v>155.09220999999999</v>
      </c>
      <c r="X86" s="633"/>
      <c r="Y86" s="633"/>
      <c r="Z86" s="633"/>
      <c r="AA86" s="633"/>
      <c r="AB86" s="633"/>
      <c r="AC86" s="633"/>
      <c r="AD86" s="633">
        <f>CCBASE!$I$39*2</f>
        <v>311.10322599999995</v>
      </c>
    </row>
    <row r="87" spans="1:30" x14ac:dyDescent="0.2">
      <c r="A87" s="631" t="s">
        <v>138</v>
      </c>
      <c r="B87" s="631">
        <v>2000</v>
      </c>
      <c r="C87" s="631">
        <v>2000</v>
      </c>
      <c r="D87" s="631" t="str">
        <f t="shared" ref="D87" si="40">A87&amp;B87&amp;C87</f>
        <v>UVI20002000</v>
      </c>
      <c r="E87" s="1054">
        <f t="shared" si="30"/>
        <v>2097.2396848999997</v>
      </c>
      <c r="F87" s="632">
        <v>19</v>
      </c>
      <c r="G87" s="633">
        <f>F87*CCBASE!$B$51</f>
        <v>684</v>
      </c>
      <c r="H87" s="633">
        <f>CCBASE!$I$11*B87/1000</f>
        <v>321.98592439999999</v>
      </c>
      <c r="I87" s="633"/>
      <c r="J87" s="633"/>
      <c r="K87" s="633"/>
      <c r="L87" s="633">
        <f>CCBASE!$I$14*B87/1000</f>
        <v>418.74730799999998</v>
      </c>
      <c r="M87" s="633"/>
      <c r="N87" s="633"/>
      <c r="O87" s="633">
        <f>CCBASE!$I$45*B87/1000</f>
        <v>19.940000000000001</v>
      </c>
      <c r="P87" s="633">
        <f>CCBASE!$I$9</f>
        <v>39.7111223</v>
      </c>
      <c r="Q87" s="633">
        <f>CCBASE!$H$51</f>
        <v>5.16</v>
      </c>
      <c r="R87" s="633">
        <f>CCBASE!$I$4</f>
        <v>8.3986041999999994</v>
      </c>
      <c r="S87" s="633">
        <f>CCBASE!$I$8</f>
        <v>16.25526</v>
      </c>
      <c r="T87" s="633">
        <f>CCBASE!$I$44</f>
        <v>94.69</v>
      </c>
      <c r="U87" s="632"/>
      <c r="V87" s="632"/>
      <c r="W87" s="633">
        <f>CCBASE!$I$43*B87/1000</f>
        <v>177.24823999999998</v>
      </c>
      <c r="X87" s="633"/>
      <c r="Y87" s="633"/>
      <c r="Z87" s="633"/>
      <c r="AA87" s="633"/>
      <c r="AB87" s="633"/>
      <c r="AC87" s="633"/>
      <c r="AD87" s="633">
        <f>CCBASE!$I$39*2</f>
        <v>311.10322599999995</v>
      </c>
    </row>
    <row r="88" spans="1:30" x14ac:dyDescent="0.2">
      <c r="A88" s="631" t="s">
        <v>138</v>
      </c>
      <c r="B88" s="631">
        <v>2250</v>
      </c>
      <c r="C88" s="631">
        <v>2000</v>
      </c>
      <c r="D88" s="631" t="str">
        <f t="shared" ref="D88:D90" si="41">A88&amp;B88&amp;C88</f>
        <v>UVI22502000</v>
      </c>
      <c r="E88" s="1054">
        <f t="shared" si="30"/>
        <v>2394.4798689499994</v>
      </c>
      <c r="F88" s="632">
        <v>24</v>
      </c>
      <c r="G88" s="633">
        <f>F88*CCBASE!$B$51</f>
        <v>864</v>
      </c>
      <c r="H88" s="633">
        <f>CCBASE!$I$11*B88/1000</f>
        <v>362.23416494999998</v>
      </c>
      <c r="I88" s="633"/>
      <c r="J88" s="633"/>
      <c r="K88" s="633"/>
      <c r="L88" s="633">
        <f>CCBASE!$I$14*B88/1000</f>
        <v>471.09072149999997</v>
      </c>
      <c r="M88" s="633"/>
      <c r="N88" s="633"/>
      <c r="O88" s="633">
        <f>CCBASE!$I$45*B88/1000</f>
        <v>22.432500000000001</v>
      </c>
      <c r="P88" s="633">
        <f>CCBASE!$I$9</f>
        <v>39.7111223</v>
      </c>
      <c r="Q88" s="633">
        <f>CCBASE!$H$51</f>
        <v>5.16</v>
      </c>
      <c r="R88" s="633">
        <f>CCBASE!$I$4</f>
        <v>8.3986041999999994</v>
      </c>
      <c r="S88" s="633">
        <f>CCBASE!$I$8</f>
        <v>16.25526</v>
      </c>
      <c r="T88" s="633">
        <f>CCBASE!$I$44</f>
        <v>94.69</v>
      </c>
      <c r="U88" s="632"/>
      <c r="V88" s="632"/>
      <c r="W88" s="633">
        <f>CCBASE!$I$43*B88/1000</f>
        <v>199.40427</v>
      </c>
      <c r="X88" s="633"/>
      <c r="Y88" s="633"/>
      <c r="Z88" s="633"/>
      <c r="AA88" s="633"/>
      <c r="AB88" s="633"/>
      <c r="AC88" s="633"/>
      <c r="AD88" s="633">
        <f>CCBASE!$I$39*2</f>
        <v>311.10322599999995</v>
      </c>
    </row>
    <row r="89" spans="1:30" x14ac:dyDescent="0.2">
      <c r="A89" s="631" t="s">
        <v>138</v>
      </c>
      <c r="B89" s="631">
        <v>2500</v>
      </c>
      <c r="C89" s="631">
        <v>2000</v>
      </c>
      <c r="D89" s="631" t="str">
        <f t="shared" si="41"/>
        <v>UVI25002000</v>
      </c>
      <c r="E89" s="1054">
        <f t="shared" si="30"/>
        <v>2511.720053</v>
      </c>
      <c r="F89" s="632">
        <v>24</v>
      </c>
      <c r="G89" s="633">
        <f>F89*CCBASE!$B$51</f>
        <v>864</v>
      </c>
      <c r="H89" s="633">
        <f>CCBASE!$I$11*B89/1000</f>
        <v>402.48240549999997</v>
      </c>
      <c r="I89" s="633"/>
      <c r="J89" s="633"/>
      <c r="K89" s="633"/>
      <c r="L89" s="633">
        <f>CCBASE!$I$14*B89/1000</f>
        <v>523.43413499999997</v>
      </c>
      <c r="M89" s="633"/>
      <c r="N89" s="633"/>
      <c r="O89" s="633">
        <f>CCBASE!$I$45*B89/1000</f>
        <v>24.925000000000001</v>
      </c>
      <c r="P89" s="633">
        <f>CCBASE!$I$9</f>
        <v>39.7111223</v>
      </c>
      <c r="Q89" s="633">
        <f>CCBASE!$H$51</f>
        <v>5.16</v>
      </c>
      <c r="R89" s="633">
        <f>CCBASE!$I$4</f>
        <v>8.3986041999999994</v>
      </c>
      <c r="S89" s="633">
        <f>CCBASE!$I$8</f>
        <v>16.25526</v>
      </c>
      <c r="T89" s="633">
        <f>CCBASE!$I$44</f>
        <v>94.69</v>
      </c>
      <c r="U89" s="632"/>
      <c r="V89" s="632"/>
      <c r="W89" s="633">
        <f>CCBASE!$I$43*B89/1000</f>
        <v>221.56029999999998</v>
      </c>
      <c r="X89" s="633"/>
      <c r="Y89" s="633"/>
      <c r="Z89" s="633"/>
      <c r="AA89" s="633"/>
      <c r="AB89" s="633"/>
      <c r="AC89" s="633"/>
      <c r="AD89" s="633">
        <f>CCBASE!$I$39*2</f>
        <v>311.10322599999995</v>
      </c>
    </row>
    <row r="90" spans="1:30" x14ac:dyDescent="0.2">
      <c r="A90" s="631" t="s">
        <v>138</v>
      </c>
      <c r="B90" s="631">
        <v>2750</v>
      </c>
      <c r="C90" s="631">
        <v>2000</v>
      </c>
      <c r="D90" s="631" t="str">
        <f t="shared" si="41"/>
        <v>UVI27502000</v>
      </c>
      <c r="E90" s="1054">
        <f t="shared" si="30"/>
        <v>2628.9602370499997</v>
      </c>
      <c r="F90" s="632">
        <v>24</v>
      </c>
      <c r="G90" s="633">
        <f>F90*CCBASE!$B$51</f>
        <v>864</v>
      </c>
      <c r="H90" s="633">
        <f>CCBASE!$I$11*B90/1000</f>
        <v>442.73064604999996</v>
      </c>
      <c r="I90" s="633"/>
      <c r="J90" s="633"/>
      <c r="K90" s="633"/>
      <c r="L90" s="633">
        <f>CCBASE!$I$14*B90/1000</f>
        <v>575.77754849999997</v>
      </c>
      <c r="M90" s="633"/>
      <c r="N90" s="633"/>
      <c r="O90" s="633">
        <f>CCBASE!$I$45*B90/1000</f>
        <v>27.4175</v>
      </c>
      <c r="P90" s="633">
        <f>CCBASE!$I$9</f>
        <v>39.7111223</v>
      </c>
      <c r="Q90" s="633">
        <f>CCBASE!$H$51</f>
        <v>5.16</v>
      </c>
      <c r="R90" s="633">
        <f>CCBASE!$I$4</f>
        <v>8.3986041999999994</v>
      </c>
      <c r="S90" s="633">
        <f>CCBASE!$I$8</f>
        <v>16.25526</v>
      </c>
      <c r="T90" s="633">
        <f>CCBASE!$I$44</f>
        <v>94.69</v>
      </c>
      <c r="U90" s="632"/>
      <c r="V90" s="632"/>
      <c r="W90" s="633">
        <f>CCBASE!$I$43*B90/1000</f>
        <v>243.71633</v>
      </c>
      <c r="X90" s="633"/>
      <c r="Y90" s="633"/>
      <c r="Z90" s="633"/>
      <c r="AA90" s="633"/>
      <c r="AB90" s="633"/>
      <c r="AC90" s="633"/>
      <c r="AD90" s="633">
        <f>CCBASE!$I$39*2</f>
        <v>311.10322599999995</v>
      </c>
    </row>
    <row r="91" spans="1:30" x14ac:dyDescent="0.2">
      <c r="A91" s="631" t="s">
        <v>138</v>
      </c>
      <c r="B91" s="631">
        <v>3000</v>
      </c>
      <c r="C91" s="631">
        <v>2000</v>
      </c>
      <c r="D91" s="631" t="str">
        <f t="shared" ref="D91:D99" si="42">A91&amp;B91&amp;C91</f>
        <v>UVI30002000</v>
      </c>
      <c r="E91" s="1054">
        <f t="shared" si="30"/>
        <v>2746.2004210999994</v>
      </c>
      <c r="F91" s="632">
        <v>24</v>
      </c>
      <c r="G91" s="633">
        <f>F91*CCBASE!$B$51</f>
        <v>864</v>
      </c>
      <c r="H91" s="633">
        <f>CCBASE!$I$11*B91/1000</f>
        <v>482.97888659999995</v>
      </c>
      <c r="I91" s="633"/>
      <c r="J91" s="633"/>
      <c r="K91" s="633"/>
      <c r="L91" s="633">
        <f>CCBASE!$I$14*B91/1000</f>
        <v>628.12096199999996</v>
      </c>
      <c r="M91" s="633"/>
      <c r="N91" s="633"/>
      <c r="O91" s="633">
        <f>CCBASE!$I$45*B91/1000</f>
        <v>29.910000000000004</v>
      </c>
      <c r="P91" s="633">
        <f>CCBASE!$I$9</f>
        <v>39.7111223</v>
      </c>
      <c r="Q91" s="633">
        <f>CCBASE!$H$51</f>
        <v>5.16</v>
      </c>
      <c r="R91" s="633">
        <f>CCBASE!$I$4</f>
        <v>8.3986041999999994</v>
      </c>
      <c r="S91" s="633">
        <f>CCBASE!$I$8</f>
        <v>16.25526</v>
      </c>
      <c r="T91" s="633">
        <f>CCBASE!$I$44</f>
        <v>94.69</v>
      </c>
      <c r="U91" s="632"/>
      <c r="V91" s="632"/>
      <c r="W91" s="633">
        <f>CCBASE!$I$43*B91/1000</f>
        <v>265.87235999999996</v>
      </c>
      <c r="X91" s="633"/>
      <c r="Y91" s="633"/>
      <c r="Z91" s="633"/>
      <c r="AA91" s="633"/>
      <c r="AB91" s="633"/>
      <c r="AC91" s="633"/>
      <c r="AD91" s="633">
        <f>CCBASE!$I$39*2</f>
        <v>311.10322599999995</v>
      </c>
    </row>
    <row r="92" spans="1:30" x14ac:dyDescent="0.2">
      <c r="A92" s="631" t="s">
        <v>178</v>
      </c>
      <c r="B92" s="631">
        <v>1000</v>
      </c>
      <c r="C92" s="631">
        <v>1000</v>
      </c>
      <c r="D92" s="631" t="str">
        <f t="shared" si="42"/>
        <v>UVF10001000</v>
      </c>
      <c r="E92" s="1054">
        <f t="shared" si="30"/>
        <v>1836.9968474</v>
      </c>
      <c r="F92" s="632">
        <v>27.5</v>
      </c>
      <c r="G92" s="633">
        <f>F92*CCBASE!$B$51</f>
        <v>990</v>
      </c>
      <c r="H92" s="633">
        <f>CCBASE!$I$11*B92/1000</f>
        <v>160.99296219999999</v>
      </c>
      <c r="I92" s="633"/>
      <c r="J92" s="633"/>
      <c r="K92" s="633"/>
      <c r="L92" s="633">
        <f>CCBASE!$I$13*B92/1000</f>
        <v>239.537655</v>
      </c>
      <c r="M92" s="633"/>
      <c r="N92" s="633">
        <f>CCBASE!$I$7*B92/1000</f>
        <v>31.542280000000002</v>
      </c>
      <c r="O92" s="633">
        <f>CCBASE!$I$45*B92/1000</f>
        <v>9.9700000000000006</v>
      </c>
      <c r="P92" s="633">
        <f>CCBASE!$I$10</f>
        <v>30.661922000000001</v>
      </c>
      <c r="Q92" s="633">
        <f>CCBASE!$H$51</f>
        <v>5.16</v>
      </c>
      <c r="R92" s="633">
        <f>CCBASE!$I$4</f>
        <v>8.3986041999999994</v>
      </c>
      <c r="S92" s="633">
        <f>CCBASE!$I$8</f>
        <v>16.25526</v>
      </c>
      <c r="T92" s="633">
        <f>CCBASE!$I$44</f>
        <v>94.69</v>
      </c>
      <c r="U92" s="633">
        <f>CCBASE!$I$47</f>
        <v>14.41</v>
      </c>
      <c r="V92" s="633">
        <f>CCBASE!$I$46</f>
        <v>2.44</v>
      </c>
      <c r="W92" s="633">
        <f>CCBASE!$I$40*B92/1000</f>
        <v>41.308039999999998</v>
      </c>
      <c r="X92" s="633"/>
      <c r="Y92" s="633"/>
      <c r="Z92" s="633"/>
      <c r="AA92" s="633"/>
      <c r="AB92" s="633"/>
      <c r="AC92" s="633"/>
      <c r="AD92" s="633">
        <f>CCBASE!$I$36*2</f>
        <v>191.630124</v>
      </c>
    </row>
    <row r="93" spans="1:30" x14ac:dyDescent="0.2">
      <c r="A93" s="631" t="s">
        <v>178</v>
      </c>
      <c r="B93" s="631">
        <v>1250</v>
      </c>
      <c r="C93" s="631">
        <v>1000</v>
      </c>
      <c r="D93" s="631" t="str">
        <f t="shared" ref="D93" si="43">A93&amp;B93&amp;C93</f>
        <v>UVF12501000</v>
      </c>
      <c r="E93" s="1054">
        <f t="shared" si="30"/>
        <v>1972.2445817000003</v>
      </c>
      <c r="F93" s="632">
        <v>27.5</v>
      </c>
      <c r="G93" s="633">
        <f>F93*CCBASE!$B$51</f>
        <v>990</v>
      </c>
      <c r="H93" s="633">
        <f>CCBASE!$I$11*B93/1000</f>
        <v>201.24120274999999</v>
      </c>
      <c r="I93" s="633"/>
      <c r="J93" s="633"/>
      <c r="K93" s="633"/>
      <c r="L93" s="633">
        <f>CCBASE!$I$13*B93/1000</f>
        <v>299.42206874999999</v>
      </c>
      <c r="M93" s="633"/>
      <c r="N93" s="633">
        <f>CCBASE!$I$7*B93/1000</f>
        <v>39.427849999999999</v>
      </c>
      <c r="O93" s="633">
        <f>CCBASE!$I$45*B93/1000</f>
        <v>12.4625</v>
      </c>
      <c r="P93" s="633">
        <f>CCBASE!$I$10</f>
        <v>30.661922000000001</v>
      </c>
      <c r="Q93" s="633">
        <f>CCBASE!$H$51</f>
        <v>5.16</v>
      </c>
      <c r="R93" s="633">
        <f>CCBASE!$I$4</f>
        <v>8.3986041999999994</v>
      </c>
      <c r="S93" s="633">
        <f>CCBASE!$I$8</f>
        <v>16.25526</v>
      </c>
      <c r="T93" s="633">
        <f>CCBASE!$I$44</f>
        <v>94.69</v>
      </c>
      <c r="U93" s="633">
        <f>CCBASE!$I$47*2</f>
        <v>28.82</v>
      </c>
      <c r="V93" s="633">
        <f>CCBASE!$I$46</f>
        <v>2.44</v>
      </c>
      <c r="W93" s="633">
        <f>CCBASE!$I$40*B93/1000</f>
        <v>51.635049999999993</v>
      </c>
      <c r="X93" s="633"/>
      <c r="Y93" s="633"/>
      <c r="Z93" s="633"/>
      <c r="AA93" s="633"/>
      <c r="AB93" s="633"/>
      <c r="AC93" s="633"/>
      <c r="AD93" s="633">
        <f>CCBASE!$I$36*2</f>
        <v>191.630124</v>
      </c>
    </row>
    <row r="94" spans="1:30" x14ac:dyDescent="0.2">
      <c r="A94" s="631" t="s">
        <v>178</v>
      </c>
      <c r="B94" s="631">
        <v>1500</v>
      </c>
      <c r="C94" s="631">
        <v>1000</v>
      </c>
      <c r="D94" s="631" t="str">
        <f t="shared" si="42"/>
        <v>UVF15001000</v>
      </c>
      <c r="E94" s="1054">
        <f t="shared" si="30"/>
        <v>2093.0823159999995</v>
      </c>
      <c r="F94" s="632">
        <v>27.5</v>
      </c>
      <c r="G94" s="633">
        <f>F94*CCBASE!$B$51</f>
        <v>990</v>
      </c>
      <c r="H94" s="633">
        <f>CCBASE!$I$11*B94/1000</f>
        <v>241.48944329999998</v>
      </c>
      <c r="I94" s="633"/>
      <c r="J94" s="633"/>
      <c r="K94" s="633"/>
      <c r="L94" s="633">
        <f>CCBASE!$I$13*B94/1000</f>
        <v>359.30648249999996</v>
      </c>
      <c r="M94" s="633"/>
      <c r="N94" s="633">
        <f>CCBASE!$I$7*B94/1000</f>
        <v>47.313420000000008</v>
      </c>
      <c r="O94" s="633">
        <f>CCBASE!$I$45*B94/1000</f>
        <v>14.955000000000002</v>
      </c>
      <c r="P94" s="633">
        <f>CCBASE!$I$10</f>
        <v>30.661922000000001</v>
      </c>
      <c r="Q94" s="633">
        <f>CCBASE!$H$51</f>
        <v>5.16</v>
      </c>
      <c r="R94" s="633">
        <f>CCBASE!$I$4</f>
        <v>8.3986041999999994</v>
      </c>
      <c r="S94" s="633">
        <f>CCBASE!$I$8</f>
        <v>16.25526</v>
      </c>
      <c r="T94" s="633">
        <f>CCBASE!$I$44</f>
        <v>94.69</v>
      </c>
      <c r="U94" s="633">
        <f>CCBASE!$I$47*2</f>
        <v>28.82</v>
      </c>
      <c r="V94" s="633">
        <f>CCBASE!$I$46</f>
        <v>2.44</v>
      </c>
      <c r="W94" s="633">
        <f>CCBASE!$I$40*B94/1000</f>
        <v>61.962060000000001</v>
      </c>
      <c r="X94" s="633"/>
      <c r="Y94" s="633"/>
      <c r="Z94" s="633"/>
      <c r="AA94" s="633"/>
      <c r="AB94" s="633"/>
      <c r="AC94" s="633"/>
      <c r="AD94" s="633">
        <f>CCBASE!$I$36*2</f>
        <v>191.630124</v>
      </c>
    </row>
    <row r="95" spans="1:30" x14ac:dyDescent="0.2">
      <c r="A95" s="631" t="s">
        <v>178</v>
      </c>
      <c r="B95" s="631">
        <v>1750</v>
      </c>
      <c r="C95" s="631">
        <v>1000</v>
      </c>
      <c r="D95" s="631" t="str">
        <f t="shared" ref="D95" si="44">A95&amp;B95&amp;C95</f>
        <v>UVF17501000</v>
      </c>
      <c r="E95" s="1054">
        <f t="shared" si="30"/>
        <v>2224.1892505999999</v>
      </c>
      <c r="F95" s="632">
        <v>27.5</v>
      </c>
      <c r="G95" s="633">
        <f>F95*CCBASE!$B$51</f>
        <v>990</v>
      </c>
      <c r="H95" s="633">
        <f>CCBASE!$I$11*B95/1000</f>
        <v>281.73768385</v>
      </c>
      <c r="I95" s="633"/>
      <c r="J95" s="633"/>
      <c r="K95" s="633"/>
      <c r="L95" s="633">
        <f>CCBASE!$I$13*B95/1000</f>
        <v>419.19089624999998</v>
      </c>
      <c r="M95" s="633"/>
      <c r="N95" s="633">
        <f>CCBASE!$I$7*B95/1000</f>
        <v>55.198990000000002</v>
      </c>
      <c r="O95" s="633">
        <f>CCBASE!$I$45*B95/1000</f>
        <v>17.447500000000002</v>
      </c>
      <c r="P95" s="633">
        <f>CCBASE!$I$9</f>
        <v>39.7111223</v>
      </c>
      <c r="Q95" s="633">
        <f>CCBASE!$H$51</f>
        <v>5.16</v>
      </c>
      <c r="R95" s="633">
        <f>CCBASE!$I$4</f>
        <v>8.3986041999999994</v>
      </c>
      <c r="S95" s="633">
        <f>CCBASE!$I$8</f>
        <v>16.25526</v>
      </c>
      <c r="T95" s="633">
        <f>CCBASE!$I$44</f>
        <v>94.69</v>
      </c>
      <c r="U95" s="633">
        <f>CCBASE!$I$47*2</f>
        <v>28.82</v>
      </c>
      <c r="V95" s="633">
        <f>CCBASE!$I$46*1.5</f>
        <v>3.66</v>
      </c>
      <c r="W95" s="633">
        <f>CCBASE!$I$40*B95/1000</f>
        <v>72.289069999999995</v>
      </c>
      <c r="X95" s="633"/>
      <c r="Y95" s="633"/>
      <c r="Z95" s="633"/>
      <c r="AA95" s="633"/>
      <c r="AB95" s="633"/>
      <c r="AC95" s="633"/>
      <c r="AD95" s="633">
        <f>CCBASE!$I$36*2</f>
        <v>191.630124</v>
      </c>
    </row>
    <row r="96" spans="1:30" x14ac:dyDescent="0.2">
      <c r="A96" s="631" t="s">
        <v>178</v>
      </c>
      <c r="B96" s="631">
        <v>2000</v>
      </c>
      <c r="C96" s="631">
        <v>1000</v>
      </c>
      <c r="D96" s="631" t="str">
        <f t="shared" si="42"/>
        <v>UVF20001000</v>
      </c>
      <c r="E96" s="1054">
        <f t="shared" si="30"/>
        <v>2345.0269848999992</v>
      </c>
      <c r="F96" s="632">
        <v>27.5</v>
      </c>
      <c r="G96" s="633">
        <f>F96*CCBASE!$B$51</f>
        <v>990</v>
      </c>
      <c r="H96" s="633">
        <f>CCBASE!$I$11*B96/1000</f>
        <v>321.98592439999999</v>
      </c>
      <c r="I96" s="633"/>
      <c r="J96" s="633"/>
      <c r="K96" s="633"/>
      <c r="L96" s="633">
        <f>CCBASE!$I$13*B96/1000</f>
        <v>479.07531</v>
      </c>
      <c r="M96" s="633"/>
      <c r="N96" s="633">
        <f>CCBASE!$I$7*B96/1000</f>
        <v>63.084560000000003</v>
      </c>
      <c r="O96" s="633">
        <f>CCBASE!$I$45*B96/1000</f>
        <v>19.940000000000001</v>
      </c>
      <c r="P96" s="633">
        <f>CCBASE!$I$9</f>
        <v>39.7111223</v>
      </c>
      <c r="Q96" s="633">
        <f>CCBASE!$H$51</f>
        <v>5.16</v>
      </c>
      <c r="R96" s="633">
        <f>CCBASE!$I$4</f>
        <v>8.3986041999999994</v>
      </c>
      <c r="S96" s="633">
        <f>CCBASE!$I$8</f>
        <v>16.25526</v>
      </c>
      <c r="T96" s="633">
        <f>CCBASE!$I$44</f>
        <v>94.69</v>
      </c>
      <c r="U96" s="633">
        <f>CCBASE!$I$47*2</f>
        <v>28.82</v>
      </c>
      <c r="V96" s="633">
        <f>CCBASE!$I$46*1.5</f>
        <v>3.66</v>
      </c>
      <c r="W96" s="633">
        <f>CCBASE!$I$40*B96/1000</f>
        <v>82.616079999999997</v>
      </c>
      <c r="X96" s="633"/>
      <c r="Y96" s="633"/>
      <c r="Z96" s="633"/>
      <c r="AA96" s="633"/>
      <c r="AB96" s="633"/>
      <c r="AC96" s="633"/>
      <c r="AD96" s="633">
        <f>CCBASE!$I$36*2</f>
        <v>191.630124</v>
      </c>
    </row>
    <row r="97" spans="1:30" x14ac:dyDescent="0.2">
      <c r="A97" s="631" t="s">
        <v>178</v>
      </c>
      <c r="B97" s="631">
        <v>2250</v>
      </c>
      <c r="C97" s="631">
        <v>1000</v>
      </c>
      <c r="D97" s="631" t="str">
        <f t="shared" ref="D97" si="45">A97&amp;B97&amp;C97</f>
        <v>UVF22501000</v>
      </c>
      <c r="E97" s="1054">
        <f t="shared" si="30"/>
        <v>2537.8647191999999</v>
      </c>
      <c r="F97" s="632">
        <v>29.5</v>
      </c>
      <c r="G97" s="633">
        <f>F97*CCBASE!$B$51</f>
        <v>1062</v>
      </c>
      <c r="H97" s="633">
        <f>CCBASE!$I$11*B97/1000</f>
        <v>362.23416494999998</v>
      </c>
      <c r="I97" s="633"/>
      <c r="J97" s="633"/>
      <c r="K97" s="633"/>
      <c r="L97" s="633">
        <f>CCBASE!$I$13*B97/1000</f>
        <v>538.95972374999997</v>
      </c>
      <c r="M97" s="633"/>
      <c r="N97" s="633">
        <f>CCBASE!$I$7*B97/1000</f>
        <v>70.970130000000012</v>
      </c>
      <c r="O97" s="633">
        <f>CCBASE!$I$45*B97/1000</f>
        <v>22.432500000000001</v>
      </c>
      <c r="P97" s="633">
        <f>CCBASE!$I$9</f>
        <v>39.7111223</v>
      </c>
      <c r="Q97" s="633">
        <f>CCBASE!$H$51</f>
        <v>5.16</v>
      </c>
      <c r="R97" s="633">
        <f>CCBASE!$I$4</f>
        <v>8.3986041999999994</v>
      </c>
      <c r="S97" s="633">
        <f>CCBASE!$I$8</f>
        <v>16.25526</v>
      </c>
      <c r="T97" s="633">
        <f>CCBASE!$I$44</f>
        <v>94.69</v>
      </c>
      <c r="U97" s="633">
        <f>CCBASE!$I$47*2</f>
        <v>28.82</v>
      </c>
      <c r="V97" s="633">
        <f>CCBASE!$I$46*1.5</f>
        <v>3.66</v>
      </c>
      <c r="W97" s="633">
        <f>CCBASE!$I$40*B97/1000</f>
        <v>92.943089999999998</v>
      </c>
      <c r="X97" s="633"/>
      <c r="Y97" s="633"/>
      <c r="Z97" s="633"/>
      <c r="AA97" s="633"/>
      <c r="AB97" s="633"/>
      <c r="AC97" s="633"/>
      <c r="AD97" s="633">
        <f>CCBASE!$I$36*2</f>
        <v>191.630124</v>
      </c>
    </row>
    <row r="98" spans="1:30" x14ac:dyDescent="0.2">
      <c r="A98" s="631" t="s">
        <v>178</v>
      </c>
      <c r="B98" s="631">
        <v>2500</v>
      </c>
      <c r="C98" s="631">
        <v>1000</v>
      </c>
      <c r="D98" s="631" t="str">
        <f t="shared" si="42"/>
        <v>UVF25001000</v>
      </c>
      <c r="E98" s="1054">
        <f t="shared" si="30"/>
        <v>2658.7024535000005</v>
      </c>
      <c r="F98" s="632">
        <v>29.5</v>
      </c>
      <c r="G98" s="633">
        <f>F98*CCBASE!$B$51</f>
        <v>1062</v>
      </c>
      <c r="H98" s="633">
        <f>CCBASE!$I$11*B98/1000</f>
        <v>402.48240549999997</v>
      </c>
      <c r="I98" s="633"/>
      <c r="J98" s="633"/>
      <c r="K98" s="633"/>
      <c r="L98" s="633">
        <f>CCBASE!$I$13*B98/1000</f>
        <v>598.84413749999999</v>
      </c>
      <c r="M98" s="633"/>
      <c r="N98" s="633">
        <f>CCBASE!$I$7*B98/1000</f>
        <v>78.855699999999999</v>
      </c>
      <c r="O98" s="633">
        <f>CCBASE!$I$45*B98/1000</f>
        <v>24.925000000000001</v>
      </c>
      <c r="P98" s="633">
        <f>CCBASE!$I$9</f>
        <v>39.7111223</v>
      </c>
      <c r="Q98" s="633">
        <f>CCBASE!$H$51</f>
        <v>5.16</v>
      </c>
      <c r="R98" s="633">
        <f>CCBASE!$I$4</f>
        <v>8.3986041999999994</v>
      </c>
      <c r="S98" s="633">
        <f>CCBASE!$I$8</f>
        <v>16.25526</v>
      </c>
      <c r="T98" s="633">
        <f>CCBASE!$I$44</f>
        <v>94.69</v>
      </c>
      <c r="U98" s="633">
        <f>CCBASE!$I$47*2</f>
        <v>28.82</v>
      </c>
      <c r="V98" s="633">
        <f>CCBASE!$I$46*1.5</f>
        <v>3.66</v>
      </c>
      <c r="W98" s="633">
        <f>CCBASE!$I$40*B98/1000</f>
        <v>103.27009999999999</v>
      </c>
      <c r="X98" s="633"/>
      <c r="Y98" s="633"/>
      <c r="Z98" s="633"/>
      <c r="AA98" s="633"/>
      <c r="AB98" s="633"/>
      <c r="AC98" s="633"/>
      <c r="AD98" s="633">
        <f>CCBASE!$I$36*2</f>
        <v>191.630124</v>
      </c>
    </row>
    <row r="99" spans="1:30" x14ac:dyDescent="0.2">
      <c r="A99" s="631" t="s">
        <v>178</v>
      </c>
      <c r="B99" s="631">
        <v>2750</v>
      </c>
      <c r="C99" s="631">
        <v>1000</v>
      </c>
      <c r="D99" s="631" t="str">
        <f t="shared" si="42"/>
        <v>UVF27501000</v>
      </c>
      <c r="E99" s="1054">
        <f t="shared" si="30"/>
        <v>2779.5401877999998</v>
      </c>
      <c r="F99" s="632">
        <v>29.5</v>
      </c>
      <c r="G99" s="633">
        <f>F99*CCBASE!$B$51</f>
        <v>1062</v>
      </c>
      <c r="H99" s="633">
        <f>CCBASE!$I$11*B99/1000</f>
        <v>442.73064604999996</v>
      </c>
      <c r="I99" s="633"/>
      <c r="J99" s="633"/>
      <c r="K99" s="633"/>
      <c r="L99" s="633">
        <f>CCBASE!$I$13*B99/1000</f>
        <v>658.72855125000001</v>
      </c>
      <c r="M99" s="633"/>
      <c r="N99" s="633">
        <f>CCBASE!$I$7*B99/1000</f>
        <v>86.74127</v>
      </c>
      <c r="O99" s="633">
        <f>CCBASE!$I$45*B99/1000</f>
        <v>27.4175</v>
      </c>
      <c r="P99" s="633">
        <f>CCBASE!$I$9</f>
        <v>39.7111223</v>
      </c>
      <c r="Q99" s="633">
        <f>CCBASE!$H$51</f>
        <v>5.16</v>
      </c>
      <c r="R99" s="633">
        <f>CCBASE!$I$4</f>
        <v>8.3986041999999994</v>
      </c>
      <c r="S99" s="633">
        <f>CCBASE!$I$8</f>
        <v>16.25526</v>
      </c>
      <c r="T99" s="633">
        <f>CCBASE!$I$44</f>
        <v>94.69</v>
      </c>
      <c r="U99" s="633">
        <f>CCBASE!$I$47*2</f>
        <v>28.82</v>
      </c>
      <c r="V99" s="633">
        <f>CCBASE!$I$46*1.5</f>
        <v>3.66</v>
      </c>
      <c r="W99" s="633">
        <f>CCBASE!$I$40*B99/1000</f>
        <v>113.59711</v>
      </c>
      <c r="X99" s="633"/>
      <c r="Y99" s="633"/>
      <c r="Z99" s="633"/>
      <c r="AA99" s="633"/>
      <c r="AB99" s="633"/>
      <c r="AC99" s="633"/>
      <c r="AD99" s="633">
        <f>CCBASE!$I$36*2</f>
        <v>191.630124</v>
      </c>
    </row>
    <row r="100" spans="1:30" x14ac:dyDescent="0.2">
      <c r="A100" s="631" t="s">
        <v>178</v>
      </c>
      <c r="B100" s="631">
        <v>3000</v>
      </c>
      <c r="C100" s="631">
        <v>1000</v>
      </c>
      <c r="D100" s="631" t="str">
        <f t="shared" ref="D100" si="46">A100&amp;B100&amp;C100</f>
        <v>UVF30001000</v>
      </c>
      <c r="E100" s="1054">
        <f t="shared" si="30"/>
        <v>2900.3779220999995</v>
      </c>
      <c r="F100" s="632">
        <v>29.5</v>
      </c>
      <c r="G100" s="633">
        <f>F100*CCBASE!$B$51</f>
        <v>1062</v>
      </c>
      <c r="H100" s="633">
        <f>CCBASE!$I$11*B100/1000</f>
        <v>482.97888659999995</v>
      </c>
      <c r="I100" s="633"/>
      <c r="J100" s="633"/>
      <c r="K100" s="633"/>
      <c r="L100" s="633">
        <f>CCBASE!$I$13*B100/1000</f>
        <v>718.61296499999992</v>
      </c>
      <c r="M100" s="633"/>
      <c r="N100" s="633">
        <f>CCBASE!$I$7*B100/1000</f>
        <v>94.626840000000016</v>
      </c>
      <c r="O100" s="633">
        <f>CCBASE!$I$45*B100/1000</f>
        <v>29.910000000000004</v>
      </c>
      <c r="P100" s="633">
        <f>CCBASE!$I$9</f>
        <v>39.7111223</v>
      </c>
      <c r="Q100" s="633">
        <f>CCBASE!$H$51</f>
        <v>5.16</v>
      </c>
      <c r="R100" s="633">
        <f>CCBASE!$I$4</f>
        <v>8.3986041999999994</v>
      </c>
      <c r="S100" s="633">
        <f>CCBASE!$I$8</f>
        <v>16.25526</v>
      </c>
      <c r="T100" s="633">
        <f>CCBASE!$I$44</f>
        <v>94.69</v>
      </c>
      <c r="U100" s="633">
        <f>CCBASE!$I$47*2</f>
        <v>28.82</v>
      </c>
      <c r="V100" s="633">
        <f>CCBASE!$I$46*1.5</f>
        <v>3.66</v>
      </c>
      <c r="W100" s="633">
        <f>CCBASE!$I$40*B100/1000</f>
        <v>123.92412</v>
      </c>
      <c r="X100" s="633"/>
      <c r="Y100" s="633"/>
      <c r="Z100" s="633"/>
      <c r="AA100" s="633"/>
      <c r="AB100" s="633"/>
      <c r="AC100" s="633"/>
      <c r="AD100" s="633">
        <f>CCBASE!$I$36*2</f>
        <v>191.630124</v>
      </c>
    </row>
    <row r="101" spans="1:30" x14ac:dyDescent="0.2">
      <c r="A101" s="631" t="s">
        <v>178</v>
      </c>
      <c r="B101" s="631">
        <v>1000</v>
      </c>
      <c r="C101" s="631">
        <v>1250</v>
      </c>
      <c r="D101" s="631" t="str">
        <f t="shared" ref="D101:D127" si="47">A101&amp;B101&amp;C101</f>
        <v>UVF10001250</v>
      </c>
      <c r="E101" s="1054">
        <f t="shared" si="30"/>
        <v>1836.9968474</v>
      </c>
      <c r="F101" s="632">
        <v>27.5</v>
      </c>
      <c r="G101" s="633">
        <f>F101*CCBASE!$B$51</f>
        <v>990</v>
      </c>
      <c r="H101" s="633">
        <f>CCBASE!$I$11*B101/1000</f>
        <v>160.99296219999999</v>
      </c>
      <c r="I101" s="633"/>
      <c r="J101" s="633"/>
      <c r="K101" s="633"/>
      <c r="L101" s="633">
        <f>CCBASE!$I$13*B101/1000</f>
        <v>239.537655</v>
      </c>
      <c r="M101" s="633"/>
      <c r="N101" s="633">
        <f>CCBASE!$I$7*B101/1000</f>
        <v>31.542280000000002</v>
      </c>
      <c r="O101" s="633">
        <f>CCBASE!$I$45*B101/1000</f>
        <v>9.9700000000000006</v>
      </c>
      <c r="P101" s="633">
        <f>CCBASE!$I$10</f>
        <v>30.661922000000001</v>
      </c>
      <c r="Q101" s="633">
        <f>CCBASE!$H$51</f>
        <v>5.16</v>
      </c>
      <c r="R101" s="633">
        <f>CCBASE!$I$4</f>
        <v>8.3986041999999994</v>
      </c>
      <c r="S101" s="633">
        <f>CCBASE!$I$8</f>
        <v>16.25526</v>
      </c>
      <c r="T101" s="633">
        <f>CCBASE!$I$44</f>
        <v>94.69</v>
      </c>
      <c r="U101" s="633">
        <f>CCBASE!$I$47</f>
        <v>14.41</v>
      </c>
      <c r="V101" s="633">
        <f>CCBASE!$I$46</f>
        <v>2.44</v>
      </c>
      <c r="W101" s="633">
        <f>CCBASE!$I$40*B101/1000</f>
        <v>41.308039999999998</v>
      </c>
      <c r="X101" s="633"/>
      <c r="Y101" s="633"/>
      <c r="Z101" s="633"/>
      <c r="AA101" s="633"/>
      <c r="AB101" s="633"/>
      <c r="AC101" s="633"/>
      <c r="AD101" s="633">
        <f>CCBASE!$I$36*2</f>
        <v>191.630124</v>
      </c>
    </row>
    <row r="102" spans="1:30" x14ac:dyDescent="0.2">
      <c r="A102" s="631" t="s">
        <v>178</v>
      </c>
      <c r="B102" s="631">
        <v>1250</v>
      </c>
      <c r="C102" s="631">
        <v>1250</v>
      </c>
      <c r="D102" s="631" t="str">
        <f t="shared" ref="D102" si="48">A102&amp;B102&amp;C102</f>
        <v>UVF12501250</v>
      </c>
      <c r="E102" s="1054">
        <f t="shared" si="30"/>
        <v>1972.2445817000003</v>
      </c>
      <c r="F102" s="632">
        <v>27.5</v>
      </c>
      <c r="G102" s="633">
        <f>F102*CCBASE!$B$51</f>
        <v>990</v>
      </c>
      <c r="H102" s="633">
        <f>CCBASE!$I$11*B102/1000</f>
        <v>201.24120274999999</v>
      </c>
      <c r="I102" s="633"/>
      <c r="J102" s="633"/>
      <c r="K102" s="633"/>
      <c r="L102" s="633">
        <f>CCBASE!$I$13*B102/1000</f>
        <v>299.42206874999999</v>
      </c>
      <c r="M102" s="633"/>
      <c r="N102" s="633">
        <f>CCBASE!$I$7*B102/1000</f>
        <v>39.427849999999999</v>
      </c>
      <c r="O102" s="633">
        <f>CCBASE!$I$45*B102/1000</f>
        <v>12.4625</v>
      </c>
      <c r="P102" s="633">
        <f>CCBASE!$I$10</f>
        <v>30.661922000000001</v>
      </c>
      <c r="Q102" s="633">
        <f>CCBASE!$H$51</f>
        <v>5.16</v>
      </c>
      <c r="R102" s="633">
        <f>CCBASE!$I$4</f>
        <v>8.3986041999999994</v>
      </c>
      <c r="S102" s="633">
        <f>CCBASE!$I$8</f>
        <v>16.25526</v>
      </c>
      <c r="T102" s="633">
        <f>CCBASE!$I$44</f>
        <v>94.69</v>
      </c>
      <c r="U102" s="633">
        <f>CCBASE!$I$47*2</f>
        <v>28.82</v>
      </c>
      <c r="V102" s="633">
        <f>CCBASE!$I$46</f>
        <v>2.44</v>
      </c>
      <c r="W102" s="633">
        <f>CCBASE!$I$40*B102/1000</f>
        <v>51.635049999999993</v>
      </c>
      <c r="X102" s="633"/>
      <c r="Y102" s="633"/>
      <c r="Z102" s="633"/>
      <c r="AA102" s="633"/>
      <c r="AB102" s="633"/>
      <c r="AC102" s="633"/>
      <c r="AD102" s="633">
        <f>CCBASE!$I$36*2</f>
        <v>191.630124</v>
      </c>
    </row>
    <row r="103" spans="1:30" x14ac:dyDescent="0.2">
      <c r="A103" s="631" t="s">
        <v>178</v>
      </c>
      <c r="B103" s="631">
        <v>1500</v>
      </c>
      <c r="C103" s="631">
        <v>1250</v>
      </c>
      <c r="D103" s="631" t="str">
        <f t="shared" si="47"/>
        <v>UVF15001250</v>
      </c>
      <c r="E103" s="1054">
        <f t="shared" si="30"/>
        <v>2093.0823159999995</v>
      </c>
      <c r="F103" s="632">
        <v>27.5</v>
      </c>
      <c r="G103" s="633">
        <f>F103*CCBASE!$B$51</f>
        <v>990</v>
      </c>
      <c r="H103" s="633">
        <f>CCBASE!$I$11*B103/1000</f>
        <v>241.48944329999998</v>
      </c>
      <c r="I103" s="633"/>
      <c r="J103" s="633"/>
      <c r="K103" s="633"/>
      <c r="L103" s="633">
        <f>CCBASE!$I$13*B103/1000</f>
        <v>359.30648249999996</v>
      </c>
      <c r="M103" s="633"/>
      <c r="N103" s="633">
        <f>CCBASE!$I$7*B103/1000</f>
        <v>47.313420000000008</v>
      </c>
      <c r="O103" s="633">
        <f>CCBASE!$I$45*B103/1000</f>
        <v>14.955000000000002</v>
      </c>
      <c r="P103" s="633">
        <f>CCBASE!$I$10</f>
        <v>30.661922000000001</v>
      </c>
      <c r="Q103" s="633">
        <f>CCBASE!$H$51</f>
        <v>5.16</v>
      </c>
      <c r="R103" s="633">
        <f>CCBASE!$I$4</f>
        <v>8.3986041999999994</v>
      </c>
      <c r="S103" s="633">
        <f>CCBASE!$I$8</f>
        <v>16.25526</v>
      </c>
      <c r="T103" s="633">
        <f>CCBASE!$I$44</f>
        <v>94.69</v>
      </c>
      <c r="U103" s="633">
        <f>CCBASE!$I$47*2</f>
        <v>28.82</v>
      </c>
      <c r="V103" s="633">
        <f>CCBASE!$I$46</f>
        <v>2.44</v>
      </c>
      <c r="W103" s="633">
        <f>CCBASE!$I$40*B103/1000</f>
        <v>61.962060000000001</v>
      </c>
      <c r="X103" s="633"/>
      <c r="Y103" s="633"/>
      <c r="Z103" s="633"/>
      <c r="AA103" s="633"/>
      <c r="AB103" s="633"/>
      <c r="AC103" s="633"/>
      <c r="AD103" s="633">
        <f>CCBASE!$I$36*2</f>
        <v>191.630124</v>
      </c>
    </row>
    <row r="104" spans="1:30" x14ac:dyDescent="0.2">
      <c r="A104" s="631" t="s">
        <v>178</v>
      </c>
      <c r="B104" s="631">
        <v>1750</v>
      </c>
      <c r="C104" s="631">
        <v>1250</v>
      </c>
      <c r="D104" s="631" t="str">
        <f t="shared" ref="D104" si="49">A104&amp;B104&amp;C104</f>
        <v>UVF17501250</v>
      </c>
      <c r="E104" s="1054">
        <f t="shared" si="30"/>
        <v>2224.1892505999999</v>
      </c>
      <c r="F104" s="632">
        <v>27.5</v>
      </c>
      <c r="G104" s="633">
        <f>F104*CCBASE!$B$51</f>
        <v>990</v>
      </c>
      <c r="H104" s="633">
        <f>CCBASE!$I$11*B104/1000</f>
        <v>281.73768385</v>
      </c>
      <c r="I104" s="633"/>
      <c r="J104" s="633"/>
      <c r="K104" s="633"/>
      <c r="L104" s="633">
        <f>CCBASE!$I$13*B104/1000</f>
        <v>419.19089624999998</v>
      </c>
      <c r="M104" s="633"/>
      <c r="N104" s="633">
        <f>CCBASE!$I$7*B104/1000</f>
        <v>55.198990000000002</v>
      </c>
      <c r="O104" s="633">
        <f>CCBASE!$I$45*B104/1000</f>
        <v>17.447500000000002</v>
      </c>
      <c r="P104" s="633">
        <f>CCBASE!$I$9</f>
        <v>39.7111223</v>
      </c>
      <c r="Q104" s="633">
        <f>CCBASE!$H$51</f>
        <v>5.16</v>
      </c>
      <c r="R104" s="633">
        <f>CCBASE!$I$4</f>
        <v>8.3986041999999994</v>
      </c>
      <c r="S104" s="633">
        <f>CCBASE!$I$8</f>
        <v>16.25526</v>
      </c>
      <c r="T104" s="633">
        <f>CCBASE!$I$44</f>
        <v>94.69</v>
      </c>
      <c r="U104" s="633">
        <f>CCBASE!$I$47*2</f>
        <v>28.82</v>
      </c>
      <c r="V104" s="633">
        <f>CCBASE!$I$46*1.5</f>
        <v>3.66</v>
      </c>
      <c r="W104" s="633">
        <f>CCBASE!$I$40*B104/1000</f>
        <v>72.289069999999995</v>
      </c>
      <c r="X104" s="633"/>
      <c r="Y104" s="633"/>
      <c r="Z104" s="633"/>
      <c r="AA104" s="633"/>
      <c r="AB104" s="633"/>
      <c r="AC104" s="633"/>
      <c r="AD104" s="633">
        <f>CCBASE!$I$36*2</f>
        <v>191.630124</v>
      </c>
    </row>
    <row r="105" spans="1:30" x14ac:dyDescent="0.2">
      <c r="A105" s="631" t="s">
        <v>178</v>
      </c>
      <c r="B105" s="631">
        <v>2000</v>
      </c>
      <c r="C105" s="631">
        <v>1250</v>
      </c>
      <c r="D105" s="631" t="str">
        <f t="shared" si="47"/>
        <v>UVF20001250</v>
      </c>
      <c r="E105" s="1054">
        <f t="shared" si="30"/>
        <v>2345.0269848999992</v>
      </c>
      <c r="F105" s="632">
        <v>27.5</v>
      </c>
      <c r="G105" s="633">
        <f>F105*CCBASE!$B$51</f>
        <v>990</v>
      </c>
      <c r="H105" s="633">
        <f>CCBASE!$I$11*B105/1000</f>
        <v>321.98592439999999</v>
      </c>
      <c r="I105" s="633"/>
      <c r="J105" s="633"/>
      <c r="K105" s="633"/>
      <c r="L105" s="633">
        <f>CCBASE!$I$13*B105/1000</f>
        <v>479.07531</v>
      </c>
      <c r="M105" s="633"/>
      <c r="N105" s="633">
        <f>CCBASE!$I$7*B105/1000</f>
        <v>63.084560000000003</v>
      </c>
      <c r="O105" s="633">
        <f>CCBASE!$I$45*B105/1000</f>
        <v>19.940000000000001</v>
      </c>
      <c r="P105" s="633">
        <f>CCBASE!$I$9</f>
        <v>39.7111223</v>
      </c>
      <c r="Q105" s="633">
        <f>CCBASE!$H$51</f>
        <v>5.16</v>
      </c>
      <c r="R105" s="633">
        <f>CCBASE!$I$4</f>
        <v>8.3986041999999994</v>
      </c>
      <c r="S105" s="633">
        <f>CCBASE!$I$8</f>
        <v>16.25526</v>
      </c>
      <c r="T105" s="633">
        <f>CCBASE!$I$44</f>
        <v>94.69</v>
      </c>
      <c r="U105" s="633">
        <f>CCBASE!$I$47*2</f>
        <v>28.82</v>
      </c>
      <c r="V105" s="633">
        <f>CCBASE!$I$46*1.5</f>
        <v>3.66</v>
      </c>
      <c r="W105" s="633">
        <f>CCBASE!$I$40*B105/1000</f>
        <v>82.616079999999997</v>
      </c>
      <c r="X105" s="633"/>
      <c r="Y105" s="633"/>
      <c r="Z105" s="633"/>
      <c r="AA105" s="633"/>
      <c r="AB105" s="633"/>
      <c r="AC105" s="633"/>
      <c r="AD105" s="633">
        <f>CCBASE!$I$36*2</f>
        <v>191.630124</v>
      </c>
    </row>
    <row r="106" spans="1:30" x14ac:dyDescent="0.2">
      <c r="A106" s="631" t="s">
        <v>178</v>
      </c>
      <c r="B106" s="631">
        <v>2250</v>
      </c>
      <c r="C106" s="631">
        <v>1250</v>
      </c>
      <c r="D106" s="631" t="str">
        <f t="shared" ref="D106" si="50">A106&amp;B106&amp;C106</f>
        <v>UVF22501250</v>
      </c>
      <c r="E106" s="1054">
        <f t="shared" si="30"/>
        <v>2537.8647191999999</v>
      </c>
      <c r="F106" s="632">
        <v>29.5</v>
      </c>
      <c r="G106" s="633">
        <f>F106*CCBASE!$B$51</f>
        <v>1062</v>
      </c>
      <c r="H106" s="633">
        <f>CCBASE!$I$11*B106/1000</f>
        <v>362.23416494999998</v>
      </c>
      <c r="I106" s="633"/>
      <c r="J106" s="633"/>
      <c r="K106" s="633"/>
      <c r="L106" s="633">
        <f>CCBASE!$I$13*B106/1000</f>
        <v>538.95972374999997</v>
      </c>
      <c r="M106" s="633"/>
      <c r="N106" s="633">
        <f>CCBASE!$I$7*B106/1000</f>
        <v>70.970130000000012</v>
      </c>
      <c r="O106" s="633">
        <f>CCBASE!$I$45*B106/1000</f>
        <v>22.432500000000001</v>
      </c>
      <c r="P106" s="633">
        <f>CCBASE!$I$9</f>
        <v>39.7111223</v>
      </c>
      <c r="Q106" s="633">
        <f>CCBASE!$H$51</f>
        <v>5.16</v>
      </c>
      <c r="R106" s="633">
        <f>CCBASE!$I$4</f>
        <v>8.3986041999999994</v>
      </c>
      <c r="S106" s="633">
        <f>CCBASE!$I$8</f>
        <v>16.25526</v>
      </c>
      <c r="T106" s="633">
        <f>CCBASE!$I$44</f>
        <v>94.69</v>
      </c>
      <c r="U106" s="633">
        <f>CCBASE!$I$47*2</f>
        <v>28.82</v>
      </c>
      <c r="V106" s="633">
        <f>CCBASE!$I$46*1.5</f>
        <v>3.66</v>
      </c>
      <c r="W106" s="633">
        <f>CCBASE!$I$40*B106/1000</f>
        <v>92.943089999999998</v>
      </c>
      <c r="X106" s="633"/>
      <c r="Y106" s="633"/>
      <c r="Z106" s="633"/>
      <c r="AA106" s="633"/>
      <c r="AB106" s="633"/>
      <c r="AC106" s="633"/>
      <c r="AD106" s="633">
        <f>CCBASE!$I$36*2</f>
        <v>191.630124</v>
      </c>
    </row>
    <row r="107" spans="1:30" x14ac:dyDescent="0.2">
      <c r="A107" s="631" t="s">
        <v>178</v>
      </c>
      <c r="B107" s="631">
        <v>2500</v>
      </c>
      <c r="C107" s="631">
        <v>1250</v>
      </c>
      <c r="D107" s="631" t="str">
        <f t="shared" si="47"/>
        <v>UVF25001250</v>
      </c>
      <c r="E107" s="1054">
        <f t="shared" si="30"/>
        <v>2658.7024535000005</v>
      </c>
      <c r="F107" s="632">
        <v>29.5</v>
      </c>
      <c r="G107" s="633">
        <f>F107*CCBASE!$B$51</f>
        <v>1062</v>
      </c>
      <c r="H107" s="633">
        <f>CCBASE!$I$11*B107/1000</f>
        <v>402.48240549999997</v>
      </c>
      <c r="I107" s="633"/>
      <c r="J107" s="633"/>
      <c r="K107" s="633"/>
      <c r="L107" s="633">
        <f>CCBASE!$I$13*B107/1000</f>
        <v>598.84413749999999</v>
      </c>
      <c r="M107" s="633"/>
      <c r="N107" s="633">
        <f>CCBASE!$I$7*B107/1000</f>
        <v>78.855699999999999</v>
      </c>
      <c r="O107" s="633">
        <f>CCBASE!$I$45*B107/1000</f>
        <v>24.925000000000001</v>
      </c>
      <c r="P107" s="633">
        <f>CCBASE!$I$9</f>
        <v>39.7111223</v>
      </c>
      <c r="Q107" s="633">
        <f>CCBASE!$H$51</f>
        <v>5.16</v>
      </c>
      <c r="R107" s="633">
        <f>CCBASE!$I$4</f>
        <v>8.3986041999999994</v>
      </c>
      <c r="S107" s="633">
        <f>CCBASE!$I$8</f>
        <v>16.25526</v>
      </c>
      <c r="T107" s="633">
        <f>CCBASE!$I$44</f>
        <v>94.69</v>
      </c>
      <c r="U107" s="633">
        <f>CCBASE!$I$47*2</f>
        <v>28.82</v>
      </c>
      <c r="V107" s="633">
        <f>CCBASE!$I$46*1.5</f>
        <v>3.66</v>
      </c>
      <c r="W107" s="633">
        <f>CCBASE!$I$40*B107/1000</f>
        <v>103.27009999999999</v>
      </c>
      <c r="X107" s="633"/>
      <c r="Y107" s="633"/>
      <c r="Z107" s="633"/>
      <c r="AA107" s="633"/>
      <c r="AB107" s="633"/>
      <c r="AC107" s="633"/>
      <c r="AD107" s="633">
        <f>CCBASE!$I$36*2</f>
        <v>191.630124</v>
      </c>
    </row>
    <row r="108" spans="1:30" x14ac:dyDescent="0.2">
      <c r="A108" s="631" t="s">
        <v>178</v>
      </c>
      <c r="B108" s="631">
        <v>2750</v>
      </c>
      <c r="C108" s="631">
        <v>1250</v>
      </c>
      <c r="D108" s="631" t="str">
        <f t="shared" si="47"/>
        <v>UVF27501250</v>
      </c>
      <c r="E108" s="1054">
        <f t="shared" si="30"/>
        <v>2779.5401877999998</v>
      </c>
      <c r="F108" s="632">
        <v>29.5</v>
      </c>
      <c r="G108" s="633">
        <f>F108*CCBASE!$B$51</f>
        <v>1062</v>
      </c>
      <c r="H108" s="633">
        <f>CCBASE!$I$11*B108/1000</f>
        <v>442.73064604999996</v>
      </c>
      <c r="I108" s="633"/>
      <c r="J108" s="633"/>
      <c r="K108" s="633"/>
      <c r="L108" s="633">
        <f>CCBASE!$I$13*B108/1000</f>
        <v>658.72855125000001</v>
      </c>
      <c r="M108" s="633"/>
      <c r="N108" s="633">
        <f>CCBASE!$I$7*B108/1000</f>
        <v>86.74127</v>
      </c>
      <c r="O108" s="633">
        <f>CCBASE!$I$45*B108/1000</f>
        <v>27.4175</v>
      </c>
      <c r="P108" s="633">
        <f>CCBASE!$I$9</f>
        <v>39.7111223</v>
      </c>
      <c r="Q108" s="633">
        <f>CCBASE!$H$51</f>
        <v>5.16</v>
      </c>
      <c r="R108" s="633">
        <f>CCBASE!$I$4</f>
        <v>8.3986041999999994</v>
      </c>
      <c r="S108" s="633">
        <f>CCBASE!$I$8</f>
        <v>16.25526</v>
      </c>
      <c r="T108" s="633">
        <f>CCBASE!$I$44</f>
        <v>94.69</v>
      </c>
      <c r="U108" s="633">
        <f>CCBASE!$I$47*2</f>
        <v>28.82</v>
      </c>
      <c r="V108" s="633">
        <f>CCBASE!$I$46*1.5</f>
        <v>3.66</v>
      </c>
      <c r="W108" s="633">
        <f>CCBASE!$I$40*B108/1000</f>
        <v>113.59711</v>
      </c>
      <c r="X108" s="633"/>
      <c r="Y108" s="633"/>
      <c r="Z108" s="633"/>
      <c r="AA108" s="633"/>
      <c r="AB108" s="633"/>
      <c r="AC108" s="633"/>
      <c r="AD108" s="633">
        <f>CCBASE!$I$36*2</f>
        <v>191.630124</v>
      </c>
    </row>
    <row r="109" spans="1:30" x14ac:dyDescent="0.2">
      <c r="A109" s="631" t="s">
        <v>178</v>
      </c>
      <c r="B109" s="631">
        <v>3000</v>
      </c>
      <c r="C109" s="631">
        <v>1250</v>
      </c>
      <c r="D109" s="631" t="str">
        <f t="shared" ref="D109" si="51">A109&amp;B109&amp;C109</f>
        <v>UVF30001250</v>
      </c>
      <c r="E109" s="1054">
        <f t="shared" si="30"/>
        <v>2900.3779220999995</v>
      </c>
      <c r="F109" s="632">
        <v>29.5</v>
      </c>
      <c r="G109" s="633">
        <f>F109*CCBASE!$B$51</f>
        <v>1062</v>
      </c>
      <c r="H109" s="633">
        <f>CCBASE!$I$11*B109/1000</f>
        <v>482.97888659999995</v>
      </c>
      <c r="I109" s="633"/>
      <c r="J109" s="633"/>
      <c r="K109" s="633"/>
      <c r="L109" s="633">
        <f>CCBASE!$I$13*B109/1000</f>
        <v>718.61296499999992</v>
      </c>
      <c r="M109" s="633"/>
      <c r="N109" s="633">
        <f>CCBASE!$I$7*B109/1000</f>
        <v>94.626840000000016</v>
      </c>
      <c r="O109" s="633">
        <f>CCBASE!$I$45*B109/1000</f>
        <v>29.910000000000004</v>
      </c>
      <c r="P109" s="633">
        <f>CCBASE!$I$9</f>
        <v>39.7111223</v>
      </c>
      <c r="Q109" s="633">
        <f>CCBASE!$H$51</f>
        <v>5.16</v>
      </c>
      <c r="R109" s="633">
        <f>CCBASE!$I$4</f>
        <v>8.3986041999999994</v>
      </c>
      <c r="S109" s="633">
        <f>CCBASE!$I$8</f>
        <v>16.25526</v>
      </c>
      <c r="T109" s="633">
        <f>CCBASE!$I$44</f>
        <v>94.69</v>
      </c>
      <c r="U109" s="633">
        <f>CCBASE!$I$47*2</f>
        <v>28.82</v>
      </c>
      <c r="V109" s="633">
        <f>CCBASE!$I$46*1.5</f>
        <v>3.66</v>
      </c>
      <c r="W109" s="633">
        <f>CCBASE!$I$40*B109/1000</f>
        <v>123.92412</v>
      </c>
      <c r="X109" s="633"/>
      <c r="Y109" s="633"/>
      <c r="Z109" s="633"/>
      <c r="AA109" s="633"/>
      <c r="AB109" s="633"/>
      <c r="AC109" s="633"/>
      <c r="AD109" s="633">
        <f>CCBASE!$I$36*2</f>
        <v>191.630124</v>
      </c>
    </row>
    <row r="110" spans="1:30" x14ac:dyDescent="0.2">
      <c r="A110" s="631" t="s">
        <v>178</v>
      </c>
      <c r="B110" s="631">
        <v>1000</v>
      </c>
      <c r="C110" s="631">
        <v>1500</v>
      </c>
      <c r="D110" s="631" t="str">
        <f t="shared" si="47"/>
        <v>UVF10001500</v>
      </c>
      <c r="E110" s="1054">
        <f t="shared" si="30"/>
        <v>1975.2393594</v>
      </c>
      <c r="F110" s="632">
        <v>29.5</v>
      </c>
      <c r="G110" s="633">
        <f>F110*CCBASE!$B$51</f>
        <v>1062</v>
      </c>
      <c r="H110" s="633">
        <f>CCBASE!$I$11*B110/1000</f>
        <v>160.99296219999999</v>
      </c>
      <c r="I110" s="633"/>
      <c r="J110" s="633"/>
      <c r="K110" s="633"/>
      <c r="L110" s="633">
        <f>CCBASE!$I$13*B110/1000</f>
        <v>239.537655</v>
      </c>
      <c r="M110" s="633"/>
      <c r="N110" s="633">
        <f>CCBASE!$I$7*B110/1000</f>
        <v>31.542280000000002</v>
      </c>
      <c r="O110" s="633">
        <f>CCBASE!$I$45*B110/1000</f>
        <v>9.9700000000000006</v>
      </c>
      <c r="P110" s="633">
        <f>CCBASE!$I$10</f>
        <v>30.661922000000001</v>
      </c>
      <c r="Q110" s="633">
        <f>CCBASE!$H$51</f>
        <v>5.16</v>
      </c>
      <c r="R110" s="633">
        <f>CCBASE!$I$4</f>
        <v>8.3986041999999994</v>
      </c>
      <c r="S110" s="633">
        <f>CCBASE!$I$8</f>
        <v>16.25526</v>
      </c>
      <c r="T110" s="633">
        <f>CCBASE!$I$44</f>
        <v>94.69</v>
      </c>
      <c r="U110" s="633">
        <f>CCBASE!$I$47</f>
        <v>14.41</v>
      </c>
      <c r="V110" s="633">
        <f>CCBASE!$I$46</f>
        <v>2.44</v>
      </c>
      <c r="W110" s="633">
        <f>CCBASE!$I$41*B110/1000</f>
        <v>59.051569999999998</v>
      </c>
      <c r="X110" s="633"/>
      <c r="Y110" s="633"/>
      <c r="Z110" s="633"/>
      <c r="AA110" s="633"/>
      <c r="AB110" s="633"/>
      <c r="AC110" s="633"/>
      <c r="AD110" s="633">
        <f>CCBASE!$I$37*2</f>
        <v>240.12910599999998</v>
      </c>
    </row>
    <row r="111" spans="1:30" x14ac:dyDescent="0.2">
      <c r="A111" s="631" t="s">
        <v>178</v>
      </c>
      <c r="B111" s="631">
        <v>1250</v>
      </c>
      <c r="C111" s="631">
        <v>1500</v>
      </c>
      <c r="D111" s="631" t="str">
        <f t="shared" ref="D111" si="52">A111&amp;B111&amp;C111</f>
        <v>UVF12501500</v>
      </c>
      <c r="E111" s="1054">
        <f t="shared" si="30"/>
        <v>2114.9229762</v>
      </c>
      <c r="F111" s="632">
        <v>29.5</v>
      </c>
      <c r="G111" s="633">
        <f>F111*CCBASE!$B$51</f>
        <v>1062</v>
      </c>
      <c r="H111" s="633">
        <f>CCBASE!$I$11*B111/1000</f>
        <v>201.24120274999999</v>
      </c>
      <c r="I111" s="633"/>
      <c r="J111" s="633"/>
      <c r="K111" s="633"/>
      <c r="L111" s="633">
        <f>CCBASE!$I$13*B111/1000</f>
        <v>299.42206874999999</v>
      </c>
      <c r="M111" s="633"/>
      <c r="N111" s="633">
        <f>CCBASE!$I$7*B111/1000</f>
        <v>39.427849999999999</v>
      </c>
      <c r="O111" s="633">
        <f>CCBASE!$I$45*B111/1000</f>
        <v>12.4625</v>
      </c>
      <c r="P111" s="633">
        <f>CCBASE!$I$10</f>
        <v>30.661922000000001</v>
      </c>
      <c r="Q111" s="633">
        <f>CCBASE!$H$51</f>
        <v>5.16</v>
      </c>
      <c r="R111" s="633">
        <f>CCBASE!$I$4</f>
        <v>8.3986041999999994</v>
      </c>
      <c r="S111" s="633">
        <f>CCBASE!$I$8</f>
        <v>16.25526</v>
      </c>
      <c r="T111" s="633">
        <f>CCBASE!$I$44</f>
        <v>94.69</v>
      </c>
      <c r="U111" s="633">
        <f>CCBASE!$I$47*2</f>
        <v>28.82</v>
      </c>
      <c r="V111" s="633">
        <f>CCBASE!$I$46</f>
        <v>2.44</v>
      </c>
      <c r="W111" s="633">
        <f>CCBASE!$I$41*B111/1000</f>
        <v>73.814462499999991</v>
      </c>
      <c r="X111" s="633"/>
      <c r="Y111" s="633"/>
      <c r="Z111" s="633"/>
      <c r="AA111" s="633"/>
      <c r="AB111" s="633"/>
      <c r="AC111" s="633"/>
      <c r="AD111" s="633">
        <f>CCBASE!$I$37*2</f>
        <v>240.12910599999998</v>
      </c>
    </row>
    <row r="112" spans="1:30" x14ac:dyDescent="0.2">
      <c r="A112" s="631" t="s">
        <v>178</v>
      </c>
      <c r="B112" s="631">
        <v>1500</v>
      </c>
      <c r="C112" s="631">
        <v>1500</v>
      </c>
      <c r="D112" s="631" t="str">
        <f t="shared" si="47"/>
        <v>UVF15001500</v>
      </c>
      <c r="E112" s="1054">
        <f t="shared" si="30"/>
        <v>2240.1965929999997</v>
      </c>
      <c r="F112" s="632">
        <v>29.5</v>
      </c>
      <c r="G112" s="633">
        <f>F112*CCBASE!$B$51</f>
        <v>1062</v>
      </c>
      <c r="H112" s="633">
        <f>CCBASE!$I$11*B112/1000</f>
        <v>241.48944329999998</v>
      </c>
      <c r="I112" s="633"/>
      <c r="J112" s="633"/>
      <c r="K112" s="633"/>
      <c r="L112" s="633">
        <f>CCBASE!$I$13*B112/1000</f>
        <v>359.30648249999996</v>
      </c>
      <c r="M112" s="633"/>
      <c r="N112" s="633">
        <f>CCBASE!$I$7*B112/1000</f>
        <v>47.313420000000008</v>
      </c>
      <c r="O112" s="633">
        <f>CCBASE!$I$45*B112/1000</f>
        <v>14.955000000000002</v>
      </c>
      <c r="P112" s="633">
        <f>CCBASE!$I$10</f>
        <v>30.661922000000001</v>
      </c>
      <c r="Q112" s="633">
        <f>CCBASE!$H$51</f>
        <v>5.16</v>
      </c>
      <c r="R112" s="633">
        <f>CCBASE!$I$4</f>
        <v>8.3986041999999994</v>
      </c>
      <c r="S112" s="633">
        <f>CCBASE!$I$8</f>
        <v>16.25526</v>
      </c>
      <c r="T112" s="633">
        <f>CCBASE!$I$44</f>
        <v>94.69</v>
      </c>
      <c r="U112" s="633">
        <f>CCBASE!$I$47*2</f>
        <v>28.82</v>
      </c>
      <c r="V112" s="633">
        <f>CCBASE!$I$46</f>
        <v>2.44</v>
      </c>
      <c r="W112" s="633">
        <f>CCBASE!$I$41*B112/1000</f>
        <v>88.577354999999997</v>
      </c>
      <c r="X112" s="633"/>
      <c r="Y112" s="633"/>
      <c r="Z112" s="633"/>
      <c r="AA112" s="633"/>
      <c r="AB112" s="633"/>
      <c r="AC112" s="633"/>
      <c r="AD112" s="633">
        <f>CCBASE!$I$37*2</f>
        <v>240.12910599999998</v>
      </c>
    </row>
    <row r="113" spans="1:30" x14ac:dyDescent="0.2">
      <c r="A113" s="631" t="s">
        <v>178</v>
      </c>
      <c r="B113" s="631">
        <v>1750</v>
      </c>
      <c r="C113" s="631">
        <v>1500</v>
      </c>
      <c r="D113" s="631" t="str">
        <f t="shared" ref="D113" si="53">A113&amp;B113&amp;C113</f>
        <v>UVF17501500</v>
      </c>
      <c r="E113" s="1054">
        <f t="shared" si="30"/>
        <v>2375.7394100999995</v>
      </c>
      <c r="F113" s="632">
        <v>29.5</v>
      </c>
      <c r="G113" s="633">
        <f>F113*CCBASE!$B$51</f>
        <v>1062</v>
      </c>
      <c r="H113" s="633">
        <f>CCBASE!$I$11*B113/1000</f>
        <v>281.73768385</v>
      </c>
      <c r="I113" s="633"/>
      <c r="J113" s="633"/>
      <c r="K113" s="633"/>
      <c r="L113" s="633">
        <f>CCBASE!$I$13*B113/1000</f>
        <v>419.19089624999998</v>
      </c>
      <c r="M113" s="633"/>
      <c r="N113" s="633">
        <f>CCBASE!$I$7*B113/1000</f>
        <v>55.198990000000002</v>
      </c>
      <c r="O113" s="633">
        <f>CCBASE!$I$45*B113/1000</f>
        <v>17.447500000000002</v>
      </c>
      <c r="P113" s="633">
        <f>CCBASE!$I$9</f>
        <v>39.7111223</v>
      </c>
      <c r="Q113" s="633">
        <f>CCBASE!$H$51</f>
        <v>5.16</v>
      </c>
      <c r="R113" s="633">
        <f>CCBASE!$I$4</f>
        <v>8.3986041999999994</v>
      </c>
      <c r="S113" s="633">
        <f>CCBASE!$I$8</f>
        <v>16.25526</v>
      </c>
      <c r="T113" s="633">
        <f>CCBASE!$I$44</f>
        <v>94.69</v>
      </c>
      <c r="U113" s="633">
        <f>CCBASE!$I$47*2</f>
        <v>28.82</v>
      </c>
      <c r="V113" s="633">
        <f>CCBASE!$I$46*1.5</f>
        <v>3.66</v>
      </c>
      <c r="W113" s="633">
        <f>CCBASE!$I$41*B113/1000</f>
        <v>103.3402475</v>
      </c>
      <c r="X113" s="633"/>
      <c r="Y113" s="633"/>
      <c r="Z113" s="633"/>
      <c r="AA113" s="633"/>
      <c r="AB113" s="633"/>
      <c r="AC113" s="633"/>
      <c r="AD113" s="633">
        <f>CCBASE!$I$37*2</f>
        <v>240.12910599999998</v>
      </c>
    </row>
    <row r="114" spans="1:30" x14ac:dyDescent="0.2">
      <c r="A114" s="631" t="s">
        <v>178</v>
      </c>
      <c r="B114" s="631">
        <v>2000</v>
      </c>
      <c r="C114" s="631">
        <v>1500</v>
      </c>
      <c r="D114" s="631" t="str">
        <f t="shared" si="47"/>
        <v>UVF20001500</v>
      </c>
      <c r="E114" s="1054">
        <f t="shared" si="30"/>
        <v>2501.0130268999997</v>
      </c>
      <c r="F114" s="632">
        <v>29.5</v>
      </c>
      <c r="G114" s="633">
        <f>F114*CCBASE!$B$51</f>
        <v>1062</v>
      </c>
      <c r="H114" s="633">
        <f>CCBASE!$I$11*B114/1000</f>
        <v>321.98592439999999</v>
      </c>
      <c r="I114" s="633"/>
      <c r="J114" s="633"/>
      <c r="K114" s="633"/>
      <c r="L114" s="633">
        <f>CCBASE!$I$13*B114/1000</f>
        <v>479.07531</v>
      </c>
      <c r="M114" s="633"/>
      <c r="N114" s="633">
        <f>CCBASE!$I$7*B114/1000</f>
        <v>63.084560000000003</v>
      </c>
      <c r="O114" s="633">
        <f>CCBASE!$I$45*B114/1000</f>
        <v>19.940000000000001</v>
      </c>
      <c r="P114" s="633">
        <f>CCBASE!$I$9</f>
        <v>39.7111223</v>
      </c>
      <c r="Q114" s="633">
        <f>CCBASE!$H$51</f>
        <v>5.16</v>
      </c>
      <c r="R114" s="633">
        <f>CCBASE!$I$4</f>
        <v>8.3986041999999994</v>
      </c>
      <c r="S114" s="633">
        <f>CCBASE!$I$8</f>
        <v>16.25526</v>
      </c>
      <c r="T114" s="633">
        <f>CCBASE!$I$44</f>
        <v>94.69</v>
      </c>
      <c r="U114" s="633">
        <f>CCBASE!$I$47*2</f>
        <v>28.82</v>
      </c>
      <c r="V114" s="633">
        <f>CCBASE!$I$46*1.5</f>
        <v>3.66</v>
      </c>
      <c r="W114" s="633">
        <f>CCBASE!$I$41*B114/1000</f>
        <v>118.10314</v>
      </c>
      <c r="X114" s="633"/>
      <c r="Y114" s="633"/>
      <c r="Z114" s="633"/>
      <c r="AA114" s="633"/>
      <c r="AB114" s="633"/>
      <c r="AC114" s="633"/>
      <c r="AD114" s="633">
        <f>CCBASE!$I$37*2</f>
        <v>240.12910599999998</v>
      </c>
    </row>
    <row r="115" spans="1:30" x14ac:dyDescent="0.2">
      <c r="A115" s="631" t="s">
        <v>178</v>
      </c>
      <c r="B115" s="631">
        <v>2250</v>
      </c>
      <c r="C115" s="631">
        <v>1500</v>
      </c>
      <c r="D115" s="631" t="str">
        <f t="shared" ref="D115" si="54">A115&amp;B115&amp;C115</f>
        <v>UVF22501500</v>
      </c>
      <c r="E115" s="1054">
        <f t="shared" si="30"/>
        <v>2662.2866436999998</v>
      </c>
      <c r="F115" s="632">
        <v>30.5</v>
      </c>
      <c r="G115" s="633">
        <f>F115*CCBASE!$B$51</f>
        <v>1098</v>
      </c>
      <c r="H115" s="633">
        <f>CCBASE!$I$11*B115/1000</f>
        <v>362.23416494999998</v>
      </c>
      <c r="I115" s="633"/>
      <c r="J115" s="633"/>
      <c r="K115" s="633"/>
      <c r="L115" s="633">
        <f>CCBASE!$I$13*B115/1000</f>
        <v>538.95972374999997</v>
      </c>
      <c r="M115" s="633"/>
      <c r="N115" s="633">
        <f>CCBASE!$I$7*B115/1000</f>
        <v>70.970130000000012</v>
      </c>
      <c r="O115" s="633">
        <f>CCBASE!$I$45*B115/1000</f>
        <v>22.432500000000001</v>
      </c>
      <c r="P115" s="633">
        <f>CCBASE!$I$9</f>
        <v>39.7111223</v>
      </c>
      <c r="Q115" s="633">
        <f>CCBASE!$H$51</f>
        <v>5.16</v>
      </c>
      <c r="R115" s="633">
        <f>CCBASE!$I$4</f>
        <v>8.3986041999999994</v>
      </c>
      <c r="S115" s="633">
        <f>CCBASE!$I$8</f>
        <v>16.25526</v>
      </c>
      <c r="T115" s="633">
        <f>CCBASE!$I$44</f>
        <v>94.69</v>
      </c>
      <c r="U115" s="633">
        <f>CCBASE!$I$47*2</f>
        <v>28.82</v>
      </c>
      <c r="V115" s="633">
        <f>CCBASE!$I$46*1.5</f>
        <v>3.66</v>
      </c>
      <c r="W115" s="633">
        <f>CCBASE!$I$41*B115/1000</f>
        <v>132.86603249999999</v>
      </c>
      <c r="X115" s="633"/>
      <c r="Y115" s="633"/>
      <c r="Z115" s="633"/>
      <c r="AA115" s="633"/>
      <c r="AB115" s="633"/>
      <c r="AC115" s="633"/>
      <c r="AD115" s="633">
        <f>CCBASE!$I$37*2</f>
        <v>240.12910599999998</v>
      </c>
    </row>
    <row r="116" spans="1:30" x14ac:dyDescent="0.2">
      <c r="A116" s="631" t="s">
        <v>178</v>
      </c>
      <c r="B116" s="631">
        <v>2500</v>
      </c>
      <c r="C116" s="631">
        <v>1500</v>
      </c>
      <c r="D116" s="631" t="str">
        <f t="shared" si="47"/>
        <v>UVF25001500</v>
      </c>
      <c r="E116" s="1054">
        <f t="shared" si="30"/>
        <v>2787.5602605000004</v>
      </c>
      <c r="F116" s="632">
        <v>30.5</v>
      </c>
      <c r="G116" s="633">
        <f>F116*CCBASE!$B$51</f>
        <v>1098</v>
      </c>
      <c r="H116" s="633">
        <f>CCBASE!$I$11*B116/1000</f>
        <v>402.48240549999997</v>
      </c>
      <c r="I116" s="633"/>
      <c r="J116" s="633"/>
      <c r="K116" s="633"/>
      <c r="L116" s="633">
        <f>CCBASE!$I$13*B116/1000</f>
        <v>598.84413749999999</v>
      </c>
      <c r="M116" s="633"/>
      <c r="N116" s="633">
        <f>CCBASE!$I$7*B116/1000</f>
        <v>78.855699999999999</v>
      </c>
      <c r="O116" s="633">
        <f>CCBASE!$I$45*B116/1000</f>
        <v>24.925000000000001</v>
      </c>
      <c r="P116" s="633">
        <f>CCBASE!$I$9</f>
        <v>39.7111223</v>
      </c>
      <c r="Q116" s="633">
        <f>CCBASE!$H$51</f>
        <v>5.16</v>
      </c>
      <c r="R116" s="633">
        <f>CCBASE!$I$4</f>
        <v>8.3986041999999994</v>
      </c>
      <c r="S116" s="633">
        <f>CCBASE!$I$8</f>
        <v>16.25526</v>
      </c>
      <c r="T116" s="633">
        <f>CCBASE!$I$44</f>
        <v>94.69</v>
      </c>
      <c r="U116" s="633">
        <f>CCBASE!$I$47*2</f>
        <v>28.82</v>
      </c>
      <c r="V116" s="633">
        <f>CCBASE!$I$46*1.5</f>
        <v>3.66</v>
      </c>
      <c r="W116" s="633">
        <f>CCBASE!$I$41*B116/1000</f>
        <v>147.62892499999998</v>
      </c>
      <c r="X116" s="633"/>
      <c r="Y116" s="633"/>
      <c r="Z116" s="633"/>
      <c r="AA116" s="633"/>
      <c r="AB116" s="633"/>
      <c r="AC116" s="633"/>
      <c r="AD116" s="633">
        <f>CCBASE!$I$37*2</f>
        <v>240.12910599999998</v>
      </c>
    </row>
    <row r="117" spans="1:30" x14ac:dyDescent="0.2">
      <c r="A117" s="631" t="s">
        <v>178</v>
      </c>
      <c r="B117" s="631">
        <v>2750</v>
      </c>
      <c r="C117" s="631">
        <v>1500</v>
      </c>
      <c r="D117" s="631" t="str">
        <f t="shared" ref="D117" si="55">A117&amp;B117&amp;C117</f>
        <v>UVF27501500</v>
      </c>
      <c r="E117" s="1054">
        <f t="shared" si="30"/>
        <v>2912.8338772999996</v>
      </c>
      <c r="F117" s="632">
        <v>30.5</v>
      </c>
      <c r="G117" s="633">
        <f>F117*CCBASE!$B$51</f>
        <v>1098</v>
      </c>
      <c r="H117" s="633">
        <f>CCBASE!$I$11*B117/1000</f>
        <v>442.73064604999996</v>
      </c>
      <c r="I117" s="633"/>
      <c r="J117" s="633"/>
      <c r="K117" s="633"/>
      <c r="L117" s="633">
        <f>CCBASE!$I$13*B117/1000</f>
        <v>658.72855125000001</v>
      </c>
      <c r="M117" s="633"/>
      <c r="N117" s="633">
        <f>CCBASE!$I$7*B117/1000</f>
        <v>86.74127</v>
      </c>
      <c r="O117" s="633">
        <f>CCBASE!$I$45*B117/1000</f>
        <v>27.4175</v>
      </c>
      <c r="P117" s="633">
        <f>CCBASE!$I$9</f>
        <v>39.7111223</v>
      </c>
      <c r="Q117" s="633">
        <f>CCBASE!$H$51</f>
        <v>5.16</v>
      </c>
      <c r="R117" s="633">
        <f>CCBASE!$I$4</f>
        <v>8.3986041999999994</v>
      </c>
      <c r="S117" s="633">
        <f>CCBASE!$I$8</f>
        <v>16.25526</v>
      </c>
      <c r="T117" s="633">
        <f>CCBASE!$I$44</f>
        <v>94.69</v>
      </c>
      <c r="U117" s="633">
        <f>CCBASE!$I$47*2</f>
        <v>28.82</v>
      </c>
      <c r="V117" s="633">
        <f>CCBASE!$I$46*1.5</f>
        <v>3.66</v>
      </c>
      <c r="W117" s="633">
        <f>CCBASE!$I$41*B117/1000</f>
        <v>162.3918175</v>
      </c>
      <c r="X117" s="633"/>
      <c r="Y117" s="633"/>
      <c r="Z117" s="633"/>
      <c r="AA117" s="633"/>
      <c r="AB117" s="633"/>
      <c r="AC117" s="633"/>
      <c r="AD117" s="633">
        <f>CCBASE!$I$37*2</f>
        <v>240.12910599999998</v>
      </c>
    </row>
    <row r="118" spans="1:30" x14ac:dyDescent="0.2">
      <c r="A118" s="631" t="s">
        <v>178</v>
      </c>
      <c r="B118" s="631">
        <v>3000</v>
      </c>
      <c r="C118" s="631">
        <v>1500</v>
      </c>
      <c r="D118" s="631" t="str">
        <f t="shared" si="47"/>
        <v>UVF30001500</v>
      </c>
      <c r="E118" s="1054">
        <f t="shared" si="30"/>
        <v>3038.1074940999993</v>
      </c>
      <c r="F118" s="632">
        <v>30.5</v>
      </c>
      <c r="G118" s="633">
        <f>F118*CCBASE!$B$51</f>
        <v>1098</v>
      </c>
      <c r="H118" s="633">
        <f>CCBASE!$I$11*B118/1000</f>
        <v>482.97888659999995</v>
      </c>
      <c r="I118" s="633"/>
      <c r="J118" s="633"/>
      <c r="K118" s="633"/>
      <c r="L118" s="633">
        <f>CCBASE!$I$13*B118/1000</f>
        <v>718.61296499999992</v>
      </c>
      <c r="M118" s="633"/>
      <c r="N118" s="633">
        <f>CCBASE!$I$7*B118/1000</f>
        <v>94.626840000000016</v>
      </c>
      <c r="O118" s="633">
        <f>CCBASE!$I$45*B118/1000</f>
        <v>29.910000000000004</v>
      </c>
      <c r="P118" s="633">
        <f>CCBASE!$I$9</f>
        <v>39.7111223</v>
      </c>
      <c r="Q118" s="633">
        <f>CCBASE!$H$51</f>
        <v>5.16</v>
      </c>
      <c r="R118" s="633">
        <f>CCBASE!$I$4</f>
        <v>8.3986041999999994</v>
      </c>
      <c r="S118" s="633">
        <f>CCBASE!$I$8</f>
        <v>16.25526</v>
      </c>
      <c r="T118" s="633">
        <f>CCBASE!$I$44</f>
        <v>94.69</v>
      </c>
      <c r="U118" s="633">
        <f>CCBASE!$I$47*2</f>
        <v>28.82</v>
      </c>
      <c r="V118" s="633">
        <f>CCBASE!$I$46*1.5</f>
        <v>3.66</v>
      </c>
      <c r="W118" s="633">
        <f>CCBASE!$I$41*B118/1000</f>
        <v>177.15470999999999</v>
      </c>
      <c r="X118" s="633"/>
      <c r="Y118" s="633"/>
      <c r="Z118" s="633"/>
      <c r="AA118" s="633"/>
      <c r="AB118" s="633"/>
      <c r="AC118" s="633"/>
      <c r="AD118" s="633">
        <f>CCBASE!$I$37*2</f>
        <v>240.12910599999998</v>
      </c>
    </row>
    <row r="119" spans="1:30" x14ac:dyDescent="0.2">
      <c r="A119" s="631" t="s">
        <v>178</v>
      </c>
      <c r="B119" s="631">
        <v>1000</v>
      </c>
      <c r="C119" s="631">
        <v>1750</v>
      </c>
      <c r="D119" s="631" t="str">
        <f t="shared" si="47"/>
        <v>UVF10001750</v>
      </c>
      <c r="E119" s="1054">
        <f t="shared" si="30"/>
        <v>2019.0067334</v>
      </c>
      <c r="F119" s="632">
        <v>29.5</v>
      </c>
      <c r="G119" s="633">
        <f>F119*CCBASE!$B$51</f>
        <v>1062</v>
      </c>
      <c r="H119" s="633">
        <f>CCBASE!$I$11*B119/1000</f>
        <v>160.99296219999999</v>
      </c>
      <c r="I119" s="633"/>
      <c r="J119" s="633"/>
      <c r="K119" s="633"/>
      <c r="L119" s="633">
        <f>CCBASE!$I$13*B119/1000</f>
        <v>239.537655</v>
      </c>
      <c r="M119" s="633"/>
      <c r="N119" s="633">
        <f>CCBASE!$I$7*B119/1000</f>
        <v>31.542280000000002</v>
      </c>
      <c r="O119" s="633">
        <f>CCBASE!$I$45*B119/1000</f>
        <v>9.9700000000000006</v>
      </c>
      <c r="P119" s="633">
        <f>CCBASE!$I$10</f>
        <v>30.661922000000001</v>
      </c>
      <c r="Q119" s="633">
        <f>CCBASE!$H$51</f>
        <v>5.16</v>
      </c>
      <c r="R119" s="633">
        <f>CCBASE!$I$4</f>
        <v>8.3986041999999994</v>
      </c>
      <c r="S119" s="633">
        <f>CCBASE!$I$8</f>
        <v>16.25526</v>
      </c>
      <c r="T119" s="633">
        <f>CCBASE!$I$44</f>
        <v>94.69</v>
      </c>
      <c r="U119" s="633">
        <f>CCBASE!$I$47</f>
        <v>14.41</v>
      </c>
      <c r="V119" s="633">
        <f>CCBASE!$I$46</f>
        <v>2.44</v>
      </c>
      <c r="W119" s="633">
        <f>CCBASE!$I$42*B119/1000</f>
        <v>70.880589999999998</v>
      </c>
      <c r="X119" s="633"/>
      <c r="Y119" s="633"/>
      <c r="Z119" s="633"/>
      <c r="AA119" s="633"/>
      <c r="AB119" s="633"/>
      <c r="AC119" s="633"/>
      <c r="AD119" s="633">
        <f>CCBASE!$I$38*2</f>
        <v>272.06745999999998</v>
      </c>
    </row>
    <row r="120" spans="1:30" x14ac:dyDescent="0.2">
      <c r="A120" s="631" t="s">
        <v>178</v>
      </c>
      <c r="B120" s="631">
        <v>1250</v>
      </c>
      <c r="C120" s="631">
        <v>1750</v>
      </c>
      <c r="D120" s="631" t="str">
        <f t="shared" ref="D120" si="56">A120&amp;B120&amp;C120</f>
        <v>UVF12501750</v>
      </c>
      <c r="E120" s="1054">
        <f t="shared" si="30"/>
        <v>2161.6476051999998</v>
      </c>
      <c r="F120" s="632">
        <v>29.5</v>
      </c>
      <c r="G120" s="633">
        <f>F120*CCBASE!$B$51</f>
        <v>1062</v>
      </c>
      <c r="H120" s="633">
        <f>CCBASE!$I$11*B120/1000</f>
        <v>201.24120274999999</v>
      </c>
      <c r="I120" s="633"/>
      <c r="J120" s="633"/>
      <c r="K120" s="633"/>
      <c r="L120" s="633">
        <f>CCBASE!$I$13*B120/1000</f>
        <v>299.42206874999999</v>
      </c>
      <c r="M120" s="633"/>
      <c r="N120" s="633">
        <f>CCBASE!$I$7*B120/1000</f>
        <v>39.427849999999999</v>
      </c>
      <c r="O120" s="633">
        <f>CCBASE!$I$45*B120/1000</f>
        <v>12.4625</v>
      </c>
      <c r="P120" s="633">
        <f>CCBASE!$I$10</f>
        <v>30.661922000000001</v>
      </c>
      <c r="Q120" s="633">
        <f>CCBASE!$H$51</f>
        <v>5.16</v>
      </c>
      <c r="R120" s="633">
        <f>CCBASE!$I$4</f>
        <v>8.3986041999999994</v>
      </c>
      <c r="S120" s="633">
        <f>CCBASE!$I$8</f>
        <v>16.25526</v>
      </c>
      <c r="T120" s="633">
        <f>CCBASE!$I$44</f>
        <v>94.69</v>
      </c>
      <c r="U120" s="633">
        <f>CCBASE!$I$47*2</f>
        <v>28.82</v>
      </c>
      <c r="V120" s="633">
        <f>CCBASE!$I$46</f>
        <v>2.44</v>
      </c>
      <c r="W120" s="633">
        <f>CCBASE!$I$42*B120/1000</f>
        <v>88.600737500000008</v>
      </c>
      <c r="X120" s="633"/>
      <c r="Y120" s="633"/>
      <c r="Z120" s="633"/>
      <c r="AA120" s="633"/>
      <c r="AB120" s="633"/>
      <c r="AC120" s="633"/>
      <c r="AD120" s="633">
        <f>CCBASE!$I$38*2</f>
        <v>272.06745999999998</v>
      </c>
    </row>
    <row r="121" spans="1:30" x14ac:dyDescent="0.2">
      <c r="A121" s="631" t="s">
        <v>178</v>
      </c>
      <c r="B121" s="631">
        <v>1500</v>
      </c>
      <c r="C121" s="631">
        <v>1750</v>
      </c>
      <c r="D121" s="631" t="str">
        <f t="shared" si="47"/>
        <v>UVF15001750</v>
      </c>
      <c r="E121" s="1054">
        <f t="shared" si="30"/>
        <v>2289.8784769999997</v>
      </c>
      <c r="F121" s="632">
        <v>29.5</v>
      </c>
      <c r="G121" s="633">
        <f>F121*CCBASE!$B$51</f>
        <v>1062</v>
      </c>
      <c r="H121" s="633">
        <f>CCBASE!$I$11*B121/1000</f>
        <v>241.48944329999998</v>
      </c>
      <c r="I121" s="633"/>
      <c r="J121" s="633"/>
      <c r="K121" s="633"/>
      <c r="L121" s="633">
        <f>CCBASE!$I$13*B121/1000</f>
        <v>359.30648249999996</v>
      </c>
      <c r="M121" s="633"/>
      <c r="N121" s="633">
        <f>CCBASE!$I$7*B121/1000</f>
        <v>47.313420000000008</v>
      </c>
      <c r="O121" s="633">
        <f>CCBASE!$I$45*B121/1000</f>
        <v>14.955000000000002</v>
      </c>
      <c r="P121" s="633">
        <f>CCBASE!$I$10</f>
        <v>30.661922000000001</v>
      </c>
      <c r="Q121" s="633">
        <f>CCBASE!$H$51</f>
        <v>5.16</v>
      </c>
      <c r="R121" s="633">
        <f>CCBASE!$I$4</f>
        <v>8.3986041999999994</v>
      </c>
      <c r="S121" s="633">
        <f>CCBASE!$I$8</f>
        <v>16.25526</v>
      </c>
      <c r="T121" s="633">
        <f>CCBASE!$I$44</f>
        <v>94.69</v>
      </c>
      <c r="U121" s="633">
        <f>CCBASE!$I$47*2</f>
        <v>28.82</v>
      </c>
      <c r="V121" s="633">
        <f>CCBASE!$I$46</f>
        <v>2.44</v>
      </c>
      <c r="W121" s="633">
        <f>CCBASE!$I$42*B121/1000</f>
        <v>106.32088499999999</v>
      </c>
      <c r="X121" s="633"/>
      <c r="Y121" s="633"/>
      <c r="Z121" s="633"/>
      <c r="AA121" s="633"/>
      <c r="AB121" s="633"/>
      <c r="AC121" s="633"/>
      <c r="AD121" s="633">
        <f>CCBASE!$I$38*2</f>
        <v>272.06745999999998</v>
      </c>
    </row>
    <row r="122" spans="1:30" x14ac:dyDescent="0.2">
      <c r="A122" s="631" t="s">
        <v>178</v>
      </c>
      <c r="B122" s="631">
        <v>1750</v>
      </c>
      <c r="C122" s="631">
        <v>1750</v>
      </c>
      <c r="D122" s="631" t="str">
        <f t="shared" ref="D122" si="57">A122&amp;B122&amp;C122</f>
        <v>UVF17501750</v>
      </c>
      <c r="E122" s="1054">
        <f t="shared" si="30"/>
        <v>2428.3785490999999</v>
      </c>
      <c r="F122" s="632">
        <v>29.5</v>
      </c>
      <c r="G122" s="633">
        <f>F122*CCBASE!$B$51</f>
        <v>1062</v>
      </c>
      <c r="H122" s="633">
        <f>CCBASE!$I$11*B122/1000</f>
        <v>281.73768385</v>
      </c>
      <c r="I122" s="633"/>
      <c r="J122" s="633"/>
      <c r="K122" s="633"/>
      <c r="L122" s="633">
        <f>CCBASE!$I$13*B122/1000</f>
        <v>419.19089624999998</v>
      </c>
      <c r="M122" s="633"/>
      <c r="N122" s="633">
        <f>CCBASE!$I$7*B122/1000</f>
        <v>55.198990000000002</v>
      </c>
      <c r="O122" s="633">
        <f>CCBASE!$I$45*B122/1000</f>
        <v>17.447500000000002</v>
      </c>
      <c r="P122" s="633">
        <f>CCBASE!$I$9</f>
        <v>39.7111223</v>
      </c>
      <c r="Q122" s="633">
        <f>CCBASE!$H$51</f>
        <v>5.16</v>
      </c>
      <c r="R122" s="633">
        <f>CCBASE!$I$4</f>
        <v>8.3986041999999994</v>
      </c>
      <c r="S122" s="633">
        <f>CCBASE!$I$8</f>
        <v>16.25526</v>
      </c>
      <c r="T122" s="633">
        <f>CCBASE!$I$44</f>
        <v>94.69</v>
      </c>
      <c r="U122" s="633">
        <f>CCBASE!$I$47*2</f>
        <v>28.82</v>
      </c>
      <c r="V122" s="633">
        <f>CCBASE!$I$46*1.5</f>
        <v>3.66</v>
      </c>
      <c r="W122" s="633">
        <f>CCBASE!$I$42*B122/1000</f>
        <v>124.0410325</v>
      </c>
      <c r="X122" s="633"/>
      <c r="Y122" s="633"/>
      <c r="Z122" s="633"/>
      <c r="AA122" s="633"/>
      <c r="AB122" s="633"/>
      <c r="AC122" s="633"/>
      <c r="AD122" s="633">
        <f>CCBASE!$I$38*2</f>
        <v>272.06745999999998</v>
      </c>
    </row>
    <row r="123" spans="1:30" x14ac:dyDescent="0.2">
      <c r="A123" s="631" t="s">
        <v>178</v>
      </c>
      <c r="B123" s="631">
        <v>2000</v>
      </c>
      <c r="C123" s="631">
        <v>1750</v>
      </c>
      <c r="D123" s="631" t="str">
        <f t="shared" si="47"/>
        <v>UVF20001750</v>
      </c>
      <c r="E123" s="1054">
        <f t="shared" si="30"/>
        <v>2556.6094208999993</v>
      </c>
      <c r="F123" s="632">
        <v>29.5</v>
      </c>
      <c r="G123" s="633">
        <f>F123*CCBASE!$B$51</f>
        <v>1062</v>
      </c>
      <c r="H123" s="633">
        <f>CCBASE!$I$11*B123/1000</f>
        <v>321.98592439999999</v>
      </c>
      <c r="I123" s="633"/>
      <c r="J123" s="633"/>
      <c r="K123" s="633"/>
      <c r="L123" s="633">
        <f>CCBASE!$I$13*B123/1000</f>
        <v>479.07531</v>
      </c>
      <c r="M123" s="633"/>
      <c r="N123" s="633">
        <f>CCBASE!$I$7*B123/1000</f>
        <v>63.084560000000003</v>
      </c>
      <c r="O123" s="633">
        <f>CCBASE!$I$45*B123/1000</f>
        <v>19.940000000000001</v>
      </c>
      <c r="P123" s="633">
        <f>CCBASE!$I$9</f>
        <v>39.7111223</v>
      </c>
      <c r="Q123" s="633">
        <f>CCBASE!$H$51</f>
        <v>5.16</v>
      </c>
      <c r="R123" s="633">
        <f>CCBASE!$I$4</f>
        <v>8.3986041999999994</v>
      </c>
      <c r="S123" s="633">
        <f>CCBASE!$I$8</f>
        <v>16.25526</v>
      </c>
      <c r="T123" s="633">
        <f>CCBASE!$I$44</f>
        <v>94.69</v>
      </c>
      <c r="U123" s="633">
        <f>CCBASE!$I$47*2</f>
        <v>28.82</v>
      </c>
      <c r="V123" s="633">
        <f>CCBASE!$I$46*1.5</f>
        <v>3.66</v>
      </c>
      <c r="W123" s="633">
        <f>CCBASE!$I$42*B123/1000</f>
        <v>141.76118</v>
      </c>
      <c r="X123" s="633"/>
      <c r="Y123" s="633"/>
      <c r="Z123" s="633"/>
      <c r="AA123" s="633"/>
      <c r="AB123" s="633"/>
      <c r="AC123" s="633"/>
      <c r="AD123" s="633">
        <f>CCBASE!$I$38*2</f>
        <v>272.06745999999998</v>
      </c>
    </row>
    <row r="124" spans="1:30" x14ac:dyDescent="0.2">
      <c r="A124" s="631" t="s">
        <v>178</v>
      </c>
      <c r="B124" s="631">
        <v>2250</v>
      </c>
      <c r="C124" s="631">
        <v>1750</v>
      </c>
      <c r="D124" s="631" t="str">
        <f t="shared" ref="D124" si="58">A124&amp;B124&amp;C124</f>
        <v>UVF22501750</v>
      </c>
      <c r="E124" s="1054">
        <f t="shared" si="30"/>
        <v>2720.8402926999997</v>
      </c>
      <c r="F124" s="632">
        <v>30.5</v>
      </c>
      <c r="G124" s="633">
        <f>F124*CCBASE!$B$51</f>
        <v>1098</v>
      </c>
      <c r="H124" s="633">
        <f>CCBASE!$I$11*B124/1000</f>
        <v>362.23416494999998</v>
      </c>
      <c r="I124" s="633"/>
      <c r="J124" s="633"/>
      <c r="K124" s="633"/>
      <c r="L124" s="633">
        <f>CCBASE!$I$13*B124/1000</f>
        <v>538.95972374999997</v>
      </c>
      <c r="M124" s="633"/>
      <c r="N124" s="633">
        <f>CCBASE!$I$7*B124/1000</f>
        <v>70.970130000000012</v>
      </c>
      <c r="O124" s="633">
        <f>CCBASE!$I$45*B124/1000</f>
        <v>22.432500000000001</v>
      </c>
      <c r="P124" s="633">
        <f>CCBASE!$I$9</f>
        <v>39.7111223</v>
      </c>
      <c r="Q124" s="633">
        <f>CCBASE!$H$51</f>
        <v>5.16</v>
      </c>
      <c r="R124" s="633">
        <f>CCBASE!$I$4</f>
        <v>8.3986041999999994</v>
      </c>
      <c r="S124" s="633">
        <f>CCBASE!$I$8</f>
        <v>16.25526</v>
      </c>
      <c r="T124" s="633">
        <f>CCBASE!$I$44</f>
        <v>94.69</v>
      </c>
      <c r="U124" s="633">
        <f>CCBASE!$I$47*2</f>
        <v>28.82</v>
      </c>
      <c r="V124" s="633">
        <f>CCBASE!$I$46*1.5</f>
        <v>3.66</v>
      </c>
      <c r="W124" s="633">
        <f>CCBASE!$I$42*B124/1000</f>
        <v>159.48132749999999</v>
      </c>
      <c r="X124" s="633"/>
      <c r="Y124" s="633"/>
      <c r="Z124" s="633"/>
      <c r="AA124" s="633"/>
      <c r="AB124" s="633"/>
      <c r="AC124" s="633"/>
      <c r="AD124" s="633">
        <f>CCBASE!$I$38*2</f>
        <v>272.06745999999998</v>
      </c>
    </row>
    <row r="125" spans="1:30" x14ac:dyDescent="0.2">
      <c r="A125" s="631" t="s">
        <v>178</v>
      </c>
      <c r="B125" s="631">
        <v>2500</v>
      </c>
      <c r="C125" s="631">
        <v>1750</v>
      </c>
      <c r="D125" s="631" t="str">
        <f t="shared" si="47"/>
        <v>UVF25001750</v>
      </c>
      <c r="E125" s="1054">
        <f t="shared" si="30"/>
        <v>2849.0711645000001</v>
      </c>
      <c r="F125" s="632">
        <v>30.5</v>
      </c>
      <c r="G125" s="633">
        <f>F125*CCBASE!$B$51</f>
        <v>1098</v>
      </c>
      <c r="H125" s="633">
        <f>CCBASE!$I$11*B125/1000</f>
        <v>402.48240549999997</v>
      </c>
      <c r="I125" s="633"/>
      <c r="J125" s="633"/>
      <c r="K125" s="633"/>
      <c r="L125" s="633">
        <f>CCBASE!$I$13*B125/1000</f>
        <v>598.84413749999999</v>
      </c>
      <c r="M125" s="633"/>
      <c r="N125" s="633">
        <f>CCBASE!$I$7*B125/1000</f>
        <v>78.855699999999999</v>
      </c>
      <c r="O125" s="633">
        <f>CCBASE!$I$45*B125/1000</f>
        <v>24.925000000000001</v>
      </c>
      <c r="P125" s="633">
        <f>CCBASE!$I$9</f>
        <v>39.7111223</v>
      </c>
      <c r="Q125" s="633">
        <f>CCBASE!$H$51</f>
        <v>5.16</v>
      </c>
      <c r="R125" s="633">
        <f>CCBASE!$I$4</f>
        <v>8.3986041999999994</v>
      </c>
      <c r="S125" s="633">
        <f>CCBASE!$I$8</f>
        <v>16.25526</v>
      </c>
      <c r="T125" s="633">
        <f>CCBASE!$I$44</f>
        <v>94.69</v>
      </c>
      <c r="U125" s="633">
        <f>CCBASE!$I$47*2</f>
        <v>28.82</v>
      </c>
      <c r="V125" s="633">
        <f>CCBASE!$I$46*1.5</f>
        <v>3.66</v>
      </c>
      <c r="W125" s="633">
        <f>CCBASE!$I$42*B125/1000</f>
        <v>177.20147500000002</v>
      </c>
      <c r="X125" s="633"/>
      <c r="Y125" s="633"/>
      <c r="Z125" s="633"/>
      <c r="AA125" s="633"/>
      <c r="AB125" s="633"/>
      <c r="AC125" s="633"/>
      <c r="AD125" s="633">
        <f>CCBASE!$I$38*2</f>
        <v>272.06745999999998</v>
      </c>
    </row>
    <row r="126" spans="1:30" x14ac:dyDescent="0.2">
      <c r="A126" s="631" t="s">
        <v>178</v>
      </c>
      <c r="B126" s="631">
        <v>2750</v>
      </c>
      <c r="C126" s="631">
        <v>1750</v>
      </c>
      <c r="D126" s="631" t="str">
        <f t="shared" ref="D126" si="59">A126&amp;B126&amp;C126</f>
        <v>UVF27501750</v>
      </c>
      <c r="E126" s="1054">
        <f t="shared" si="30"/>
        <v>2977.3020362999996</v>
      </c>
      <c r="F126" s="632">
        <v>30.5</v>
      </c>
      <c r="G126" s="633">
        <f>F126*CCBASE!$B$51</f>
        <v>1098</v>
      </c>
      <c r="H126" s="633">
        <f>CCBASE!$I$11*B126/1000</f>
        <v>442.73064604999996</v>
      </c>
      <c r="I126" s="633"/>
      <c r="J126" s="633"/>
      <c r="K126" s="633"/>
      <c r="L126" s="633">
        <f>CCBASE!$I$13*B126/1000</f>
        <v>658.72855125000001</v>
      </c>
      <c r="M126" s="633"/>
      <c r="N126" s="633">
        <f>CCBASE!$I$7*B126/1000</f>
        <v>86.74127</v>
      </c>
      <c r="O126" s="633">
        <f>CCBASE!$I$45*B126/1000</f>
        <v>27.4175</v>
      </c>
      <c r="P126" s="633">
        <f>CCBASE!$I$9</f>
        <v>39.7111223</v>
      </c>
      <c r="Q126" s="633">
        <f>CCBASE!$H$51</f>
        <v>5.16</v>
      </c>
      <c r="R126" s="633">
        <f>CCBASE!$I$4</f>
        <v>8.3986041999999994</v>
      </c>
      <c r="S126" s="633">
        <f>CCBASE!$I$8</f>
        <v>16.25526</v>
      </c>
      <c r="T126" s="633">
        <f>CCBASE!$I$44</f>
        <v>94.69</v>
      </c>
      <c r="U126" s="633">
        <f>CCBASE!$I$47*2</f>
        <v>28.82</v>
      </c>
      <c r="V126" s="633">
        <f>CCBASE!$I$46*1.5</f>
        <v>3.66</v>
      </c>
      <c r="W126" s="633">
        <f>CCBASE!$I$42*B126/1000</f>
        <v>194.92162249999998</v>
      </c>
      <c r="X126" s="633"/>
      <c r="Y126" s="633"/>
      <c r="Z126" s="633"/>
      <c r="AA126" s="633"/>
      <c r="AB126" s="633"/>
      <c r="AC126" s="633"/>
      <c r="AD126" s="633">
        <f>CCBASE!$I$38*2</f>
        <v>272.06745999999998</v>
      </c>
    </row>
    <row r="127" spans="1:30" x14ac:dyDescent="0.2">
      <c r="A127" s="631" t="s">
        <v>178</v>
      </c>
      <c r="B127" s="631">
        <v>3000</v>
      </c>
      <c r="C127" s="631">
        <v>1750</v>
      </c>
      <c r="D127" s="631" t="str">
        <f t="shared" si="47"/>
        <v>UVF30001750</v>
      </c>
      <c r="E127" s="1054">
        <f t="shared" si="30"/>
        <v>3105.5329081</v>
      </c>
      <c r="F127" s="632">
        <v>30.5</v>
      </c>
      <c r="G127" s="633">
        <f>F127*CCBASE!$B$51</f>
        <v>1098</v>
      </c>
      <c r="H127" s="633">
        <f>CCBASE!$I$11*B127/1000</f>
        <v>482.97888659999995</v>
      </c>
      <c r="I127" s="633"/>
      <c r="J127" s="633"/>
      <c r="K127" s="633"/>
      <c r="L127" s="633">
        <f>CCBASE!$I$13*B127/1000</f>
        <v>718.61296499999992</v>
      </c>
      <c r="M127" s="633"/>
      <c r="N127" s="633">
        <f>CCBASE!$I$7*B127/1000</f>
        <v>94.626840000000016</v>
      </c>
      <c r="O127" s="633">
        <f>CCBASE!$I$45*B127/1000</f>
        <v>29.910000000000004</v>
      </c>
      <c r="P127" s="633">
        <f>CCBASE!$I$9</f>
        <v>39.7111223</v>
      </c>
      <c r="Q127" s="633">
        <f>CCBASE!$H$51</f>
        <v>5.16</v>
      </c>
      <c r="R127" s="633">
        <f>CCBASE!$I$4</f>
        <v>8.3986041999999994</v>
      </c>
      <c r="S127" s="633">
        <f>CCBASE!$I$8</f>
        <v>16.25526</v>
      </c>
      <c r="T127" s="633">
        <f>CCBASE!$I$44</f>
        <v>94.69</v>
      </c>
      <c r="U127" s="633">
        <f>CCBASE!$I$47*2</f>
        <v>28.82</v>
      </c>
      <c r="V127" s="633">
        <f>CCBASE!$I$46*1.5</f>
        <v>3.66</v>
      </c>
      <c r="W127" s="633">
        <f>CCBASE!$I$42*B127/1000</f>
        <v>212.64176999999998</v>
      </c>
      <c r="X127" s="633"/>
      <c r="Y127" s="633"/>
      <c r="Z127" s="633"/>
      <c r="AA127" s="633"/>
      <c r="AB127" s="633"/>
      <c r="AC127" s="633"/>
      <c r="AD127" s="633">
        <f>CCBASE!$I$38*2</f>
        <v>272.06745999999998</v>
      </c>
    </row>
    <row r="128" spans="1:30" x14ac:dyDescent="0.2">
      <c r="A128" s="631" t="s">
        <v>178</v>
      </c>
      <c r="B128" s="631">
        <v>1000</v>
      </c>
      <c r="C128" s="631">
        <v>2000</v>
      </c>
      <c r="D128" s="631" t="str">
        <f t="shared" ref="D128:D136" si="60">A128&amp;B128&amp;C128</f>
        <v>UVF10002000</v>
      </c>
      <c r="E128" s="1054">
        <f t="shared" si="30"/>
        <v>2075.7860294000002</v>
      </c>
      <c r="F128" s="632">
        <v>29.5</v>
      </c>
      <c r="G128" s="633">
        <f>F128*CCBASE!$B$51</f>
        <v>1062</v>
      </c>
      <c r="H128" s="633">
        <f>CCBASE!$I$11*B128/1000</f>
        <v>160.99296219999999</v>
      </c>
      <c r="I128" s="633"/>
      <c r="J128" s="633"/>
      <c r="K128" s="633"/>
      <c r="L128" s="633">
        <f>CCBASE!$I$13*B128/1000</f>
        <v>239.537655</v>
      </c>
      <c r="M128" s="633"/>
      <c r="N128" s="633">
        <f>CCBASE!$I$7*B128/1000</f>
        <v>31.542280000000002</v>
      </c>
      <c r="O128" s="633">
        <f>CCBASE!$I$45*B128/1000</f>
        <v>9.9700000000000006</v>
      </c>
      <c r="P128" s="633">
        <f>CCBASE!$I$10</f>
        <v>30.661922000000001</v>
      </c>
      <c r="Q128" s="633">
        <f>CCBASE!$H$51</f>
        <v>5.16</v>
      </c>
      <c r="R128" s="633">
        <f>CCBASE!$I$4</f>
        <v>8.3986041999999994</v>
      </c>
      <c r="S128" s="633">
        <f>CCBASE!$I$8</f>
        <v>16.25526</v>
      </c>
      <c r="T128" s="633">
        <f>CCBASE!$I$44</f>
        <v>94.69</v>
      </c>
      <c r="U128" s="633">
        <f>CCBASE!$I$47</f>
        <v>14.41</v>
      </c>
      <c r="V128" s="633">
        <f>CCBASE!$I$46</f>
        <v>2.44</v>
      </c>
      <c r="W128" s="633">
        <f>CCBASE!$I$43*B128/1000</f>
        <v>88.624119999999991</v>
      </c>
      <c r="X128" s="633"/>
      <c r="Y128" s="633"/>
      <c r="Z128" s="633"/>
      <c r="AA128" s="633"/>
      <c r="AB128" s="633"/>
      <c r="AC128" s="633"/>
      <c r="AD128" s="633">
        <f>CCBASE!$I$39*2</f>
        <v>311.10322599999995</v>
      </c>
    </row>
    <row r="129" spans="1:45" x14ac:dyDescent="0.2">
      <c r="A129" s="631" t="s">
        <v>178</v>
      </c>
      <c r="B129" s="631">
        <v>1250</v>
      </c>
      <c r="C129" s="631">
        <v>2000</v>
      </c>
      <c r="D129" s="631" t="str">
        <f t="shared" ref="D129" si="61">A129&amp;B129&amp;C129</f>
        <v>UVF12502000</v>
      </c>
      <c r="E129" s="1054">
        <f t="shared" si="30"/>
        <v>2222.8627837000004</v>
      </c>
      <c r="F129" s="632">
        <v>29.5</v>
      </c>
      <c r="G129" s="633">
        <f>F129*CCBASE!$B$51</f>
        <v>1062</v>
      </c>
      <c r="H129" s="633">
        <f>CCBASE!$I$11*B129/1000</f>
        <v>201.24120274999999</v>
      </c>
      <c r="I129" s="633"/>
      <c r="J129" s="633"/>
      <c r="K129" s="633"/>
      <c r="L129" s="633">
        <f>CCBASE!$I$13*B129/1000</f>
        <v>299.42206874999999</v>
      </c>
      <c r="M129" s="633"/>
      <c r="N129" s="633">
        <f>CCBASE!$I$7*B129/1000</f>
        <v>39.427849999999999</v>
      </c>
      <c r="O129" s="633">
        <f>CCBASE!$I$45*B129/1000</f>
        <v>12.4625</v>
      </c>
      <c r="P129" s="633">
        <f>CCBASE!$I$10</f>
        <v>30.661922000000001</v>
      </c>
      <c r="Q129" s="633">
        <f>CCBASE!$H$51</f>
        <v>5.16</v>
      </c>
      <c r="R129" s="633">
        <f>CCBASE!$I$4</f>
        <v>8.3986041999999994</v>
      </c>
      <c r="S129" s="633">
        <f>CCBASE!$I$8</f>
        <v>16.25526</v>
      </c>
      <c r="T129" s="633">
        <f>CCBASE!$I$44</f>
        <v>94.69</v>
      </c>
      <c r="U129" s="633">
        <f>CCBASE!$I$47*2</f>
        <v>28.82</v>
      </c>
      <c r="V129" s="633">
        <f>CCBASE!$I$46</f>
        <v>2.44</v>
      </c>
      <c r="W129" s="633">
        <f>CCBASE!$I$43*B129/1000</f>
        <v>110.78014999999999</v>
      </c>
      <c r="X129" s="633"/>
      <c r="Y129" s="633"/>
      <c r="Z129" s="633"/>
      <c r="AA129" s="633"/>
      <c r="AB129" s="633"/>
      <c r="AC129" s="633"/>
      <c r="AD129" s="633">
        <f>CCBASE!$I$39*2</f>
        <v>311.10322599999995</v>
      </c>
    </row>
    <row r="130" spans="1:45" x14ac:dyDescent="0.2">
      <c r="A130" s="631" t="s">
        <v>178</v>
      </c>
      <c r="B130" s="631">
        <v>1500</v>
      </c>
      <c r="C130" s="631">
        <v>2000</v>
      </c>
      <c r="D130" s="631" t="str">
        <f t="shared" si="60"/>
        <v>UVF15002000</v>
      </c>
      <c r="E130" s="1054">
        <f t="shared" si="30"/>
        <v>2355.5295379999998</v>
      </c>
      <c r="F130" s="632">
        <v>29.5</v>
      </c>
      <c r="G130" s="633">
        <f>F130*CCBASE!$B$51</f>
        <v>1062</v>
      </c>
      <c r="H130" s="633">
        <f>CCBASE!$I$11*B130/1000</f>
        <v>241.48944329999998</v>
      </c>
      <c r="I130" s="633"/>
      <c r="J130" s="633"/>
      <c r="K130" s="633"/>
      <c r="L130" s="633">
        <f>CCBASE!$I$13*B130/1000</f>
        <v>359.30648249999996</v>
      </c>
      <c r="M130" s="633"/>
      <c r="N130" s="633">
        <f>CCBASE!$I$7*B130/1000</f>
        <v>47.313420000000008</v>
      </c>
      <c r="O130" s="633">
        <f>CCBASE!$I$45*B130/1000</f>
        <v>14.955000000000002</v>
      </c>
      <c r="P130" s="633">
        <f>CCBASE!$I$10</f>
        <v>30.661922000000001</v>
      </c>
      <c r="Q130" s="633">
        <f>CCBASE!$H$51</f>
        <v>5.16</v>
      </c>
      <c r="R130" s="633">
        <f>CCBASE!$I$4</f>
        <v>8.3986041999999994</v>
      </c>
      <c r="S130" s="633">
        <f>CCBASE!$I$8</f>
        <v>16.25526</v>
      </c>
      <c r="T130" s="633">
        <f>CCBASE!$I$44</f>
        <v>94.69</v>
      </c>
      <c r="U130" s="633">
        <f>CCBASE!$I$47*2</f>
        <v>28.82</v>
      </c>
      <c r="V130" s="633">
        <f>CCBASE!$I$46</f>
        <v>2.44</v>
      </c>
      <c r="W130" s="633">
        <f>CCBASE!$I$43*B130/1000</f>
        <v>132.93617999999998</v>
      </c>
      <c r="X130" s="633"/>
      <c r="Y130" s="633"/>
      <c r="Z130" s="633"/>
      <c r="AA130" s="633"/>
      <c r="AB130" s="633"/>
      <c r="AC130" s="633"/>
      <c r="AD130" s="633">
        <f>CCBASE!$I$39*2</f>
        <v>311.10322599999995</v>
      </c>
    </row>
    <row r="131" spans="1:45" x14ac:dyDescent="0.2">
      <c r="A131" s="631" t="s">
        <v>178</v>
      </c>
      <c r="B131" s="631">
        <v>1750</v>
      </c>
      <c r="C131" s="631">
        <v>2000</v>
      </c>
      <c r="D131" s="631" t="str">
        <f t="shared" ref="D131" si="62">A131&amp;B131&amp;C131</f>
        <v>UVF17502000</v>
      </c>
      <c r="E131" s="1054">
        <f t="shared" ref="E131:E194" si="63">SUM(G131:AD131)</f>
        <v>2498.4654925999994</v>
      </c>
      <c r="F131" s="632">
        <v>29.5</v>
      </c>
      <c r="G131" s="633">
        <f>F131*CCBASE!$B$51</f>
        <v>1062</v>
      </c>
      <c r="H131" s="633">
        <f>CCBASE!$I$11*B131/1000</f>
        <v>281.73768385</v>
      </c>
      <c r="I131" s="633"/>
      <c r="J131" s="633"/>
      <c r="K131" s="633"/>
      <c r="L131" s="633">
        <f>CCBASE!$I$13*B131/1000</f>
        <v>419.19089624999998</v>
      </c>
      <c r="M131" s="633"/>
      <c r="N131" s="633">
        <f>CCBASE!$I$7*B131/1000</f>
        <v>55.198990000000002</v>
      </c>
      <c r="O131" s="633">
        <f>CCBASE!$I$45*B131/1000</f>
        <v>17.447500000000002</v>
      </c>
      <c r="P131" s="633">
        <f>CCBASE!$I$9</f>
        <v>39.7111223</v>
      </c>
      <c r="Q131" s="633">
        <f>CCBASE!$H$51</f>
        <v>5.16</v>
      </c>
      <c r="R131" s="633">
        <f>CCBASE!$I$4</f>
        <v>8.3986041999999994</v>
      </c>
      <c r="S131" s="633">
        <f>CCBASE!$I$8</f>
        <v>16.25526</v>
      </c>
      <c r="T131" s="633">
        <f>CCBASE!$I$44</f>
        <v>94.69</v>
      </c>
      <c r="U131" s="633">
        <f>CCBASE!$I$47*2</f>
        <v>28.82</v>
      </c>
      <c r="V131" s="633">
        <f>CCBASE!$I$46*1.5</f>
        <v>3.66</v>
      </c>
      <c r="W131" s="633">
        <f>CCBASE!$I$43*B131/1000</f>
        <v>155.09220999999999</v>
      </c>
      <c r="X131" s="633"/>
      <c r="Y131" s="633"/>
      <c r="Z131" s="633"/>
      <c r="AA131" s="633"/>
      <c r="AB131" s="633"/>
      <c r="AC131" s="633"/>
      <c r="AD131" s="633">
        <f>CCBASE!$I$39*2</f>
        <v>311.10322599999995</v>
      </c>
    </row>
    <row r="132" spans="1:45" x14ac:dyDescent="0.2">
      <c r="A132" s="631" t="s">
        <v>178</v>
      </c>
      <c r="B132" s="631">
        <v>2000</v>
      </c>
      <c r="C132" s="631">
        <v>2000</v>
      </c>
      <c r="D132" s="631" t="str">
        <f t="shared" si="60"/>
        <v>UVF20002000</v>
      </c>
      <c r="E132" s="1054">
        <f t="shared" si="63"/>
        <v>2631.1322468999997</v>
      </c>
      <c r="F132" s="632">
        <v>29.5</v>
      </c>
      <c r="G132" s="633">
        <f>F132*CCBASE!$B$51</f>
        <v>1062</v>
      </c>
      <c r="H132" s="633">
        <f>CCBASE!$I$11*B132/1000</f>
        <v>321.98592439999999</v>
      </c>
      <c r="I132" s="633"/>
      <c r="J132" s="633"/>
      <c r="K132" s="633"/>
      <c r="L132" s="633">
        <f>CCBASE!$I$13*B132/1000</f>
        <v>479.07531</v>
      </c>
      <c r="M132" s="633"/>
      <c r="N132" s="633">
        <f>CCBASE!$I$7*B132/1000</f>
        <v>63.084560000000003</v>
      </c>
      <c r="O132" s="633">
        <f>CCBASE!$I$45*B132/1000</f>
        <v>19.940000000000001</v>
      </c>
      <c r="P132" s="633">
        <f>CCBASE!$I$9</f>
        <v>39.7111223</v>
      </c>
      <c r="Q132" s="633">
        <f>CCBASE!$H$51</f>
        <v>5.16</v>
      </c>
      <c r="R132" s="633">
        <f>CCBASE!$I$4</f>
        <v>8.3986041999999994</v>
      </c>
      <c r="S132" s="633">
        <f>CCBASE!$I$8</f>
        <v>16.25526</v>
      </c>
      <c r="T132" s="633">
        <f>CCBASE!$I$44</f>
        <v>94.69</v>
      </c>
      <c r="U132" s="633">
        <f>CCBASE!$I$47*2</f>
        <v>28.82</v>
      </c>
      <c r="V132" s="633">
        <f>CCBASE!$I$46*1.5</f>
        <v>3.66</v>
      </c>
      <c r="W132" s="633">
        <f>CCBASE!$I$43*B132/1000</f>
        <v>177.24823999999998</v>
      </c>
      <c r="X132" s="633"/>
      <c r="Y132" s="633"/>
      <c r="Z132" s="633"/>
      <c r="AA132" s="633"/>
      <c r="AB132" s="633"/>
      <c r="AC132" s="633"/>
      <c r="AD132" s="633">
        <f>CCBASE!$I$39*2</f>
        <v>311.10322599999995</v>
      </c>
    </row>
    <row r="133" spans="1:45" x14ac:dyDescent="0.2">
      <c r="A133" s="631" t="s">
        <v>178</v>
      </c>
      <c r="B133" s="631">
        <v>2250</v>
      </c>
      <c r="C133" s="631">
        <v>2000</v>
      </c>
      <c r="D133" s="631" t="str">
        <f t="shared" ref="D133" si="64">A133&amp;B133&amp;C133</f>
        <v>UVF22502000</v>
      </c>
      <c r="E133" s="1054">
        <f t="shared" si="63"/>
        <v>2799.7990012</v>
      </c>
      <c r="F133" s="632">
        <v>30.5</v>
      </c>
      <c r="G133" s="633">
        <f>F133*CCBASE!$B$51</f>
        <v>1098</v>
      </c>
      <c r="H133" s="633">
        <f>CCBASE!$I$11*B133/1000</f>
        <v>362.23416494999998</v>
      </c>
      <c r="I133" s="633"/>
      <c r="J133" s="633"/>
      <c r="K133" s="633"/>
      <c r="L133" s="633">
        <f>CCBASE!$I$13*B133/1000</f>
        <v>538.95972374999997</v>
      </c>
      <c r="M133" s="633"/>
      <c r="N133" s="633">
        <f>CCBASE!$I$7*B133/1000</f>
        <v>70.970130000000012</v>
      </c>
      <c r="O133" s="633">
        <f>CCBASE!$I$45*B133/1000</f>
        <v>22.432500000000001</v>
      </c>
      <c r="P133" s="633">
        <f>CCBASE!$I$9</f>
        <v>39.7111223</v>
      </c>
      <c r="Q133" s="633">
        <f>CCBASE!$H$51</f>
        <v>5.16</v>
      </c>
      <c r="R133" s="633">
        <f>CCBASE!$I$4</f>
        <v>8.3986041999999994</v>
      </c>
      <c r="S133" s="633">
        <f>CCBASE!$I$8</f>
        <v>16.25526</v>
      </c>
      <c r="T133" s="633">
        <f>CCBASE!$I$44</f>
        <v>94.69</v>
      </c>
      <c r="U133" s="633">
        <f>CCBASE!$I$47*2</f>
        <v>28.82</v>
      </c>
      <c r="V133" s="633">
        <f>CCBASE!$I$46*1.5</f>
        <v>3.66</v>
      </c>
      <c r="W133" s="633">
        <f>CCBASE!$I$43*B133/1000</f>
        <v>199.40427</v>
      </c>
      <c r="X133" s="633"/>
      <c r="Y133" s="633"/>
      <c r="Z133" s="633"/>
      <c r="AA133" s="633"/>
      <c r="AB133" s="633"/>
      <c r="AC133" s="633"/>
      <c r="AD133" s="633">
        <f>CCBASE!$I$39*2</f>
        <v>311.10322599999995</v>
      </c>
    </row>
    <row r="134" spans="1:45" x14ac:dyDescent="0.2">
      <c r="A134" s="631" t="s">
        <v>178</v>
      </c>
      <c r="B134" s="631">
        <v>2500</v>
      </c>
      <c r="C134" s="631">
        <v>2000</v>
      </c>
      <c r="D134" s="631" t="str">
        <f t="shared" si="60"/>
        <v>UVF25002000</v>
      </c>
      <c r="E134" s="1054">
        <f t="shared" si="63"/>
        <v>2932.4657555000003</v>
      </c>
      <c r="F134" s="632">
        <v>30.5</v>
      </c>
      <c r="G134" s="633">
        <f>F134*CCBASE!$B$51</f>
        <v>1098</v>
      </c>
      <c r="H134" s="633">
        <f>CCBASE!$I$11*B134/1000</f>
        <v>402.48240549999997</v>
      </c>
      <c r="I134" s="633"/>
      <c r="J134" s="633"/>
      <c r="K134" s="633"/>
      <c r="L134" s="633">
        <f>CCBASE!$I$13*B134/1000</f>
        <v>598.84413749999999</v>
      </c>
      <c r="M134" s="633"/>
      <c r="N134" s="633">
        <f>CCBASE!$I$7*B134/1000</f>
        <v>78.855699999999999</v>
      </c>
      <c r="O134" s="633">
        <f>CCBASE!$I$45*B134/1000</f>
        <v>24.925000000000001</v>
      </c>
      <c r="P134" s="633">
        <f>CCBASE!$I$9</f>
        <v>39.7111223</v>
      </c>
      <c r="Q134" s="633">
        <f>CCBASE!$H$51</f>
        <v>5.16</v>
      </c>
      <c r="R134" s="633">
        <f>CCBASE!$I$4</f>
        <v>8.3986041999999994</v>
      </c>
      <c r="S134" s="633">
        <f>CCBASE!$I$8</f>
        <v>16.25526</v>
      </c>
      <c r="T134" s="633">
        <f>CCBASE!$I$44</f>
        <v>94.69</v>
      </c>
      <c r="U134" s="633">
        <f>CCBASE!$I$47*2</f>
        <v>28.82</v>
      </c>
      <c r="V134" s="633">
        <f>CCBASE!$I$46*1.5</f>
        <v>3.66</v>
      </c>
      <c r="W134" s="633">
        <f>CCBASE!$I$43*B134/1000</f>
        <v>221.56029999999998</v>
      </c>
      <c r="X134" s="633"/>
      <c r="Y134" s="633"/>
      <c r="Z134" s="633"/>
      <c r="AA134" s="633"/>
      <c r="AB134" s="633"/>
      <c r="AC134" s="633"/>
      <c r="AD134" s="633">
        <f>CCBASE!$I$39*2</f>
        <v>311.10322599999995</v>
      </c>
    </row>
    <row r="135" spans="1:45" x14ac:dyDescent="0.2">
      <c r="A135" s="631" t="s">
        <v>178</v>
      </c>
      <c r="B135" s="631">
        <v>2750</v>
      </c>
      <c r="C135" s="631">
        <v>2000</v>
      </c>
      <c r="D135" s="631" t="str">
        <f t="shared" ref="D135" si="65">A135&amp;B135&amp;C135</f>
        <v>UVF27502000</v>
      </c>
      <c r="E135" s="1054">
        <f t="shared" si="63"/>
        <v>3065.1325097999998</v>
      </c>
      <c r="F135" s="632">
        <v>30.5</v>
      </c>
      <c r="G135" s="633">
        <f>F135*CCBASE!$B$51</f>
        <v>1098</v>
      </c>
      <c r="H135" s="633">
        <f>CCBASE!$I$11*B135/1000</f>
        <v>442.73064604999996</v>
      </c>
      <c r="I135" s="633"/>
      <c r="J135" s="633"/>
      <c r="K135" s="633"/>
      <c r="L135" s="633">
        <f>CCBASE!$I$13*B135/1000</f>
        <v>658.72855125000001</v>
      </c>
      <c r="M135" s="633"/>
      <c r="N135" s="633">
        <f>CCBASE!$I$7*B135/1000</f>
        <v>86.74127</v>
      </c>
      <c r="O135" s="633">
        <f>CCBASE!$I$45*B135/1000</f>
        <v>27.4175</v>
      </c>
      <c r="P135" s="633">
        <f>CCBASE!$I$9</f>
        <v>39.7111223</v>
      </c>
      <c r="Q135" s="633">
        <f>CCBASE!$H$51</f>
        <v>5.16</v>
      </c>
      <c r="R135" s="633">
        <f>CCBASE!$I$4</f>
        <v>8.3986041999999994</v>
      </c>
      <c r="S135" s="633">
        <f>CCBASE!$I$8</f>
        <v>16.25526</v>
      </c>
      <c r="T135" s="633">
        <f>CCBASE!$I$44</f>
        <v>94.69</v>
      </c>
      <c r="U135" s="633">
        <f>CCBASE!$I$47*2</f>
        <v>28.82</v>
      </c>
      <c r="V135" s="633">
        <f>CCBASE!$I$46*1.5</f>
        <v>3.66</v>
      </c>
      <c r="W135" s="633">
        <f>CCBASE!$I$43*B135/1000</f>
        <v>243.71633</v>
      </c>
      <c r="X135" s="633"/>
      <c r="Y135" s="633"/>
      <c r="Z135" s="633"/>
      <c r="AA135" s="633"/>
      <c r="AB135" s="633"/>
      <c r="AC135" s="633"/>
      <c r="AD135" s="633">
        <f>CCBASE!$I$39*2</f>
        <v>311.10322599999995</v>
      </c>
    </row>
    <row r="136" spans="1:45" x14ac:dyDescent="0.2">
      <c r="A136" s="631" t="s">
        <v>178</v>
      </c>
      <c r="B136" s="631">
        <v>3000</v>
      </c>
      <c r="C136" s="631">
        <v>2000</v>
      </c>
      <c r="D136" s="631" t="str">
        <f t="shared" si="60"/>
        <v>UVF30002000</v>
      </c>
      <c r="E136" s="1054">
        <f t="shared" si="63"/>
        <v>3197.7992640999992</v>
      </c>
      <c r="F136" s="632">
        <v>30.5</v>
      </c>
      <c r="G136" s="633">
        <f>F136*CCBASE!$B$51</f>
        <v>1098</v>
      </c>
      <c r="H136" s="633">
        <f>CCBASE!$I$11*B136/1000</f>
        <v>482.97888659999995</v>
      </c>
      <c r="I136" s="633"/>
      <c r="J136" s="633"/>
      <c r="K136" s="633"/>
      <c r="L136" s="633">
        <f>CCBASE!$I$13*B136/1000</f>
        <v>718.61296499999992</v>
      </c>
      <c r="M136" s="633"/>
      <c r="N136" s="633">
        <f>CCBASE!$I$7*B136/1000</f>
        <v>94.626840000000016</v>
      </c>
      <c r="O136" s="633">
        <f>CCBASE!$I$45*B136/1000</f>
        <v>29.910000000000004</v>
      </c>
      <c r="P136" s="633">
        <f>CCBASE!$I$9</f>
        <v>39.7111223</v>
      </c>
      <c r="Q136" s="633">
        <f>CCBASE!$H$51</f>
        <v>5.16</v>
      </c>
      <c r="R136" s="633">
        <f>CCBASE!$I$4</f>
        <v>8.3986041999999994</v>
      </c>
      <c r="S136" s="633">
        <f>CCBASE!$I$8</f>
        <v>16.25526</v>
      </c>
      <c r="T136" s="633">
        <f>CCBASE!$I$44</f>
        <v>94.69</v>
      </c>
      <c r="U136" s="633">
        <f>CCBASE!$I$47*2</f>
        <v>28.82</v>
      </c>
      <c r="V136" s="633">
        <f>CCBASE!$I$46*1.5</f>
        <v>3.66</v>
      </c>
      <c r="W136" s="633">
        <f>CCBASE!$I$43*B136/1000</f>
        <v>265.87235999999996</v>
      </c>
      <c r="X136" s="633"/>
      <c r="Y136" s="633"/>
      <c r="Z136" s="633"/>
      <c r="AA136" s="633"/>
      <c r="AB136" s="633"/>
      <c r="AC136" s="633"/>
      <c r="AD136" s="633">
        <f>CCBASE!$I$39*2</f>
        <v>311.10322599999995</v>
      </c>
    </row>
    <row r="137" spans="1:45" x14ac:dyDescent="0.2">
      <c r="A137" s="631" t="s">
        <v>191</v>
      </c>
      <c r="B137" s="631">
        <v>1000</v>
      </c>
      <c r="C137" s="631">
        <v>1000</v>
      </c>
      <c r="D137" s="631" t="str">
        <f>$A137&amp;B137&amp;C137</f>
        <v>KVX10001000</v>
      </c>
      <c r="E137" s="1054">
        <f t="shared" si="63"/>
        <v>845.18531050000001</v>
      </c>
      <c r="F137" s="632">
        <v>13</v>
      </c>
      <c r="G137" s="633">
        <f>F137*CCBASE!$B$51</f>
        <v>468</v>
      </c>
      <c r="H137" s="633">
        <f>CCBASE!$I$12*B137/1000</f>
        <v>119.65053730000001</v>
      </c>
      <c r="I137" s="633"/>
      <c r="J137" s="633"/>
      <c r="K137" s="633"/>
      <c r="L137" s="632"/>
      <c r="M137" s="633">
        <f>CCBASE!$I$15*B137/1000</f>
        <v>79.84588500000001</v>
      </c>
      <c r="N137" s="633"/>
      <c r="O137" s="633"/>
      <c r="P137" s="633"/>
      <c r="Q137" s="633">
        <f>CCBASE!$I$51</f>
        <v>2.9</v>
      </c>
      <c r="R137" s="633">
        <f>CCBASE!$I$4</f>
        <v>8.3986041999999994</v>
      </c>
      <c r="S137" s="633">
        <f>CCBASE!$I$8</f>
        <v>16.25526</v>
      </c>
      <c r="T137" s="632"/>
      <c r="U137" s="633"/>
      <c r="V137" s="633"/>
      <c r="W137" s="633">
        <f>CCBASE!$I$40*B137/1000</f>
        <v>41.308039999999998</v>
      </c>
      <c r="X137" s="633"/>
      <c r="Y137" s="633"/>
      <c r="Z137" s="633"/>
      <c r="AA137" s="633"/>
      <c r="AB137" s="633"/>
      <c r="AC137" s="633"/>
      <c r="AD137" s="633">
        <f>CCBASE!$I$32*2</f>
        <v>108.826984</v>
      </c>
      <c r="AI137" s="635"/>
      <c r="AJ137" s="635"/>
      <c r="AK137" s="636"/>
      <c r="AL137" s="636"/>
      <c r="AM137" s="636"/>
      <c r="AN137" s="636"/>
      <c r="AO137" s="636"/>
      <c r="AP137" s="636"/>
      <c r="AQ137" s="636"/>
      <c r="AR137" s="636"/>
      <c r="AS137" s="636"/>
    </row>
    <row r="138" spans="1:45" x14ac:dyDescent="0.2">
      <c r="A138" s="631" t="s">
        <v>191</v>
      </c>
      <c r="B138" s="631">
        <v>1250</v>
      </c>
      <c r="C138" s="631">
        <v>1000</v>
      </c>
      <c r="D138" s="631" t="str">
        <f t="shared" ref="D138:D181" si="66">$A138&amp;B138&amp;C138</f>
        <v>KVX12501000</v>
      </c>
      <c r="E138" s="1054">
        <f t="shared" si="63"/>
        <v>905.38642607500003</v>
      </c>
      <c r="F138" s="632">
        <v>13</v>
      </c>
      <c r="G138" s="633">
        <f>F138*CCBASE!$B$51</f>
        <v>468</v>
      </c>
      <c r="H138" s="633">
        <f>CCBASE!$I$12*B138/1000</f>
        <v>149.56317162500002</v>
      </c>
      <c r="I138" s="633"/>
      <c r="J138" s="633"/>
      <c r="K138" s="633"/>
      <c r="L138" s="632"/>
      <c r="M138" s="633">
        <f>CCBASE!$I$15*B138/1000</f>
        <v>99.807356250000012</v>
      </c>
      <c r="N138" s="633"/>
      <c r="O138" s="633"/>
      <c r="P138" s="633"/>
      <c r="Q138" s="633">
        <f>CCBASE!$I$51</f>
        <v>2.9</v>
      </c>
      <c r="R138" s="633">
        <f>CCBASE!$I$4</f>
        <v>8.3986041999999994</v>
      </c>
      <c r="S138" s="633">
        <f>CCBASE!$I$8</f>
        <v>16.25526</v>
      </c>
      <c r="T138" s="632"/>
      <c r="U138" s="633"/>
      <c r="V138" s="633"/>
      <c r="W138" s="633">
        <f>CCBASE!$I$40*B138/1000</f>
        <v>51.635049999999993</v>
      </c>
      <c r="X138" s="633"/>
      <c r="Y138" s="633"/>
      <c r="Z138" s="633"/>
      <c r="AA138" s="633"/>
      <c r="AB138" s="633"/>
      <c r="AC138" s="633"/>
      <c r="AD138" s="633">
        <f>CCBASE!$I$32*2</f>
        <v>108.826984</v>
      </c>
      <c r="AI138" s="635"/>
      <c r="AJ138" s="635"/>
      <c r="AK138" s="636"/>
      <c r="AL138" s="636"/>
      <c r="AM138" s="636"/>
      <c r="AN138" s="636"/>
      <c r="AO138" s="636"/>
      <c r="AP138" s="636"/>
      <c r="AQ138" s="636"/>
      <c r="AR138" s="636"/>
      <c r="AS138" s="636"/>
    </row>
    <row r="139" spans="1:45" x14ac:dyDescent="0.2">
      <c r="A139" s="631" t="s">
        <v>191</v>
      </c>
      <c r="B139" s="631">
        <v>1500</v>
      </c>
      <c r="C139" s="631">
        <v>1000</v>
      </c>
      <c r="D139" s="631" t="str">
        <f t="shared" si="66"/>
        <v>KVX15001000</v>
      </c>
      <c r="E139" s="1054">
        <f t="shared" si="63"/>
        <v>965.58754165000005</v>
      </c>
      <c r="F139" s="632">
        <v>13</v>
      </c>
      <c r="G139" s="633">
        <f>F139*CCBASE!$B$51</f>
        <v>468</v>
      </c>
      <c r="H139" s="633">
        <f>CCBASE!$I$12*B139/1000</f>
        <v>179.47580595000002</v>
      </c>
      <c r="I139" s="633"/>
      <c r="J139" s="633"/>
      <c r="K139" s="633"/>
      <c r="L139" s="632"/>
      <c r="M139" s="633">
        <f>CCBASE!$I$15*B139/1000</f>
        <v>119.76882750000001</v>
      </c>
      <c r="N139" s="633"/>
      <c r="O139" s="633"/>
      <c r="P139" s="633"/>
      <c r="Q139" s="633">
        <f>CCBASE!$I$51</f>
        <v>2.9</v>
      </c>
      <c r="R139" s="633">
        <f>CCBASE!$I$4</f>
        <v>8.3986041999999994</v>
      </c>
      <c r="S139" s="633">
        <f>CCBASE!$I$8</f>
        <v>16.25526</v>
      </c>
      <c r="T139" s="632"/>
      <c r="U139" s="633"/>
      <c r="V139" s="633"/>
      <c r="W139" s="633">
        <f>CCBASE!$I$40*B139/1000</f>
        <v>61.962060000000001</v>
      </c>
      <c r="X139" s="633"/>
      <c r="Y139" s="633"/>
      <c r="Z139" s="633"/>
      <c r="AA139" s="633"/>
      <c r="AB139" s="633"/>
      <c r="AC139" s="633"/>
      <c r="AD139" s="633">
        <f>CCBASE!$I$32*2</f>
        <v>108.826984</v>
      </c>
      <c r="AI139" s="635"/>
      <c r="AJ139" s="635"/>
      <c r="AK139" s="636"/>
      <c r="AL139" s="636"/>
      <c r="AM139" s="636"/>
      <c r="AN139" s="636"/>
      <c r="AO139" s="636"/>
      <c r="AP139" s="636"/>
      <c r="AQ139" s="636"/>
      <c r="AR139" s="636"/>
      <c r="AS139" s="636"/>
    </row>
    <row r="140" spans="1:45" x14ac:dyDescent="0.2">
      <c r="A140" s="631" t="s">
        <v>191</v>
      </c>
      <c r="B140" s="631">
        <v>1750</v>
      </c>
      <c r="C140" s="631">
        <v>1000</v>
      </c>
      <c r="D140" s="631" t="str">
        <f t="shared" si="66"/>
        <v>KVX17501000</v>
      </c>
      <c r="E140" s="1054">
        <f t="shared" si="63"/>
        <v>1025.788657225</v>
      </c>
      <c r="F140" s="632">
        <v>13</v>
      </c>
      <c r="G140" s="633">
        <f>F140*CCBASE!$B$51</f>
        <v>468</v>
      </c>
      <c r="H140" s="633">
        <f>CCBASE!$I$12*B140/1000</f>
        <v>209.38844027500002</v>
      </c>
      <c r="I140" s="633"/>
      <c r="J140" s="633"/>
      <c r="K140" s="633"/>
      <c r="L140" s="632"/>
      <c r="M140" s="633">
        <f>CCBASE!$I$15*B140/1000</f>
        <v>139.73029875</v>
      </c>
      <c r="N140" s="633"/>
      <c r="O140" s="633"/>
      <c r="P140" s="633"/>
      <c r="Q140" s="633">
        <f>CCBASE!$I$51</f>
        <v>2.9</v>
      </c>
      <c r="R140" s="633">
        <f>CCBASE!$I$4</f>
        <v>8.3986041999999994</v>
      </c>
      <c r="S140" s="633">
        <f>CCBASE!$I$8</f>
        <v>16.25526</v>
      </c>
      <c r="T140" s="632"/>
      <c r="U140" s="633"/>
      <c r="V140" s="633"/>
      <c r="W140" s="633">
        <f>CCBASE!$I$40*B140/1000</f>
        <v>72.289069999999995</v>
      </c>
      <c r="X140" s="633"/>
      <c r="Y140" s="633"/>
      <c r="Z140" s="633"/>
      <c r="AA140" s="633"/>
      <c r="AB140" s="633"/>
      <c r="AC140" s="633"/>
      <c r="AD140" s="633">
        <f>CCBASE!$I$32*2</f>
        <v>108.826984</v>
      </c>
      <c r="AI140" s="635"/>
      <c r="AJ140" s="635"/>
      <c r="AN140" s="636"/>
      <c r="AO140" s="636"/>
      <c r="AP140" s="636"/>
      <c r="AQ140" s="636"/>
      <c r="AR140" s="636"/>
      <c r="AS140" s="636"/>
    </row>
    <row r="141" spans="1:45" x14ac:dyDescent="0.2">
      <c r="A141" s="631" t="s">
        <v>191</v>
      </c>
      <c r="B141" s="631">
        <v>2000</v>
      </c>
      <c r="C141" s="631">
        <v>1000</v>
      </c>
      <c r="D141" s="631" t="str">
        <f t="shared" si="66"/>
        <v>KVX20001000</v>
      </c>
      <c r="E141" s="1054">
        <f t="shared" si="63"/>
        <v>1085.9897728000001</v>
      </c>
      <c r="F141" s="632">
        <v>13</v>
      </c>
      <c r="G141" s="633">
        <f>F141*CCBASE!$B$51</f>
        <v>468</v>
      </c>
      <c r="H141" s="633">
        <f>CCBASE!$I$12*B141/1000</f>
        <v>239.30107460000002</v>
      </c>
      <c r="I141" s="633"/>
      <c r="J141" s="633"/>
      <c r="K141" s="633"/>
      <c r="L141" s="632"/>
      <c r="M141" s="633">
        <f>CCBASE!$I$15*B141/1000</f>
        <v>159.69177000000002</v>
      </c>
      <c r="N141" s="633"/>
      <c r="O141" s="633"/>
      <c r="P141" s="633"/>
      <c r="Q141" s="633">
        <f>CCBASE!$I$51</f>
        <v>2.9</v>
      </c>
      <c r="R141" s="633">
        <f>CCBASE!$I$4</f>
        <v>8.3986041999999994</v>
      </c>
      <c r="S141" s="633">
        <f>CCBASE!$I$8</f>
        <v>16.25526</v>
      </c>
      <c r="T141" s="632"/>
      <c r="U141" s="633"/>
      <c r="V141" s="633"/>
      <c r="W141" s="633">
        <f>CCBASE!$I$40*B141/1000</f>
        <v>82.616079999999997</v>
      </c>
      <c r="X141" s="633"/>
      <c r="Y141" s="633"/>
      <c r="Z141" s="633"/>
      <c r="AA141" s="633"/>
      <c r="AB141" s="633"/>
      <c r="AC141" s="633"/>
      <c r="AD141" s="633">
        <f>CCBASE!$I$32*2</f>
        <v>108.826984</v>
      </c>
      <c r="AI141" s="635"/>
      <c r="AJ141" s="635"/>
      <c r="AN141" s="636"/>
      <c r="AO141" s="636"/>
      <c r="AP141" s="636"/>
      <c r="AQ141" s="636"/>
      <c r="AR141" s="636"/>
      <c r="AS141" s="636"/>
    </row>
    <row r="142" spans="1:45" x14ac:dyDescent="0.2">
      <c r="A142" s="631" t="s">
        <v>191</v>
      </c>
      <c r="B142" s="631">
        <v>2250</v>
      </c>
      <c r="C142" s="631">
        <v>1000</v>
      </c>
      <c r="D142" s="631" t="str">
        <f t="shared" si="66"/>
        <v>KVX22501000</v>
      </c>
      <c r="E142" s="1054">
        <f t="shared" si="63"/>
        <v>1182.1908883750002</v>
      </c>
      <c r="F142" s="632">
        <v>14</v>
      </c>
      <c r="G142" s="633">
        <f>F142*CCBASE!$B$51</f>
        <v>504</v>
      </c>
      <c r="H142" s="633">
        <f>CCBASE!$I$12*B142/1000</f>
        <v>269.21370892500005</v>
      </c>
      <c r="I142" s="633"/>
      <c r="J142" s="633"/>
      <c r="K142" s="633"/>
      <c r="L142" s="632"/>
      <c r="M142" s="633">
        <f>CCBASE!$I$15*B142/1000</f>
        <v>179.65324125000001</v>
      </c>
      <c r="N142" s="633"/>
      <c r="O142" s="633"/>
      <c r="P142" s="633"/>
      <c r="Q142" s="633">
        <f>CCBASE!$I$51</f>
        <v>2.9</v>
      </c>
      <c r="R142" s="633">
        <f>CCBASE!$I$4</f>
        <v>8.3986041999999994</v>
      </c>
      <c r="S142" s="633">
        <f>CCBASE!$I$8</f>
        <v>16.25526</v>
      </c>
      <c r="T142" s="632"/>
      <c r="U142" s="633"/>
      <c r="V142" s="633"/>
      <c r="W142" s="633">
        <f>CCBASE!$I$40*B142/1000</f>
        <v>92.943089999999998</v>
      </c>
      <c r="X142" s="633"/>
      <c r="Y142" s="633"/>
      <c r="Z142" s="633"/>
      <c r="AA142" s="633"/>
      <c r="AB142" s="633"/>
      <c r="AC142" s="633"/>
      <c r="AD142" s="633">
        <f>CCBASE!$I$32*2</f>
        <v>108.826984</v>
      </c>
      <c r="AI142" s="635"/>
      <c r="AJ142" s="635"/>
      <c r="AN142" s="636"/>
      <c r="AO142" s="636"/>
      <c r="AP142" s="636"/>
      <c r="AQ142" s="636"/>
      <c r="AR142" s="636"/>
      <c r="AS142" s="636"/>
    </row>
    <row r="143" spans="1:45" x14ac:dyDescent="0.2">
      <c r="A143" s="631" t="s">
        <v>191</v>
      </c>
      <c r="B143" s="631">
        <v>2500</v>
      </c>
      <c r="C143" s="631">
        <v>1000</v>
      </c>
      <c r="D143" s="631" t="str">
        <f t="shared" si="66"/>
        <v>KVX25001000</v>
      </c>
      <c r="E143" s="1054">
        <f t="shared" si="63"/>
        <v>1242.3920039499999</v>
      </c>
      <c r="F143" s="632">
        <v>14</v>
      </c>
      <c r="G143" s="633">
        <f>F143*CCBASE!$B$51</f>
        <v>504</v>
      </c>
      <c r="H143" s="633">
        <f>CCBASE!$I$12*B143/1000</f>
        <v>299.12634325000005</v>
      </c>
      <c r="I143" s="633"/>
      <c r="J143" s="633"/>
      <c r="K143" s="633"/>
      <c r="L143" s="632"/>
      <c r="M143" s="633">
        <f>CCBASE!$I$15*B143/1000</f>
        <v>199.61471250000002</v>
      </c>
      <c r="N143" s="633"/>
      <c r="O143" s="633"/>
      <c r="P143" s="633"/>
      <c r="Q143" s="633">
        <f>CCBASE!$I$51</f>
        <v>2.9</v>
      </c>
      <c r="R143" s="633">
        <f>CCBASE!$I$4</f>
        <v>8.3986041999999994</v>
      </c>
      <c r="S143" s="633">
        <f>CCBASE!$I$8</f>
        <v>16.25526</v>
      </c>
      <c r="T143" s="632"/>
      <c r="U143" s="633"/>
      <c r="V143" s="633"/>
      <c r="W143" s="633">
        <f>CCBASE!$I$40*B143/1000</f>
        <v>103.27009999999999</v>
      </c>
      <c r="X143" s="633"/>
      <c r="Y143" s="633"/>
      <c r="Z143" s="633"/>
      <c r="AA143" s="633"/>
      <c r="AB143" s="633"/>
      <c r="AC143" s="633"/>
      <c r="AD143" s="633">
        <f>CCBASE!$I$32*2</f>
        <v>108.826984</v>
      </c>
      <c r="AI143" s="635"/>
      <c r="AJ143" s="635"/>
      <c r="AN143" s="636"/>
      <c r="AO143" s="636"/>
      <c r="AP143" s="636"/>
      <c r="AQ143" s="636"/>
      <c r="AR143" s="636"/>
      <c r="AS143" s="636"/>
    </row>
    <row r="144" spans="1:45" x14ac:dyDescent="0.2">
      <c r="A144" s="631" t="s">
        <v>191</v>
      </c>
      <c r="B144" s="631">
        <v>2750</v>
      </c>
      <c r="C144" s="631">
        <v>1000</v>
      </c>
      <c r="D144" s="631" t="str">
        <f t="shared" si="66"/>
        <v>KVX27501000</v>
      </c>
      <c r="E144" s="1054">
        <f t="shared" si="63"/>
        <v>1302.5931195249998</v>
      </c>
      <c r="F144" s="632">
        <v>14</v>
      </c>
      <c r="G144" s="633">
        <f>F144*CCBASE!$B$51</f>
        <v>504</v>
      </c>
      <c r="H144" s="633">
        <f>CCBASE!$I$12*B144/1000</f>
        <v>329.03897757500005</v>
      </c>
      <c r="I144" s="633"/>
      <c r="J144" s="633"/>
      <c r="K144" s="633"/>
      <c r="L144" s="632"/>
      <c r="M144" s="633">
        <f>CCBASE!$I$15*B144/1000</f>
        <v>219.57618375000001</v>
      </c>
      <c r="N144" s="633"/>
      <c r="O144" s="633"/>
      <c r="P144" s="633"/>
      <c r="Q144" s="633">
        <f>CCBASE!$I$51</f>
        <v>2.9</v>
      </c>
      <c r="R144" s="633">
        <f>CCBASE!$I$4</f>
        <v>8.3986041999999994</v>
      </c>
      <c r="S144" s="633">
        <f>CCBASE!$I$8</f>
        <v>16.25526</v>
      </c>
      <c r="T144" s="632"/>
      <c r="U144" s="633"/>
      <c r="V144" s="633"/>
      <c r="W144" s="633">
        <f>CCBASE!$I$40*B144/1000</f>
        <v>113.59711</v>
      </c>
      <c r="X144" s="633"/>
      <c r="Y144" s="633"/>
      <c r="Z144" s="633"/>
      <c r="AA144" s="633"/>
      <c r="AB144" s="633"/>
      <c r="AC144" s="633"/>
      <c r="AD144" s="633">
        <f>CCBASE!$I$32*2</f>
        <v>108.826984</v>
      </c>
      <c r="AI144" s="635"/>
      <c r="AJ144" s="635"/>
      <c r="AN144" s="636"/>
      <c r="AO144" s="636"/>
      <c r="AP144" s="636"/>
      <c r="AQ144" s="636"/>
      <c r="AR144" s="636"/>
      <c r="AS144" s="636"/>
    </row>
    <row r="145" spans="1:45" x14ac:dyDescent="0.2">
      <c r="A145" s="631" t="s">
        <v>191</v>
      </c>
      <c r="B145" s="631">
        <v>3000</v>
      </c>
      <c r="C145" s="631">
        <v>1000</v>
      </c>
      <c r="D145" s="631" t="str">
        <f t="shared" si="66"/>
        <v>KVX30001000</v>
      </c>
      <c r="E145" s="1054">
        <f t="shared" si="63"/>
        <v>1362.7942350999999</v>
      </c>
      <c r="F145" s="632">
        <v>14</v>
      </c>
      <c r="G145" s="633">
        <f>F145*CCBASE!$B$51</f>
        <v>504</v>
      </c>
      <c r="H145" s="633">
        <f>CCBASE!$I$12*B145/1000</f>
        <v>358.95161190000005</v>
      </c>
      <c r="I145" s="633"/>
      <c r="J145" s="633"/>
      <c r="K145" s="633"/>
      <c r="L145" s="632"/>
      <c r="M145" s="633">
        <f>CCBASE!$I$15*B145/1000</f>
        <v>239.53765500000003</v>
      </c>
      <c r="N145" s="633"/>
      <c r="O145" s="633"/>
      <c r="P145" s="633"/>
      <c r="Q145" s="633">
        <f>CCBASE!$I$51</f>
        <v>2.9</v>
      </c>
      <c r="R145" s="633">
        <f>CCBASE!$I$4</f>
        <v>8.3986041999999994</v>
      </c>
      <c r="S145" s="633">
        <f>CCBASE!$I$8</f>
        <v>16.25526</v>
      </c>
      <c r="T145" s="632"/>
      <c r="U145" s="633"/>
      <c r="V145" s="633"/>
      <c r="W145" s="633">
        <f>CCBASE!$I$40*B145/1000</f>
        <v>123.92412</v>
      </c>
      <c r="X145" s="633"/>
      <c r="Y145" s="633"/>
      <c r="Z145" s="633"/>
      <c r="AA145" s="633"/>
      <c r="AB145" s="633"/>
      <c r="AC145" s="633"/>
      <c r="AD145" s="633">
        <f>CCBASE!$I$32*2</f>
        <v>108.826984</v>
      </c>
      <c r="AI145" s="635"/>
      <c r="AJ145" s="635"/>
      <c r="AN145" s="636"/>
      <c r="AO145" s="636"/>
      <c r="AP145" s="636"/>
      <c r="AQ145" s="636"/>
      <c r="AR145" s="636"/>
      <c r="AS145" s="636"/>
    </row>
    <row r="146" spans="1:45" x14ac:dyDescent="0.2">
      <c r="A146" s="631" t="s">
        <v>191</v>
      </c>
      <c r="B146" s="631">
        <v>1000</v>
      </c>
      <c r="C146" s="631">
        <v>1250</v>
      </c>
      <c r="D146" s="631" t="str">
        <f t="shared" si="66"/>
        <v>KVX10001250</v>
      </c>
      <c r="E146" s="1054">
        <f t="shared" si="63"/>
        <v>845.18531050000001</v>
      </c>
      <c r="F146" s="632">
        <v>13</v>
      </c>
      <c r="G146" s="633">
        <f>F146*CCBASE!$B$51</f>
        <v>468</v>
      </c>
      <c r="H146" s="633">
        <f>CCBASE!$I$12*B146/1000</f>
        <v>119.65053730000001</v>
      </c>
      <c r="I146" s="633"/>
      <c r="J146" s="633"/>
      <c r="K146" s="633"/>
      <c r="L146" s="632"/>
      <c r="M146" s="633">
        <f>CCBASE!$I$15*B146/1000</f>
        <v>79.84588500000001</v>
      </c>
      <c r="N146" s="633"/>
      <c r="O146" s="633"/>
      <c r="P146" s="633"/>
      <c r="Q146" s="633">
        <f>CCBASE!$I$51</f>
        <v>2.9</v>
      </c>
      <c r="R146" s="633">
        <f>CCBASE!$I$4</f>
        <v>8.3986041999999994</v>
      </c>
      <c r="S146" s="633">
        <f>CCBASE!$I$8</f>
        <v>16.25526</v>
      </c>
      <c r="T146" s="632"/>
      <c r="U146" s="633"/>
      <c r="V146" s="633"/>
      <c r="W146" s="633">
        <f>CCBASE!$I$40*B146/1000</f>
        <v>41.308039999999998</v>
      </c>
      <c r="X146" s="633"/>
      <c r="Y146" s="633"/>
      <c r="Z146" s="633"/>
      <c r="AA146" s="633"/>
      <c r="AB146" s="633"/>
      <c r="AC146" s="633"/>
      <c r="AD146" s="633">
        <f>CCBASE!$I$32*2</f>
        <v>108.826984</v>
      </c>
      <c r="AI146" s="635"/>
      <c r="AJ146" s="635"/>
      <c r="AK146" s="636"/>
      <c r="AL146" s="636"/>
      <c r="AM146" s="636"/>
      <c r="AN146" s="636"/>
      <c r="AO146" s="636"/>
      <c r="AP146" s="636"/>
      <c r="AQ146" s="636"/>
      <c r="AR146" s="636"/>
      <c r="AS146" s="636"/>
    </row>
    <row r="147" spans="1:45" x14ac:dyDescent="0.2">
      <c r="A147" s="631" t="s">
        <v>191</v>
      </c>
      <c r="B147" s="631">
        <v>1250</v>
      </c>
      <c r="C147" s="631">
        <v>1250</v>
      </c>
      <c r="D147" s="631" t="str">
        <f t="shared" si="66"/>
        <v>KVX12501250</v>
      </c>
      <c r="E147" s="1054">
        <f t="shared" si="63"/>
        <v>905.38642607500003</v>
      </c>
      <c r="F147" s="632">
        <v>13</v>
      </c>
      <c r="G147" s="633">
        <f>F147*CCBASE!$B$51</f>
        <v>468</v>
      </c>
      <c r="H147" s="633">
        <f>CCBASE!$I$12*B147/1000</f>
        <v>149.56317162500002</v>
      </c>
      <c r="I147" s="633"/>
      <c r="J147" s="633"/>
      <c r="K147" s="633"/>
      <c r="L147" s="632"/>
      <c r="M147" s="633">
        <f>CCBASE!$I$15*B147/1000</f>
        <v>99.807356250000012</v>
      </c>
      <c r="N147" s="633"/>
      <c r="O147" s="633"/>
      <c r="P147" s="633"/>
      <c r="Q147" s="633">
        <f>CCBASE!$I$51</f>
        <v>2.9</v>
      </c>
      <c r="R147" s="633">
        <f>CCBASE!$I$4</f>
        <v>8.3986041999999994</v>
      </c>
      <c r="S147" s="633">
        <f>CCBASE!$I$8</f>
        <v>16.25526</v>
      </c>
      <c r="T147" s="632"/>
      <c r="U147" s="633"/>
      <c r="V147" s="633"/>
      <c r="W147" s="633">
        <f>CCBASE!$I$40*B147/1000</f>
        <v>51.635049999999993</v>
      </c>
      <c r="X147" s="633"/>
      <c r="Y147" s="633"/>
      <c r="Z147" s="633"/>
      <c r="AA147" s="633"/>
      <c r="AB147" s="633"/>
      <c r="AC147" s="633"/>
      <c r="AD147" s="633">
        <f>CCBASE!$I$32*2</f>
        <v>108.826984</v>
      </c>
      <c r="AI147" s="635"/>
      <c r="AJ147" s="635"/>
      <c r="AK147" s="636"/>
      <c r="AL147" s="636"/>
      <c r="AM147" s="636"/>
      <c r="AN147" s="636"/>
      <c r="AO147" s="636"/>
      <c r="AP147" s="636"/>
      <c r="AQ147" s="636"/>
      <c r="AR147" s="636"/>
      <c r="AS147" s="636"/>
    </row>
    <row r="148" spans="1:45" x14ac:dyDescent="0.2">
      <c r="A148" s="631" t="s">
        <v>191</v>
      </c>
      <c r="B148" s="631">
        <v>1500</v>
      </c>
      <c r="C148" s="631">
        <v>1250</v>
      </c>
      <c r="D148" s="631" t="str">
        <f t="shared" si="66"/>
        <v>KVX15001250</v>
      </c>
      <c r="E148" s="1054">
        <f t="shared" si="63"/>
        <v>965.58754165000005</v>
      </c>
      <c r="F148" s="632">
        <v>13</v>
      </c>
      <c r="G148" s="633">
        <f>F148*CCBASE!$B$51</f>
        <v>468</v>
      </c>
      <c r="H148" s="633">
        <f>CCBASE!$I$12*B148/1000</f>
        <v>179.47580595000002</v>
      </c>
      <c r="I148" s="633"/>
      <c r="J148" s="633"/>
      <c r="K148" s="633"/>
      <c r="L148" s="632"/>
      <c r="M148" s="633">
        <f>CCBASE!$I$15*B148/1000</f>
        <v>119.76882750000001</v>
      </c>
      <c r="N148" s="633"/>
      <c r="O148" s="633"/>
      <c r="P148" s="633"/>
      <c r="Q148" s="633">
        <f>CCBASE!$I$51</f>
        <v>2.9</v>
      </c>
      <c r="R148" s="633">
        <f>CCBASE!$I$4</f>
        <v>8.3986041999999994</v>
      </c>
      <c r="S148" s="633">
        <f>CCBASE!$I$8</f>
        <v>16.25526</v>
      </c>
      <c r="T148" s="632"/>
      <c r="U148" s="633"/>
      <c r="V148" s="633"/>
      <c r="W148" s="633">
        <f>CCBASE!$I$40*B148/1000</f>
        <v>61.962060000000001</v>
      </c>
      <c r="X148" s="633"/>
      <c r="Y148" s="633"/>
      <c r="Z148" s="633"/>
      <c r="AA148" s="633"/>
      <c r="AB148" s="633"/>
      <c r="AC148" s="633"/>
      <c r="AD148" s="633">
        <f>CCBASE!$I$32*2</f>
        <v>108.826984</v>
      </c>
      <c r="AI148" s="635"/>
      <c r="AJ148" s="635"/>
      <c r="AK148" s="636"/>
      <c r="AL148" s="636"/>
      <c r="AM148" s="636"/>
      <c r="AN148" s="636"/>
      <c r="AO148" s="636"/>
      <c r="AP148" s="636"/>
      <c r="AQ148" s="636"/>
      <c r="AR148" s="636"/>
      <c r="AS148" s="636"/>
    </row>
    <row r="149" spans="1:45" x14ac:dyDescent="0.2">
      <c r="A149" s="631" t="s">
        <v>191</v>
      </c>
      <c r="B149" s="631">
        <v>1750</v>
      </c>
      <c r="C149" s="631">
        <v>1250</v>
      </c>
      <c r="D149" s="631" t="str">
        <f t="shared" si="66"/>
        <v>KVX17501250</v>
      </c>
      <c r="E149" s="1054">
        <f t="shared" si="63"/>
        <v>1025.788657225</v>
      </c>
      <c r="F149" s="632">
        <v>13</v>
      </c>
      <c r="G149" s="633">
        <f>F149*CCBASE!$B$51</f>
        <v>468</v>
      </c>
      <c r="H149" s="633">
        <f>CCBASE!$I$12*B149/1000</f>
        <v>209.38844027500002</v>
      </c>
      <c r="I149" s="633"/>
      <c r="J149" s="633"/>
      <c r="K149" s="633"/>
      <c r="L149" s="632"/>
      <c r="M149" s="633">
        <f>CCBASE!$I$15*B149/1000</f>
        <v>139.73029875</v>
      </c>
      <c r="N149" s="633"/>
      <c r="O149" s="633"/>
      <c r="P149" s="633"/>
      <c r="Q149" s="633">
        <f>CCBASE!$I$51</f>
        <v>2.9</v>
      </c>
      <c r="R149" s="633">
        <f>CCBASE!$I$4</f>
        <v>8.3986041999999994</v>
      </c>
      <c r="S149" s="633">
        <f>CCBASE!$I$8</f>
        <v>16.25526</v>
      </c>
      <c r="T149" s="632"/>
      <c r="U149" s="633"/>
      <c r="V149" s="633"/>
      <c r="W149" s="633">
        <f>CCBASE!$I$40*B149/1000</f>
        <v>72.289069999999995</v>
      </c>
      <c r="X149" s="633"/>
      <c r="Y149" s="633"/>
      <c r="Z149" s="633"/>
      <c r="AA149" s="633"/>
      <c r="AB149" s="633"/>
      <c r="AC149" s="633"/>
      <c r="AD149" s="633">
        <f>CCBASE!$I$32*2</f>
        <v>108.826984</v>
      </c>
      <c r="AI149" s="635"/>
      <c r="AJ149" s="635"/>
      <c r="AN149" s="636"/>
      <c r="AO149" s="636"/>
      <c r="AP149" s="636"/>
      <c r="AQ149" s="636"/>
      <c r="AR149" s="636"/>
      <c r="AS149" s="636"/>
    </row>
    <row r="150" spans="1:45" x14ac:dyDescent="0.2">
      <c r="A150" s="631" t="s">
        <v>191</v>
      </c>
      <c r="B150" s="631">
        <v>2000</v>
      </c>
      <c r="C150" s="631">
        <v>1250</v>
      </c>
      <c r="D150" s="631" t="str">
        <f t="shared" si="66"/>
        <v>KVX20001250</v>
      </c>
      <c r="E150" s="1054">
        <f t="shared" si="63"/>
        <v>1085.9897728000001</v>
      </c>
      <c r="F150" s="632">
        <v>13</v>
      </c>
      <c r="G150" s="633">
        <f>F150*CCBASE!$B$51</f>
        <v>468</v>
      </c>
      <c r="H150" s="633">
        <f>CCBASE!$I$12*B150/1000</f>
        <v>239.30107460000002</v>
      </c>
      <c r="I150" s="633"/>
      <c r="J150" s="633"/>
      <c r="K150" s="633"/>
      <c r="L150" s="632"/>
      <c r="M150" s="633">
        <f>CCBASE!$I$15*B150/1000</f>
        <v>159.69177000000002</v>
      </c>
      <c r="N150" s="633"/>
      <c r="O150" s="633"/>
      <c r="P150" s="633"/>
      <c r="Q150" s="633">
        <f>CCBASE!$I$51</f>
        <v>2.9</v>
      </c>
      <c r="R150" s="633">
        <f>CCBASE!$I$4</f>
        <v>8.3986041999999994</v>
      </c>
      <c r="S150" s="633">
        <f>CCBASE!$I$8</f>
        <v>16.25526</v>
      </c>
      <c r="T150" s="632"/>
      <c r="U150" s="633"/>
      <c r="V150" s="633"/>
      <c r="W150" s="633">
        <f>CCBASE!$I$40*B150/1000</f>
        <v>82.616079999999997</v>
      </c>
      <c r="X150" s="633"/>
      <c r="Y150" s="633"/>
      <c r="Z150" s="633"/>
      <c r="AA150" s="633"/>
      <c r="AB150" s="633"/>
      <c r="AC150" s="633"/>
      <c r="AD150" s="633">
        <f>CCBASE!$I$32*2</f>
        <v>108.826984</v>
      </c>
      <c r="AI150" s="635"/>
      <c r="AJ150" s="635"/>
      <c r="AN150" s="636"/>
      <c r="AO150" s="636"/>
      <c r="AP150" s="636"/>
      <c r="AQ150" s="636"/>
      <c r="AR150" s="636"/>
      <c r="AS150" s="636"/>
    </row>
    <row r="151" spans="1:45" x14ac:dyDescent="0.2">
      <c r="A151" s="631" t="s">
        <v>191</v>
      </c>
      <c r="B151" s="631">
        <v>2250</v>
      </c>
      <c r="C151" s="631">
        <v>1250</v>
      </c>
      <c r="D151" s="631" t="str">
        <f t="shared" si="66"/>
        <v>KVX22501250</v>
      </c>
      <c r="E151" s="1054">
        <f t="shared" si="63"/>
        <v>1182.1908883750002</v>
      </c>
      <c r="F151" s="632">
        <v>14</v>
      </c>
      <c r="G151" s="633">
        <f>F151*CCBASE!$B$51</f>
        <v>504</v>
      </c>
      <c r="H151" s="633">
        <f>CCBASE!$I$12*B151/1000</f>
        <v>269.21370892500005</v>
      </c>
      <c r="I151" s="633"/>
      <c r="J151" s="633"/>
      <c r="K151" s="633"/>
      <c r="L151" s="632"/>
      <c r="M151" s="633">
        <f>CCBASE!$I$15*B151/1000</f>
        <v>179.65324125000001</v>
      </c>
      <c r="N151" s="633"/>
      <c r="O151" s="633"/>
      <c r="P151" s="633"/>
      <c r="Q151" s="633">
        <f>CCBASE!$I$51</f>
        <v>2.9</v>
      </c>
      <c r="R151" s="633">
        <f>CCBASE!$I$4</f>
        <v>8.3986041999999994</v>
      </c>
      <c r="S151" s="633">
        <f>CCBASE!$I$8</f>
        <v>16.25526</v>
      </c>
      <c r="T151" s="632"/>
      <c r="U151" s="633"/>
      <c r="V151" s="633"/>
      <c r="W151" s="633">
        <f>CCBASE!$I$40*B151/1000</f>
        <v>92.943089999999998</v>
      </c>
      <c r="X151" s="633"/>
      <c r="Y151" s="633"/>
      <c r="Z151" s="633"/>
      <c r="AA151" s="633"/>
      <c r="AB151" s="633"/>
      <c r="AC151" s="633"/>
      <c r="AD151" s="633">
        <f>CCBASE!$I$32*2</f>
        <v>108.826984</v>
      </c>
      <c r="AI151" s="635"/>
      <c r="AJ151" s="635"/>
      <c r="AN151" s="636"/>
      <c r="AO151" s="636"/>
      <c r="AP151" s="636"/>
      <c r="AQ151" s="636"/>
      <c r="AR151" s="636"/>
      <c r="AS151" s="636"/>
    </row>
    <row r="152" spans="1:45" x14ac:dyDescent="0.2">
      <c r="A152" s="631" t="s">
        <v>191</v>
      </c>
      <c r="B152" s="631">
        <v>2500</v>
      </c>
      <c r="C152" s="631">
        <v>1250</v>
      </c>
      <c r="D152" s="631" t="str">
        <f t="shared" si="66"/>
        <v>KVX25001250</v>
      </c>
      <c r="E152" s="1054">
        <f t="shared" si="63"/>
        <v>1242.3920039499999</v>
      </c>
      <c r="F152" s="632">
        <v>14</v>
      </c>
      <c r="G152" s="633">
        <f>F152*CCBASE!$B$51</f>
        <v>504</v>
      </c>
      <c r="H152" s="633">
        <f>CCBASE!$I$12*B152/1000</f>
        <v>299.12634325000005</v>
      </c>
      <c r="I152" s="633"/>
      <c r="J152" s="633"/>
      <c r="K152" s="633"/>
      <c r="L152" s="632"/>
      <c r="M152" s="633">
        <f>CCBASE!$I$15*B152/1000</f>
        <v>199.61471250000002</v>
      </c>
      <c r="N152" s="633"/>
      <c r="O152" s="633"/>
      <c r="P152" s="633"/>
      <c r="Q152" s="633">
        <f>CCBASE!$I$51</f>
        <v>2.9</v>
      </c>
      <c r="R152" s="633">
        <f>CCBASE!$I$4</f>
        <v>8.3986041999999994</v>
      </c>
      <c r="S152" s="633">
        <f>CCBASE!$I$8</f>
        <v>16.25526</v>
      </c>
      <c r="T152" s="632"/>
      <c r="U152" s="633"/>
      <c r="V152" s="633"/>
      <c r="W152" s="633">
        <f>CCBASE!$I$40*B152/1000</f>
        <v>103.27009999999999</v>
      </c>
      <c r="X152" s="633"/>
      <c r="Y152" s="633"/>
      <c r="Z152" s="633"/>
      <c r="AA152" s="633"/>
      <c r="AB152" s="633"/>
      <c r="AC152" s="633"/>
      <c r="AD152" s="633">
        <f>CCBASE!$I$32*2</f>
        <v>108.826984</v>
      </c>
      <c r="AI152" s="635"/>
      <c r="AJ152" s="635"/>
      <c r="AN152" s="636"/>
      <c r="AO152" s="636"/>
      <c r="AP152" s="636"/>
      <c r="AQ152" s="636"/>
      <c r="AR152" s="636"/>
      <c r="AS152" s="636"/>
    </row>
    <row r="153" spans="1:45" x14ac:dyDescent="0.2">
      <c r="A153" s="631" t="s">
        <v>191</v>
      </c>
      <c r="B153" s="631">
        <v>2750</v>
      </c>
      <c r="C153" s="631">
        <v>1250</v>
      </c>
      <c r="D153" s="631" t="str">
        <f t="shared" si="66"/>
        <v>KVX27501250</v>
      </c>
      <c r="E153" s="1054">
        <f t="shared" si="63"/>
        <v>1302.5931195249998</v>
      </c>
      <c r="F153" s="632">
        <v>14</v>
      </c>
      <c r="G153" s="633">
        <f>F153*CCBASE!$B$51</f>
        <v>504</v>
      </c>
      <c r="H153" s="633">
        <f>CCBASE!$I$12*B153/1000</f>
        <v>329.03897757500005</v>
      </c>
      <c r="I153" s="633"/>
      <c r="J153" s="633"/>
      <c r="K153" s="633"/>
      <c r="L153" s="632"/>
      <c r="M153" s="633">
        <f>CCBASE!$I$15*B153/1000</f>
        <v>219.57618375000001</v>
      </c>
      <c r="N153" s="633"/>
      <c r="O153" s="633"/>
      <c r="P153" s="633"/>
      <c r="Q153" s="633">
        <f>CCBASE!$I$51</f>
        <v>2.9</v>
      </c>
      <c r="R153" s="633">
        <f>CCBASE!$I$4</f>
        <v>8.3986041999999994</v>
      </c>
      <c r="S153" s="633">
        <f>CCBASE!$I$8</f>
        <v>16.25526</v>
      </c>
      <c r="T153" s="632"/>
      <c r="U153" s="633"/>
      <c r="V153" s="633"/>
      <c r="W153" s="633">
        <f>CCBASE!$I$40*B153/1000</f>
        <v>113.59711</v>
      </c>
      <c r="X153" s="633"/>
      <c r="Y153" s="633"/>
      <c r="Z153" s="633"/>
      <c r="AA153" s="633"/>
      <c r="AB153" s="633"/>
      <c r="AC153" s="633"/>
      <c r="AD153" s="633">
        <f>CCBASE!$I$32*2</f>
        <v>108.826984</v>
      </c>
      <c r="AI153" s="635"/>
      <c r="AJ153" s="635"/>
      <c r="AN153" s="636"/>
      <c r="AO153" s="636"/>
      <c r="AP153" s="636"/>
      <c r="AQ153" s="636"/>
      <c r="AR153" s="636"/>
      <c r="AS153" s="636"/>
    </row>
    <row r="154" spans="1:45" x14ac:dyDescent="0.2">
      <c r="A154" s="631" t="s">
        <v>191</v>
      </c>
      <c r="B154" s="631">
        <v>3000</v>
      </c>
      <c r="C154" s="631">
        <v>1250</v>
      </c>
      <c r="D154" s="631" t="str">
        <f t="shared" si="66"/>
        <v>KVX30001250</v>
      </c>
      <c r="E154" s="1054">
        <f t="shared" si="63"/>
        <v>1362.7942350999999</v>
      </c>
      <c r="F154" s="632">
        <v>14</v>
      </c>
      <c r="G154" s="633">
        <f>F154*CCBASE!$B$51</f>
        <v>504</v>
      </c>
      <c r="H154" s="633">
        <f>CCBASE!$I$12*B154/1000</f>
        <v>358.95161190000005</v>
      </c>
      <c r="I154" s="633"/>
      <c r="J154" s="633"/>
      <c r="K154" s="633"/>
      <c r="L154" s="632"/>
      <c r="M154" s="633">
        <f>CCBASE!$I$15*B154/1000</f>
        <v>239.53765500000003</v>
      </c>
      <c r="N154" s="633"/>
      <c r="O154" s="633"/>
      <c r="P154" s="633"/>
      <c r="Q154" s="633">
        <f>CCBASE!$I$51</f>
        <v>2.9</v>
      </c>
      <c r="R154" s="633">
        <f>CCBASE!$I$4</f>
        <v>8.3986041999999994</v>
      </c>
      <c r="S154" s="633">
        <f>CCBASE!$I$8</f>
        <v>16.25526</v>
      </c>
      <c r="T154" s="632"/>
      <c r="U154" s="633"/>
      <c r="V154" s="633"/>
      <c r="W154" s="633">
        <f>CCBASE!$I$40*B154/1000</f>
        <v>123.92412</v>
      </c>
      <c r="X154" s="633"/>
      <c r="Y154" s="633"/>
      <c r="Z154" s="633"/>
      <c r="AA154" s="633"/>
      <c r="AB154" s="633"/>
      <c r="AC154" s="633"/>
      <c r="AD154" s="633">
        <f>CCBASE!$I$32*2</f>
        <v>108.826984</v>
      </c>
      <c r="AI154" s="635"/>
      <c r="AJ154" s="635"/>
      <c r="AN154" s="636"/>
      <c r="AO154" s="636"/>
      <c r="AP154" s="636"/>
      <c r="AQ154" s="636"/>
      <c r="AR154" s="636"/>
      <c r="AS154" s="636"/>
    </row>
    <row r="155" spans="1:45" x14ac:dyDescent="0.2">
      <c r="A155" s="631" t="s">
        <v>191</v>
      </c>
      <c r="B155" s="631">
        <v>1000</v>
      </c>
      <c r="C155" s="631">
        <v>1500</v>
      </c>
      <c r="D155" s="631" t="str">
        <f t="shared" si="66"/>
        <v>KVX10001500</v>
      </c>
      <c r="E155" s="1054">
        <f t="shared" si="63"/>
        <v>890.13558649999993</v>
      </c>
      <c r="F155" s="632">
        <v>13</v>
      </c>
      <c r="G155" s="633">
        <f>F155*CCBASE!$B$51</f>
        <v>468</v>
      </c>
      <c r="H155" s="633">
        <f>CCBASE!$I$12*B155/1000</f>
        <v>119.65053730000001</v>
      </c>
      <c r="I155" s="633"/>
      <c r="J155" s="633"/>
      <c r="K155" s="633"/>
      <c r="L155" s="632"/>
      <c r="M155" s="633">
        <f>CCBASE!$I$15*B155/1000</f>
        <v>79.84588500000001</v>
      </c>
      <c r="N155" s="633"/>
      <c r="O155" s="633"/>
      <c r="P155" s="633"/>
      <c r="Q155" s="633">
        <f>CCBASE!$I$51</f>
        <v>2.9</v>
      </c>
      <c r="R155" s="633">
        <f>CCBASE!$I$4</f>
        <v>8.3986041999999994</v>
      </c>
      <c r="S155" s="633">
        <f>CCBASE!$I$8</f>
        <v>16.25526</v>
      </c>
      <c r="T155" s="632"/>
      <c r="U155" s="633"/>
      <c r="V155" s="633"/>
      <c r="W155" s="633">
        <f>CCBASE!$I$41*B155/1000</f>
        <v>59.051569999999998</v>
      </c>
      <c r="X155" s="633"/>
      <c r="Y155" s="633"/>
      <c r="Z155" s="633"/>
      <c r="AA155" s="633"/>
      <c r="AB155" s="633"/>
      <c r="AC155" s="633"/>
      <c r="AD155" s="633">
        <f>CCBASE!$I$33*2</f>
        <v>136.03372999999999</v>
      </c>
      <c r="AI155" s="635"/>
      <c r="AJ155" s="635"/>
      <c r="AN155" s="636"/>
      <c r="AO155" s="636"/>
      <c r="AP155" s="636"/>
      <c r="AQ155" s="636"/>
      <c r="AR155" s="636"/>
      <c r="AS155" s="636"/>
    </row>
    <row r="156" spans="1:45" x14ac:dyDescent="0.2">
      <c r="A156" s="631" t="s">
        <v>191</v>
      </c>
      <c r="B156" s="631">
        <v>1250</v>
      </c>
      <c r="C156" s="631">
        <v>1500</v>
      </c>
      <c r="D156" s="631" t="str">
        <f t="shared" si="66"/>
        <v>KVX12501500</v>
      </c>
      <c r="E156" s="1054">
        <f t="shared" si="63"/>
        <v>954.772584575</v>
      </c>
      <c r="F156" s="632">
        <v>13</v>
      </c>
      <c r="G156" s="633">
        <f>F156*CCBASE!$B$51</f>
        <v>468</v>
      </c>
      <c r="H156" s="633">
        <f>CCBASE!$I$12*B156/1000</f>
        <v>149.56317162500002</v>
      </c>
      <c r="I156" s="633"/>
      <c r="J156" s="633"/>
      <c r="K156" s="633"/>
      <c r="L156" s="632"/>
      <c r="M156" s="633">
        <f>CCBASE!$I$15*B156/1000</f>
        <v>99.807356250000012</v>
      </c>
      <c r="N156" s="633"/>
      <c r="O156" s="633"/>
      <c r="P156" s="633"/>
      <c r="Q156" s="633">
        <f>CCBASE!$I$51</f>
        <v>2.9</v>
      </c>
      <c r="R156" s="633">
        <f>CCBASE!$I$4</f>
        <v>8.3986041999999994</v>
      </c>
      <c r="S156" s="633">
        <f>CCBASE!$I$8</f>
        <v>16.25526</v>
      </c>
      <c r="T156" s="632"/>
      <c r="U156" s="633"/>
      <c r="V156" s="633"/>
      <c r="W156" s="633">
        <f>CCBASE!$I$41*B156/1000</f>
        <v>73.814462499999991</v>
      </c>
      <c r="X156" s="633"/>
      <c r="Y156" s="633"/>
      <c r="Z156" s="633"/>
      <c r="AA156" s="633"/>
      <c r="AB156" s="633"/>
      <c r="AC156" s="633"/>
      <c r="AD156" s="633">
        <f>CCBASE!$I$33*2</f>
        <v>136.03372999999999</v>
      </c>
      <c r="AI156" s="635"/>
      <c r="AJ156" s="635"/>
      <c r="AK156" s="636"/>
      <c r="AL156" s="636"/>
      <c r="AM156" s="636"/>
      <c r="AN156" s="636"/>
      <c r="AO156" s="636"/>
      <c r="AP156" s="636"/>
      <c r="AQ156" s="636"/>
      <c r="AR156" s="636"/>
      <c r="AS156" s="636"/>
    </row>
    <row r="157" spans="1:45" x14ac:dyDescent="0.2">
      <c r="A157" s="631" t="s">
        <v>191</v>
      </c>
      <c r="B157" s="631">
        <v>1500</v>
      </c>
      <c r="C157" s="631">
        <v>1500</v>
      </c>
      <c r="D157" s="631" t="str">
        <f t="shared" si="66"/>
        <v>KVX15001500</v>
      </c>
      <c r="E157" s="1054">
        <f t="shared" si="63"/>
        <v>1019.4095826500001</v>
      </c>
      <c r="F157" s="632">
        <v>13</v>
      </c>
      <c r="G157" s="633">
        <f>F157*CCBASE!$B$51</f>
        <v>468</v>
      </c>
      <c r="H157" s="633">
        <f>CCBASE!$I$12*B157/1000</f>
        <v>179.47580595000002</v>
      </c>
      <c r="I157" s="633"/>
      <c r="J157" s="633"/>
      <c r="K157" s="633"/>
      <c r="L157" s="632"/>
      <c r="M157" s="633">
        <f>CCBASE!$I$15*B157/1000</f>
        <v>119.76882750000001</v>
      </c>
      <c r="N157" s="633"/>
      <c r="O157" s="633"/>
      <c r="P157" s="633"/>
      <c r="Q157" s="633">
        <f>CCBASE!$I$51</f>
        <v>2.9</v>
      </c>
      <c r="R157" s="633">
        <f>CCBASE!$I$4</f>
        <v>8.3986041999999994</v>
      </c>
      <c r="S157" s="633">
        <f>CCBASE!$I$8</f>
        <v>16.25526</v>
      </c>
      <c r="T157" s="632"/>
      <c r="U157" s="633"/>
      <c r="V157" s="633"/>
      <c r="W157" s="633">
        <f>CCBASE!$I$41*B157/1000</f>
        <v>88.577354999999997</v>
      </c>
      <c r="X157" s="633"/>
      <c r="Y157" s="633"/>
      <c r="Z157" s="633"/>
      <c r="AA157" s="633"/>
      <c r="AB157" s="633"/>
      <c r="AC157" s="633"/>
      <c r="AD157" s="633">
        <f>CCBASE!$I$33*2</f>
        <v>136.03372999999999</v>
      </c>
      <c r="AI157" s="635"/>
      <c r="AJ157" s="635"/>
      <c r="AK157" s="636"/>
      <c r="AL157" s="636"/>
      <c r="AM157" s="636"/>
      <c r="AN157" s="636"/>
      <c r="AO157" s="636"/>
      <c r="AP157" s="636"/>
      <c r="AQ157" s="636"/>
      <c r="AR157" s="636"/>
      <c r="AS157" s="636"/>
    </row>
    <row r="158" spans="1:45" x14ac:dyDescent="0.2">
      <c r="A158" s="631" t="s">
        <v>191</v>
      </c>
      <c r="B158" s="631">
        <v>1750</v>
      </c>
      <c r="C158" s="631">
        <v>1500</v>
      </c>
      <c r="D158" s="631" t="str">
        <f t="shared" si="66"/>
        <v>KVX17501500</v>
      </c>
      <c r="E158" s="1054">
        <f t="shared" si="63"/>
        <v>1084.046580725</v>
      </c>
      <c r="F158" s="632">
        <v>13</v>
      </c>
      <c r="G158" s="633">
        <f>F158*CCBASE!$B$51</f>
        <v>468</v>
      </c>
      <c r="H158" s="633">
        <f>CCBASE!$I$12*B158/1000</f>
        <v>209.38844027500002</v>
      </c>
      <c r="I158" s="633"/>
      <c r="J158" s="633"/>
      <c r="K158" s="633"/>
      <c r="L158" s="632"/>
      <c r="M158" s="633">
        <f>CCBASE!$I$15*B158/1000</f>
        <v>139.73029875</v>
      </c>
      <c r="N158" s="633"/>
      <c r="O158" s="633"/>
      <c r="P158" s="633"/>
      <c r="Q158" s="633">
        <f>CCBASE!$I$51</f>
        <v>2.9</v>
      </c>
      <c r="R158" s="633">
        <f>CCBASE!$I$4</f>
        <v>8.3986041999999994</v>
      </c>
      <c r="S158" s="633">
        <f>CCBASE!$I$8</f>
        <v>16.25526</v>
      </c>
      <c r="T158" s="632"/>
      <c r="U158" s="633"/>
      <c r="V158" s="633"/>
      <c r="W158" s="633">
        <f>CCBASE!$I$41*B158/1000</f>
        <v>103.3402475</v>
      </c>
      <c r="X158" s="633"/>
      <c r="Y158" s="633"/>
      <c r="Z158" s="633"/>
      <c r="AA158" s="633"/>
      <c r="AB158" s="633"/>
      <c r="AC158" s="633"/>
      <c r="AD158" s="633">
        <f>CCBASE!$I$33*2</f>
        <v>136.03372999999999</v>
      </c>
      <c r="AI158" s="635"/>
      <c r="AJ158" s="635"/>
      <c r="AK158" s="636"/>
      <c r="AL158" s="636"/>
      <c r="AM158" s="636"/>
      <c r="AN158" s="636"/>
      <c r="AO158" s="636"/>
      <c r="AP158" s="636"/>
      <c r="AQ158" s="636"/>
      <c r="AR158" s="636"/>
      <c r="AS158" s="636"/>
    </row>
    <row r="159" spans="1:45" x14ac:dyDescent="0.2">
      <c r="A159" s="631" t="s">
        <v>191</v>
      </c>
      <c r="B159" s="631">
        <v>2000</v>
      </c>
      <c r="C159" s="631">
        <v>1500</v>
      </c>
      <c r="D159" s="631" t="str">
        <f t="shared" si="66"/>
        <v>KVX20001500</v>
      </c>
      <c r="E159" s="1054">
        <f t="shared" si="63"/>
        <v>1148.6835787999999</v>
      </c>
      <c r="F159" s="632">
        <v>13</v>
      </c>
      <c r="G159" s="633">
        <f>F159*CCBASE!$B$51</f>
        <v>468</v>
      </c>
      <c r="H159" s="633">
        <f>CCBASE!$I$12*B159/1000</f>
        <v>239.30107460000002</v>
      </c>
      <c r="I159" s="633"/>
      <c r="J159" s="633"/>
      <c r="K159" s="633"/>
      <c r="L159" s="632"/>
      <c r="M159" s="633">
        <f>CCBASE!$I$15*B159/1000</f>
        <v>159.69177000000002</v>
      </c>
      <c r="N159" s="633"/>
      <c r="O159" s="633"/>
      <c r="P159" s="633"/>
      <c r="Q159" s="633">
        <f>CCBASE!$I$51</f>
        <v>2.9</v>
      </c>
      <c r="R159" s="633">
        <f>CCBASE!$I$4</f>
        <v>8.3986041999999994</v>
      </c>
      <c r="S159" s="633">
        <f>CCBASE!$I$8</f>
        <v>16.25526</v>
      </c>
      <c r="T159" s="632"/>
      <c r="U159" s="633"/>
      <c r="V159" s="633"/>
      <c r="W159" s="633">
        <f>CCBASE!$I$41*B159/1000</f>
        <v>118.10314</v>
      </c>
      <c r="X159" s="633"/>
      <c r="Y159" s="633"/>
      <c r="Z159" s="633"/>
      <c r="AA159" s="633"/>
      <c r="AB159" s="633"/>
      <c r="AC159" s="633"/>
      <c r="AD159" s="633">
        <f>CCBASE!$I$33*2</f>
        <v>136.03372999999999</v>
      </c>
      <c r="AI159" s="635"/>
      <c r="AJ159" s="635"/>
      <c r="AK159" s="636"/>
      <c r="AL159" s="636"/>
      <c r="AM159" s="636"/>
      <c r="AN159" s="636"/>
      <c r="AO159" s="636"/>
      <c r="AP159" s="636"/>
      <c r="AQ159" s="636"/>
      <c r="AR159" s="636"/>
      <c r="AS159" s="636"/>
    </row>
    <row r="160" spans="1:45" x14ac:dyDescent="0.2">
      <c r="A160" s="631" t="s">
        <v>191</v>
      </c>
      <c r="B160" s="631">
        <v>2250</v>
      </c>
      <c r="C160" s="631">
        <v>1500</v>
      </c>
      <c r="D160" s="631" t="str">
        <f t="shared" si="66"/>
        <v>KVX22501500</v>
      </c>
      <c r="E160" s="1054">
        <f t="shared" si="63"/>
        <v>1249.3205768749999</v>
      </c>
      <c r="F160" s="632">
        <v>14</v>
      </c>
      <c r="G160" s="633">
        <f>F160*CCBASE!$B$51</f>
        <v>504</v>
      </c>
      <c r="H160" s="633">
        <f>CCBASE!$I$12*B160/1000</f>
        <v>269.21370892500005</v>
      </c>
      <c r="I160" s="633"/>
      <c r="J160" s="633"/>
      <c r="K160" s="633"/>
      <c r="L160" s="632"/>
      <c r="M160" s="633">
        <f>CCBASE!$I$15*B160/1000</f>
        <v>179.65324125000001</v>
      </c>
      <c r="N160" s="633"/>
      <c r="O160" s="633"/>
      <c r="P160" s="633"/>
      <c r="Q160" s="633">
        <f>CCBASE!$I$51</f>
        <v>2.9</v>
      </c>
      <c r="R160" s="633">
        <f>CCBASE!$I$4</f>
        <v>8.3986041999999994</v>
      </c>
      <c r="S160" s="633">
        <f>CCBASE!$I$8</f>
        <v>16.25526</v>
      </c>
      <c r="T160" s="632"/>
      <c r="U160" s="633"/>
      <c r="V160" s="633"/>
      <c r="W160" s="633">
        <f>CCBASE!$I$41*B160/1000</f>
        <v>132.86603249999999</v>
      </c>
      <c r="X160" s="633"/>
      <c r="Y160" s="633"/>
      <c r="Z160" s="633"/>
      <c r="AA160" s="633"/>
      <c r="AB160" s="633"/>
      <c r="AC160" s="633"/>
      <c r="AD160" s="633">
        <f>CCBASE!$I$33*2</f>
        <v>136.03372999999999</v>
      </c>
      <c r="AI160" s="635"/>
      <c r="AJ160" s="635"/>
      <c r="AK160" s="636"/>
      <c r="AL160" s="636"/>
      <c r="AM160" s="636"/>
      <c r="AN160" s="636"/>
      <c r="AO160" s="636"/>
      <c r="AP160" s="636"/>
      <c r="AQ160" s="636"/>
      <c r="AR160" s="636"/>
      <c r="AS160" s="636"/>
    </row>
    <row r="161" spans="1:45" x14ac:dyDescent="0.2">
      <c r="A161" s="631" t="s">
        <v>191</v>
      </c>
      <c r="B161" s="631">
        <v>2500</v>
      </c>
      <c r="C161" s="631">
        <v>1500</v>
      </c>
      <c r="D161" s="631" t="str">
        <f t="shared" si="66"/>
        <v>KVX25001500</v>
      </c>
      <c r="E161" s="1054">
        <f t="shared" si="63"/>
        <v>1313.95757495</v>
      </c>
      <c r="F161" s="632">
        <v>14</v>
      </c>
      <c r="G161" s="633">
        <f>F161*CCBASE!$B$51</f>
        <v>504</v>
      </c>
      <c r="H161" s="633">
        <f>CCBASE!$I$12*B161/1000</f>
        <v>299.12634325000005</v>
      </c>
      <c r="I161" s="633"/>
      <c r="J161" s="633"/>
      <c r="K161" s="633"/>
      <c r="L161" s="632"/>
      <c r="M161" s="633">
        <f>CCBASE!$I$15*B161/1000</f>
        <v>199.61471250000002</v>
      </c>
      <c r="N161" s="633"/>
      <c r="O161" s="633"/>
      <c r="P161" s="633"/>
      <c r="Q161" s="633">
        <f>CCBASE!$I$51</f>
        <v>2.9</v>
      </c>
      <c r="R161" s="633">
        <f>CCBASE!$I$4</f>
        <v>8.3986041999999994</v>
      </c>
      <c r="S161" s="633">
        <f>CCBASE!$I$8</f>
        <v>16.25526</v>
      </c>
      <c r="T161" s="632"/>
      <c r="U161" s="633"/>
      <c r="V161" s="633"/>
      <c r="W161" s="633">
        <f>CCBASE!$I$41*B161/1000</f>
        <v>147.62892499999998</v>
      </c>
      <c r="X161" s="633"/>
      <c r="Y161" s="633"/>
      <c r="Z161" s="633"/>
      <c r="AA161" s="633"/>
      <c r="AB161" s="633"/>
      <c r="AC161" s="633"/>
      <c r="AD161" s="633">
        <f>CCBASE!$I$33*2</f>
        <v>136.03372999999999</v>
      </c>
      <c r="AI161" s="635"/>
      <c r="AJ161" s="635"/>
      <c r="AK161" s="636"/>
      <c r="AL161" s="636"/>
      <c r="AM161" s="636"/>
      <c r="AN161" s="636"/>
      <c r="AO161" s="636"/>
      <c r="AP161" s="636"/>
      <c r="AQ161" s="636"/>
      <c r="AR161" s="636"/>
      <c r="AS161" s="636"/>
    </row>
    <row r="162" spans="1:45" x14ac:dyDescent="0.2">
      <c r="A162" s="631" t="s">
        <v>191</v>
      </c>
      <c r="B162" s="631">
        <v>2750</v>
      </c>
      <c r="C162" s="631">
        <v>1500</v>
      </c>
      <c r="D162" s="631" t="str">
        <f t="shared" si="66"/>
        <v>KVX27501500</v>
      </c>
      <c r="E162" s="1054">
        <f t="shared" si="63"/>
        <v>1378.594573025</v>
      </c>
      <c r="F162" s="632">
        <v>14</v>
      </c>
      <c r="G162" s="633">
        <f>F162*CCBASE!$B$51</f>
        <v>504</v>
      </c>
      <c r="H162" s="633">
        <f>CCBASE!$I$12*B162/1000</f>
        <v>329.03897757500005</v>
      </c>
      <c r="I162" s="633"/>
      <c r="J162" s="633"/>
      <c r="K162" s="633"/>
      <c r="L162" s="632"/>
      <c r="M162" s="633">
        <f>CCBASE!$I$15*B162/1000</f>
        <v>219.57618375000001</v>
      </c>
      <c r="N162" s="633"/>
      <c r="O162" s="633"/>
      <c r="P162" s="633"/>
      <c r="Q162" s="633">
        <f>CCBASE!$I$51</f>
        <v>2.9</v>
      </c>
      <c r="R162" s="633">
        <f>CCBASE!$I$4</f>
        <v>8.3986041999999994</v>
      </c>
      <c r="S162" s="633">
        <f>CCBASE!$I$8</f>
        <v>16.25526</v>
      </c>
      <c r="T162" s="632"/>
      <c r="U162" s="633"/>
      <c r="V162" s="633"/>
      <c r="W162" s="633">
        <f>CCBASE!$I$41*B162/1000</f>
        <v>162.3918175</v>
      </c>
      <c r="X162" s="633"/>
      <c r="Y162" s="633"/>
      <c r="Z162" s="633"/>
      <c r="AA162" s="633"/>
      <c r="AB162" s="633"/>
      <c r="AC162" s="633"/>
      <c r="AD162" s="633">
        <f>CCBASE!$I$33*2</f>
        <v>136.03372999999999</v>
      </c>
      <c r="AI162" s="635"/>
      <c r="AJ162" s="635"/>
      <c r="AN162" s="636"/>
      <c r="AO162" s="636"/>
      <c r="AP162" s="636"/>
      <c r="AQ162" s="636"/>
      <c r="AR162" s="636"/>
      <c r="AS162" s="636"/>
    </row>
    <row r="163" spans="1:45" x14ac:dyDescent="0.2">
      <c r="A163" s="631" t="s">
        <v>191</v>
      </c>
      <c r="B163" s="631">
        <v>3000</v>
      </c>
      <c r="C163" s="631">
        <v>1500</v>
      </c>
      <c r="D163" s="631" t="str">
        <f t="shared" si="66"/>
        <v>KVX30001500</v>
      </c>
      <c r="E163" s="1054">
        <f t="shared" si="63"/>
        <v>1443.2315711000001</v>
      </c>
      <c r="F163" s="632">
        <v>14</v>
      </c>
      <c r="G163" s="633">
        <f>F163*CCBASE!$B$51</f>
        <v>504</v>
      </c>
      <c r="H163" s="633">
        <f>CCBASE!$I$12*B163/1000</f>
        <v>358.95161190000005</v>
      </c>
      <c r="I163" s="633"/>
      <c r="J163" s="633"/>
      <c r="K163" s="633"/>
      <c r="L163" s="632"/>
      <c r="M163" s="633">
        <f>CCBASE!$I$15*B163/1000</f>
        <v>239.53765500000003</v>
      </c>
      <c r="N163" s="633"/>
      <c r="O163" s="633"/>
      <c r="P163" s="633"/>
      <c r="Q163" s="633">
        <f>CCBASE!$I$51</f>
        <v>2.9</v>
      </c>
      <c r="R163" s="633">
        <f>CCBASE!$I$4</f>
        <v>8.3986041999999994</v>
      </c>
      <c r="S163" s="633">
        <f>CCBASE!$I$8</f>
        <v>16.25526</v>
      </c>
      <c r="T163" s="632"/>
      <c r="U163" s="633"/>
      <c r="V163" s="633"/>
      <c r="W163" s="633">
        <f>CCBASE!$I$41*B163/1000</f>
        <v>177.15470999999999</v>
      </c>
      <c r="X163" s="633"/>
      <c r="Y163" s="633"/>
      <c r="Z163" s="633"/>
      <c r="AA163" s="633"/>
      <c r="AB163" s="633"/>
      <c r="AC163" s="633"/>
      <c r="AD163" s="633">
        <f>CCBASE!$I$33*2</f>
        <v>136.03372999999999</v>
      </c>
      <c r="AI163" s="635"/>
      <c r="AJ163" s="635"/>
      <c r="AN163" s="636"/>
      <c r="AO163" s="636"/>
      <c r="AP163" s="636"/>
      <c r="AQ163" s="636"/>
      <c r="AR163" s="636"/>
      <c r="AS163" s="636"/>
    </row>
    <row r="164" spans="1:45" x14ac:dyDescent="0.2">
      <c r="A164" s="631" t="s">
        <v>191</v>
      </c>
      <c r="B164" s="631">
        <v>1000</v>
      </c>
      <c r="C164" s="631">
        <v>1750</v>
      </c>
      <c r="D164" s="631" t="str">
        <f t="shared" si="66"/>
        <v>KVX10001750</v>
      </c>
      <c r="E164" s="1054">
        <f t="shared" si="63"/>
        <v>975.30453049999994</v>
      </c>
      <c r="F164" s="632">
        <v>13</v>
      </c>
      <c r="G164" s="633">
        <f>F164*CCBASE!$B$51</f>
        <v>468</v>
      </c>
      <c r="H164" s="633">
        <f>CCBASE!$I$12*B164/1000</f>
        <v>119.65053730000001</v>
      </c>
      <c r="I164" s="633"/>
      <c r="J164" s="633"/>
      <c r="K164" s="633"/>
      <c r="L164" s="638"/>
      <c r="M164" s="633">
        <f>CCBASE!$I$15*B164/1000</f>
        <v>79.84588500000001</v>
      </c>
      <c r="N164" s="633"/>
      <c r="O164" s="633"/>
      <c r="P164" s="633"/>
      <c r="Q164" s="633">
        <f>CCBASE!$I$51</f>
        <v>2.9</v>
      </c>
      <c r="R164" s="633">
        <f>CCBASE!$I$4</f>
        <v>8.3986041999999994</v>
      </c>
      <c r="S164" s="633">
        <f>CCBASE!$I$8</f>
        <v>16.25526</v>
      </c>
      <c r="T164" s="632"/>
      <c r="U164" s="632"/>
      <c r="V164" s="632"/>
      <c r="W164" s="633">
        <f>CCBASE!$I$42*B164/1000</f>
        <v>70.880589999999998</v>
      </c>
      <c r="X164" s="633"/>
      <c r="Y164" s="633"/>
      <c r="Z164" s="633"/>
      <c r="AA164" s="633"/>
      <c r="AB164" s="633"/>
      <c r="AC164" s="633"/>
      <c r="AD164" s="633">
        <f>CCBASE!$I$34*2</f>
        <v>209.37365399999999</v>
      </c>
      <c r="AI164" s="635"/>
      <c r="AJ164" s="635"/>
      <c r="AK164" s="636"/>
      <c r="AL164" s="636"/>
      <c r="AM164" s="636"/>
      <c r="AN164" s="636"/>
      <c r="AO164" s="636"/>
      <c r="AP164" s="636"/>
      <c r="AQ164" s="636"/>
      <c r="AR164" s="636"/>
      <c r="AS164" s="636"/>
    </row>
    <row r="165" spans="1:45" x14ac:dyDescent="0.2">
      <c r="A165" s="631" t="s">
        <v>191</v>
      </c>
      <c r="B165" s="631">
        <v>1250</v>
      </c>
      <c r="C165" s="631">
        <v>1750</v>
      </c>
      <c r="D165" s="631" t="str">
        <f t="shared" si="66"/>
        <v>KVX12501750</v>
      </c>
      <c r="E165" s="1054">
        <f t="shared" si="63"/>
        <v>1042.8987835749999</v>
      </c>
      <c r="F165" s="632">
        <v>13</v>
      </c>
      <c r="G165" s="633">
        <f>F165*CCBASE!$B$51</f>
        <v>468</v>
      </c>
      <c r="H165" s="633">
        <f>CCBASE!$I$12*B165/1000</f>
        <v>149.56317162500002</v>
      </c>
      <c r="I165" s="633"/>
      <c r="J165" s="633"/>
      <c r="K165" s="633"/>
      <c r="L165" s="638"/>
      <c r="M165" s="633">
        <f>CCBASE!$I$15*B165/1000</f>
        <v>99.807356250000012</v>
      </c>
      <c r="N165" s="633"/>
      <c r="O165" s="633"/>
      <c r="P165" s="633"/>
      <c r="Q165" s="633">
        <f>CCBASE!$I$51</f>
        <v>2.9</v>
      </c>
      <c r="R165" s="633">
        <f>CCBASE!$I$4</f>
        <v>8.3986041999999994</v>
      </c>
      <c r="S165" s="633">
        <f>CCBASE!$I$8</f>
        <v>16.25526</v>
      </c>
      <c r="T165" s="632"/>
      <c r="U165" s="632"/>
      <c r="V165" s="632"/>
      <c r="W165" s="633">
        <f>CCBASE!$I$42*B165/1000</f>
        <v>88.600737500000008</v>
      </c>
      <c r="X165" s="633"/>
      <c r="Y165" s="633"/>
      <c r="Z165" s="633"/>
      <c r="AA165" s="633"/>
      <c r="AB165" s="633"/>
      <c r="AC165" s="633"/>
      <c r="AD165" s="633">
        <f>CCBASE!$I$34*2</f>
        <v>209.37365399999999</v>
      </c>
      <c r="AI165" s="635"/>
      <c r="AJ165" s="635"/>
      <c r="AK165" s="636"/>
      <c r="AL165" s="636"/>
      <c r="AM165" s="636"/>
      <c r="AN165" s="636"/>
      <c r="AO165" s="636"/>
      <c r="AP165" s="636"/>
      <c r="AQ165" s="636"/>
      <c r="AR165" s="636"/>
      <c r="AS165" s="636"/>
    </row>
    <row r="166" spans="1:45" x14ac:dyDescent="0.2">
      <c r="A166" s="631" t="s">
        <v>191</v>
      </c>
      <c r="B166" s="631">
        <v>1500</v>
      </c>
      <c r="C166" s="631">
        <v>1750</v>
      </c>
      <c r="D166" s="631" t="str">
        <f t="shared" si="66"/>
        <v>KVX15001750</v>
      </c>
      <c r="E166" s="1054">
        <f t="shared" si="63"/>
        <v>1110.49303665</v>
      </c>
      <c r="F166" s="632">
        <v>13</v>
      </c>
      <c r="G166" s="633">
        <f>F166*CCBASE!$B$51</f>
        <v>468</v>
      </c>
      <c r="H166" s="633">
        <f>CCBASE!$I$12*B166/1000</f>
        <v>179.47580595000002</v>
      </c>
      <c r="I166" s="633"/>
      <c r="J166" s="633"/>
      <c r="K166" s="633"/>
      <c r="L166" s="638"/>
      <c r="M166" s="633">
        <f>CCBASE!$I$15*B166/1000</f>
        <v>119.76882750000001</v>
      </c>
      <c r="N166" s="633"/>
      <c r="O166" s="633"/>
      <c r="P166" s="633"/>
      <c r="Q166" s="633">
        <f>CCBASE!$I$51</f>
        <v>2.9</v>
      </c>
      <c r="R166" s="633">
        <f>CCBASE!$I$4</f>
        <v>8.3986041999999994</v>
      </c>
      <c r="S166" s="633">
        <f>CCBASE!$I$8</f>
        <v>16.25526</v>
      </c>
      <c r="T166" s="632"/>
      <c r="U166" s="632"/>
      <c r="V166" s="632"/>
      <c r="W166" s="633">
        <f>CCBASE!$I$42*B166/1000</f>
        <v>106.32088499999999</v>
      </c>
      <c r="X166" s="633"/>
      <c r="Y166" s="633"/>
      <c r="Z166" s="633"/>
      <c r="AA166" s="633"/>
      <c r="AB166" s="633"/>
      <c r="AC166" s="633"/>
      <c r="AD166" s="633">
        <f>CCBASE!$I$34*2</f>
        <v>209.37365399999999</v>
      </c>
      <c r="AI166" s="635"/>
      <c r="AJ166" s="635"/>
      <c r="AK166" s="636"/>
      <c r="AL166" s="636"/>
      <c r="AM166" s="636"/>
      <c r="AN166" s="636"/>
      <c r="AO166" s="636"/>
      <c r="AP166" s="636"/>
      <c r="AQ166" s="636"/>
      <c r="AR166" s="636"/>
      <c r="AS166" s="636"/>
    </row>
    <row r="167" spans="1:45" x14ac:dyDescent="0.2">
      <c r="A167" s="631" t="s">
        <v>191</v>
      </c>
      <c r="B167" s="631">
        <v>1750</v>
      </c>
      <c r="C167" s="631">
        <v>1750</v>
      </c>
      <c r="D167" s="631" t="str">
        <f t="shared" si="66"/>
        <v>KVX17501750</v>
      </c>
      <c r="E167" s="1054">
        <f t="shared" si="63"/>
        <v>1178.0872897250001</v>
      </c>
      <c r="F167" s="632">
        <v>13</v>
      </c>
      <c r="G167" s="633">
        <f>F167*CCBASE!$B$51</f>
        <v>468</v>
      </c>
      <c r="H167" s="633">
        <f>CCBASE!$I$12*B167/1000</f>
        <v>209.38844027500002</v>
      </c>
      <c r="I167" s="633"/>
      <c r="J167" s="633"/>
      <c r="K167" s="633"/>
      <c r="L167" s="638"/>
      <c r="M167" s="633">
        <f>CCBASE!$I$15*B167/1000</f>
        <v>139.73029875</v>
      </c>
      <c r="N167" s="633"/>
      <c r="O167" s="633"/>
      <c r="P167" s="633"/>
      <c r="Q167" s="633">
        <f>CCBASE!$I$51</f>
        <v>2.9</v>
      </c>
      <c r="R167" s="633">
        <f>CCBASE!$I$4</f>
        <v>8.3986041999999994</v>
      </c>
      <c r="S167" s="633">
        <f>CCBASE!$I$8</f>
        <v>16.25526</v>
      </c>
      <c r="T167" s="632"/>
      <c r="U167" s="632"/>
      <c r="V167" s="632"/>
      <c r="W167" s="633">
        <f>CCBASE!$I$42*B167/1000</f>
        <v>124.0410325</v>
      </c>
      <c r="X167" s="633"/>
      <c r="Y167" s="633"/>
      <c r="Z167" s="633"/>
      <c r="AA167" s="633"/>
      <c r="AB167" s="633"/>
      <c r="AC167" s="633"/>
      <c r="AD167" s="633">
        <f>CCBASE!$I$34*2</f>
        <v>209.37365399999999</v>
      </c>
      <c r="AI167" s="635"/>
      <c r="AJ167" s="635"/>
    </row>
    <row r="168" spans="1:45" x14ac:dyDescent="0.2">
      <c r="A168" s="631" t="s">
        <v>191</v>
      </c>
      <c r="B168" s="631">
        <v>2000</v>
      </c>
      <c r="C168" s="631">
        <v>1750</v>
      </c>
      <c r="D168" s="631" t="str">
        <f t="shared" si="66"/>
        <v>KVX20001750</v>
      </c>
      <c r="E168" s="1054">
        <f t="shared" si="63"/>
        <v>1281.6815428</v>
      </c>
      <c r="F168" s="632">
        <v>14</v>
      </c>
      <c r="G168" s="633">
        <f>F168*CCBASE!$B$51</f>
        <v>504</v>
      </c>
      <c r="H168" s="633">
        <f>CCBASE!$I$12*B168/1000</f>
        <v>239.30107460000002</v>
      </c>
      <c r="I168" s="633"/>
      <c r="J168" s="633"/>
      <c r="K168" s="633"/>
      <c r="L168" s="638"/>
      <c r="M168" s="633">
        <f>CCBASE!$I$15*B168/1000</f>
        <v>159.69177000000002</v>
      </c>
      <c r="N168" s="633"/>
      <c r="O168" s="633"/>
      <c r="P168" s="633"/>
      <c r="Q168" s="633">
        <f>CCBASE!$I$51</f>
        <v>2.9</v>
      </c>
      <c r="R168" s="633">
        <f>CCBASE!$I$4</f>
        <v>8.3986041999999994</v>
      </c>
      <c r="S168" s="633">
        <f>CCBASE!$I$8</f>
        <v>16.25526</v>
      </c>
      <c r="T168" s="632"/>
      <c r="U168" s="632"/>
      <c r="V168" s="632"/>
      <c r="W168" s="633">
        <f>CCBASE!$I$42*B168/1000</f>
        <v>141.76118</v>
      </c>
      <c r="X168" s="633"/>
      <c r="Y168" s="633"/>
      <c r="Z168" s="633"/>
      <c r="AA168" s="633"/>
      <c r="AB168" s="633"/>
      <c r="AC168" s="633"/>
      <c r="AD168" s="633">
        <f>CCBASE!$I$34*2</f>
        <v>209.37365399999999</v>
      </c>
      <c r="AI168" s="635"/>
      <c r="AJ168" s="635"/>
      <c r="AR168" s="636"/>
      <c r="AS168" s="636"/>
    </row>
    <row r="169" spans="1:45" x14ac:dyDescent="0.2">
      <c r="A169" s="631" t="s">
        <v>191</v>
      </c>
      <c r="B169" s="631">
        <v>2250</v>
      </c>
      <c r="C169" s="631">
        <v>1750</v>
      </c>
      <c r="D169" s="631" t="str">
        <f t="shared" si="66"/>
        <v>KVX22501750</v>
      </c>
      <c r="E169" s="1054">
        <f t="shared" si="63"/>
        <v>1349.2757958750001</v>
      </c>
      <c r="F169" s="632">
        <v>14</v>
      </c>
      <c r="G169" s="633">
        <f>F169*CCBASE!$B$51</f>
        <v>504</v>
      </c>
      <c r="H169" s="633">
        <f>CCBASE!$I$12*B169/1000</f>
        <v>269.21370892500005</v>
      </c>
      <c r="I169" s="633"/>
      <c r="J169" s="633"/>
      <c r="K169" s="633"/>
      <c r="L169" s="638"/>
      <c r="M169" s="633">
        <f>CCBASE!$I$15*B169/1000</f>
        <v>179.65324125000001</v>
      </c>
      <c r="N169" s="633"/>
      <c r="O169" s="633"/>
      <c r="P169" s="633"/>
      <c r="Q169" s="633">
        <f>CCBASE!$I$51</f>
        <v>2.9</v>
      </c>
      <c r="R169" s="633">
        <f>CCBASE!$I$4</f>
        <v>8.3986041999999994</v>
      </c>
      <c r="S169" s="633">
        <f>CCBASE!$I$8</f>
        <v>16.25526</v>
      </c>
      <c r="T169" s="632"/>
      <c r="U169" s="632"/>
      <c r="V169" s="632"/>
      <c r="W169" s="633">
        <f>CCBASE!$I$42*B169/1000</f>
        <v>159.48132749999999</v>
      </c>
      <c r="X169" s="633"/>
      <c r="Y169" s="633"/>
      <c r="Z169" s="633"/>
      <c r="AA169" s="633"/>
      <c r="AB169" s="633"/>
      <c r="AC169" s="633"/>
      <c r="AD169" s="633">
        <f>CCBASE!$I$34*2</f>
        <v>209.37365399999999</v>
      </c>
      <c r="AI169" s="635"/>
      <c r="AJ169" s="635"/>
      <c r="AR169" s="636"/>
      <c r="AS169" s="636"/>
    </row>
    <row r="170" spans="1:45" x14ac:dyDescent="0.2">
      <c r="A170" s="631" t="s">
        <v>191</v>
      </c>
      <c r="B170" s="631">
        <v>2500</v>
      </c>
      <c r="C170" s="631">
        <v>1750</v>
      </c>
      <c r="D170" s="631" t="str">
        <f t="shared" si="66"/>
        <v>KVX25001750</v>
      </c>
      <c r="E170" s="1054">
        <f t="shared" si="63"/>
        <v>1416.87004895</v>
      </c>
      <c r="F170" s="632">
        <v>14</v>
      </c>
      <c r="G170" s="633">
        <f>F170*CCBASE!$B$51</f>
        <v>504</v>
      </c>
      <c r="H170" s="633">
        <f>CCBASE!$I$12*B170/1000</f>
        <v>299.12634325000005</v>
      </c>
      <c r="I170" s="633"/>
      <c r="J170" s="633"/>
      <c r="K170" s="633"/>
      <c r="L170" s="638"/>
      <c r="M170" s="633">
        <f>CCBASE!$I$15*B170/1000</f>
        <v>199.61471250000002</v>
      </c>
      <c r="N170" s="633"/>
      <c r="O170" s="633"/>
      <c r="P170" s="633"/>
      <c r="Q170" s="633">
        <f>CCBASE!$I$51</f>
        <v>2.9</v>
      </c>
      <c r="R170" s="633">
        <f>CCBASE!$I$4</f>
        <v>8.3986041999999994</v>
      </c>
      <c r="S170" s="633">
        <f>CCBASE!$I$8</f>
        <v>16.25526</v>
      </c>
      <c r="T170" s="632"/>
      <c r="U170" s="632"/>
      <c r="V170" s="632"/>
      <c r="W170" s="633">
        <f>CCBASE!$I$42*B170/1000</f>
        <v>177.20147500000002</v>
      </c>
      <c r="X170" s="633"/>
      <c r="Y170" s="633"/>
      <c r="Z170" s="633"/>
      <c r="AA170" s="633"/>
      <c r="AB170" s="633"/>
      <c r="AC170" s="633"/>
      <c r="AD170" s="633">
        <f>CCBASE!$I$34*2</f>
        <v>209.37365399999999</v>
      </c>
      <c r="AI170" s="635"/>
      <c r="AJ170" s="635"/>
      <c r="AR170" s="636"/>
      <c r="AS170" s="636"/>
    </row>
    <row r="171" spans="1:45" x14ac:dyDescent="0.2">
      <c r="A171" s="631" t="s">
        <v>191</v>
      </c>
      <c r="B171" s="631">
        <v>2750</v>
      </c>
      <c r="C171" s="631">
        <v>1750</v>
      </c>
      <c r="D171" s="631" t="str">
        <f t="shared" si="66"/>
        <v>KVX27501750</v>
      </c>
      <c r="E171" s="1054">
        <f t="shared" si="63"/>
        <v>1484.4643020249998</v>
      </c>
      <c r="F171" s="632">
        <v>14</v>
      </c>
      <c r="G171" s="633">
        <f>F171*CCBASE!$B$51</f>
        <v>504</v>
      </c>
      <c r="H171" s="633">
        <f>CCBASE!$I$12*B171/1000</f>
        <v>329.03897757500005</v>
      </c>
      <c r="I171" s="633"/>
      <c r="J171" s="633"/>
      <c r="K171" s="633"/>
      <c r="L171" s="638"/>
      <c r="M171" s="633">
        <f>CCBASE!$I$15*B171/1000</f>
        <v>219.57618375000001</v>
      </c>
      <c r="N171" s="633"/>
      <c r="O171" s="633"/>
      <c r="P171" s="633"/>
      <c r="Q171" s="633">
        <f>CCBASE!$I$51</f>
        <v>2.9</v>
      </c>
      <c r="R171" s="633">
        <f>CCBASE!$I$4</f>
        <v>8.3986041999999994</v>
      </c>
      <c r="S171" s="633">
        <f>CCBASE!$I$8</f>
        <v>16.25526</v>
      </c>
      <c r="T171" s="632"/>
      <c r="U171" s="632"/>
      <c r="V171" s="632"/>
      <c r="W171" s="633">
        <f>CCBASE!$I$42*B171/1000</f>
        <v>194.92162249999998</v>
      </c>
      <c r="X171" s="633"/>
      <c r="Y171" s="633"/>
      <c r="Z171" s="633"/>
      <c r="AA171" s="633"/>
      <c r="AB171" s="633"/>
      <c r="AC171" s="633"/>
      <c r="AD171" s="633">
        <f>CCBASE!$I$34*2</f>
        <v>209.37365399999999</v>
      </c>
      <c r="AI171" s="635"/>
      <c r="AJ171" s="635"/>
      <c r="AK171" s="636"/>
      <c r="AL171" s="636"/>
      <c r="AM171" s="636"/>
      <c r="AN171" s="636"/>
      <c r="AO171" s="636"/>
      <c r="AP171" s="636"/>
      <c r="AQ171" s="636"/>
      <c r="AR171" s="636"/>
      <c r="AS171" s="636"/>
    </row>
    <row r="172" spans="1:45" x14ac:dyDescent="0.2">
      <c r="A172" s="631" t="s">
        <v>191</v>
      </c>
      <c r="B172" s="631">
        <v>3000</v>
      </c>
      <c r="C172" s="631">
        <v>1750</v>
      </c>
      <c r="D172" s="631" t="str">
        <f t="shared" si="66"/>
        <v>KVX30001750</v>
      </c>
      <c r="E172" s="1054">
        <f t="shared" si="63"/>
        <v>1552.0585550999999</v>
      </c>
      <c r="F172" s="632">
        <v>14</v>
      </c>
      <c r="G172" s="633">
        <f>F172*CCBASE!$B$51</f>
        <v>504</v>
      </c>
      <c r="H172" s="633">
        <f>CCBASE!$I$12*B172/1000</f>
        <v>358.95161190000005</v>
      </c>
      <c r="I172" s="633"/>
      <c r="J172" s="633"/>
      <c r="K172" s="633"/>
      <c r="L172" s="638"/>
      <c r="M172" s="633">
        <f>CCBASE!$I$15*B172/1000</f>
        <v>239.53765500000003</v>
      </c>
      <c r="N172" s="633"/>
      <c r="O172" s="633"/>
      <c r="P172" s="633"/>
      <c r="Q172" s="633">
        <f>CCBASE!$I$51</f>
        <v>2.9</v>
      </c>
      <c r="R172" s="633">
        <f>CCBASE!$I$4</f>
        <v>8.3986041999999994</v>
      </c>
      <c r="S172" s="633">
        <f>CCBASE!$I$8</f>
        <v>16.25526</v>
      </c>
      <c r="T172" s="632"/>
      <c r="U172" s="632"/>
      <c r="V172" s="632"/>
      <c r="W172" s="633">
        <f>CCBASE!$I$42*B172/1000</f>
        <v>212.64176999999998</v>
      </c>
      <c r="X172" s="633"/>
      <c r="Y172" s="633"/>
      <c r="Z172" s="633"/>
      <c r="AA172" s="633"/>
      <c r="AB172" s="633"/>
      <c r="AC172" s="633"/>
      <c r="AD172" s="633">
        <f>CCBASE!$I$34*2</f>
        <v>209.37365399999999</v>
      </c>
      <c r="AI172" s="635"/>
      <c r="AJ172" s="635"/>
      <c r="AK172" s="636"/>
      <c r="AL172" s="636"/>
      <c r="AM172" s="636"/>
      <c r="AN172" s="636"/>
      <c r="AO172" s="636"/>
      <c r="AP172" s="636"/>
      <c r="AQ172" s="636"/>
      <c r="AR172" s="636"/>
      <c r="AS172" s="636"/>
    </row>
    <row r="173" spans="1:45" x14ac:dyDescent="0.2">
      <c r="A173" s="631" t="s">
        <v>191</v>
      </c>
      <c r="B173" s="631">
        <v>1000</v>
      </c>
      <c r="C173" s="631">
        <v>2000</v>
      </c>
      <c r="D173" s="631" t="str">
        <f t="shared" si="66"/>
        <v>KVX10002000</v>
      </c>
      <c r="E173" s="1054">
        <f t="shared" si="63"/>
        <v>1067.5708864999999</v>
      </c>
      <c r="F173" s="632">
        <v>13</v>
      </c>
      <c r="G173" s="633">
        <f>F173*CCBASE!$B$51</f>
        <v>468</v>
      </c>
      <c r="H173" s="633">
        <f>CCBASE!$I$12*B173/1000</f>
        <v>119.65053730000001</v>
      </c>
      <c r="I173" s="633"/>
      <c r="J173" s="633"/>
      <c r="K173" s="633"/>
      <c r="L173" s="638"/>
      <c r="M173" s="633">
        <f>CCBASE!$I$15*B173/1000</f>
        <v>79.84588500000001</v>
      </c>
      <c r="N173" s="633"/>
      <c r="O173" s="633"/>
      <c r="P173" s="633"/>
      <c r="Q173" s="633">
        <f>CCBASE!$I$51</f>
        <v>2.9</v>
      </c>
      <c r="R173" s="633">
        <f>CCBASE!$I$4</f>
        <v>8.3986041999999994</v>
      </c>
      <c r="S173" s="633">
        <f>CCBASE!$I$8</f>
        <v>16.25526</v>
      </c>
      <c r="T173" s="632"/>
      <c r="U173" s="632"/>
      <c r="V173" s="632"/>
      <c r="W173" s="633">
        <f>CCBASE!$I$43*B173/1000</f>
        <v>88.624119999999991</v>
      </c>
      <c r="X173" s="633"/>
      <c r="Y173" s="633"/>
      <c r="Z173" s="633"/>
      <c r="AA173" s="633"/>
      <c r="AB173" s="633"/>
      <c r="AC173" s="633"/>
      <c r="AD173" s="633">
        <f>CCBASE!$I$35*2</f>
        <v>283.89648</v>
      </c>
      <c r="AI173" s="635"/>
      <c r="AJ173" s="635"/>
      <c r="AK173" s="636"/>
      <c r="AL173" s="636"/>
      <c r="AM173" s="636"/>
      <c r="AN173" s="636"/>
      <c r="AO173" s="636"/>
      <c r="AP173" s="636"/>
      <c r="AQ173" s="636"/>
      <c r="AR173" s="636"/>
      <c r="AS173" s="636"/>
    </row>
    <row r="174" spans="1:45" x14ac:dyDescent="0.2">
      <c r="A174" s="631" t="s">
        <v>191</v>
      </c>
      <c r="B174" s="631">
        <v>1250</v>
      </c>
      <c r="C174" s="631">
        <v>2000</v>
      </c>
      <c r="D174" s="631" t="str">
        <f t="shared" si="66"/>
        <v>KVX12502000</v>
      </c>
      <c r="E174" s="1054">
        <f t="shared" si="63"/>
        <v>1139.6010220749999</v>
      </c>
      <c r="F174" s="632">
        <v>13</v>
      </c>
      <c r="G174" s="633">
        <f>F174*CCBASE!$B$51</f>
        <v>468</v>
      </c>
      <c r="H174" s="633">
        <f>CCBASE!$I$12*B174/1000</f>
        <v>149.56317162500002</v>
      </c>
      <c r="I174" s="633"/>
      <c r="J174" s="633"/>
      <c r="K174" s="633"/>
      <c r="L174" s="638"/>
      <c r="M174" s="633">
        <f>CCBASE!$I$15*B174/1000</f>
        <v>99.807356250000012</v>
      </c>
      <c r="N174" s="633"/>
      <c r="O174" s="633"/>
      <c r="P174" s="633"/>
      <c r="Q174" s="633">
        <f>CCBASE!$I$51</f>
        <v>2.9</v>
      </c>
      <c r="R174" s="633">
        <f>CCBASE!$I$4</f>
        <v>8.3986041999999994</v>
      </c>
      <c r="S174" s="633">
        <f>CCBASE!$I$8</f>
        <v>16.25526</v>
      </c>
      <c r="T174" s="632"/>
      <c r="U174" s="632"/>
      <c r="V174" s="632"/>
      <c r="W174" s="633">
        <f>CCBASE!$I$43*B174/1000</f>
        <v>110.78014999999999</v>
      </c>
      <c r="X174" s="633"/>
      <c r="Y174" s="633"/>
      <c r="Z174" s="633"/>
      <c r="AA174" s="633"/>
      <c r="AB174" s="633"/>
      <c r="AC174" s="633"/>
      <c r="AD174" s="633">
        <f>CCBASE!$I$35*2</f>
        <v>283.89648</v>
      </c>
      <c r="AI174" s="635"/>
      <c r="AJ174" s="635"/>
      <c r="AK174" s="636"/>
      <c r="AL174" s="636"/>
      <c r="AM174" s="636"/>
      <c r="AN174" s="636"/>
      <c r="AO174" s="636"/>
      <c r="AP174" s="636"/>
      <c r="AQ174" s="636"/>
      <c r="AR174" s="636"/>
      <c r="AS174" s="636"/>
    </row>
    <row r="175" spans="1:45" x14ac:dyDescent="0.2">
      <c r="A175" s="631" t="s">
        <v>191</v>
      </c>
      <c r="B175" s="631">
        <v>1500</v>
      </c>
      <c r="C175" s="631">
        <v>2000</v>
      </c>
      <c r="D175" s="631" t="str">
        <f t="shared" si="66"/>
        <v>KVX15002000</v>
      </c>
      <c r="E175" s="1054">
        <f t="shared" si="63"/>
        <v>1211.6311576500002</v>
      </c>
      <c r="F175" s="632">
        <v>13</v>
      </c>
      <c r="G175" s="633">
        <f>F175*CCBASE!$B$51</f>
        <v>468</v>
      </c>
      <c r="H175" s="633">
        <f>CCBASE!$I$12*B175/1000</f>
        <v>179.47580595000002</v>
      </c>
      <c r="I175" s="633"/>
      <c r="J175" s="633"/>
      <c r="K175" s="633"/>
      <c r="L175" s="638"/>
      <c r="M175" s="633">
        <f>CCBASE!$I$15*B175/1000</f>
        <v>119.76882750000001</v>
      </c>
      <c r="N175" s="633"/>
      <c r="O175" s="633"/>
      <c r="P175" s="633"/>
      <c r="Q175" s="633">
        <f>CCBASE!$I$51</f>
        <v>2.9</v>
      </c>
      <c r="R175" s="633">
        <f>CCBASE!$I$4</f>
        <v>8.3986041999999994</v>
      </c>
      <c r="S175" s="633">
        <f>CCBASE!$I$8</f>
        <v>16.25526</v>
      </c>
      <c r="T175" s="632"/>
      <c r="U175" s="632"/>
      <c r="V175" s="632"/>
      <c r="W175" s="633">
        <f>CCBASE!$I$43*B175/1000</f>
        <v>132.93617999999998</v>
      </c>
      <c r="X175" s="633"/>
      <c r="Y175" s="633"/>
      <c r="Z175" s="633"/>
      <c r="AA175" s="633"/>
      <c r="AB175" s="633"/>
      <c r="AC175" s="633"/>
      <c r="AD175" s="633">
        <f>CCBASE!$I$35*2</f>
        <v>283.89648</v>
      </c>
      <c r="AI175" s="635"/>
      <c r="AJ175" s="635"/>
      <c r="AK175" s="636"/>
      <c r="AL175" s="636"/>
      <c r="AM175" s="636"/>
      <c r="AN175" s="636"/>
      <c r="AO175" s="636"/>
      <c r="AP175" s="636"/>
      <c r="AQ175" s="636"/>
      <c r="AR175" s="636"/>
      <c r="AS175" s="636"/>
    </row>
    <row r="176" spans="1:45" x14ac:dyDescent="0.2">
      <c r="A176" s="631" t="s">
        <v>191</v>
      </c>
      <c r="B176" s="631">
        <v>1750</v>
      </c>
      <c r="C176" s="631">
        <v>2000</v>
      </c>
      <c r="D176" s="631" t="str">
        <f t="shared" si="66"/>
        <v>KVX17502000</v>
      </c>
      <c r="E176" s="1054">
        <f t="shared" si="63"/>
        <v>1283.661293225</v>
      </c>
      <c r="F176" s="632">
        <v>13</v>
      </c>
      <c r="G176" s="633">
        <f>F176*CCBASE!$B$51</f>
        <v>468</v>
      </c>
      <c r="H176" s="633">
        <f>CCBASE!$I$12*B176/1000</f>
        <v>209.38844027500002</v>
      </c>
      <c r="I176" s="633"/>
      <c r="J176" s="633"/>
      <c r="K176" s="633"/>
      <c r="L176" s="638"/>
      <c r="M176" s="633">
        <f>CCBASE!$I$15*B176/1000</f>
        <v>139.73029875</v>
      </c>
      <c r="N176" s="633"/>
      <c r="O176" s="633"/>
      <c r="P176" s="633"/>
      <c r="Q176" s="633">
        <f>CCBASE!$I$51</f>
        <v>2.9</v>
      </c>
      <c r="R176" s="633">
        <f>CCBASE!$I$4</f>
        <v>8.3986041999999994</v>
      </c>
      <c r="S176" s="633">
        <f>CCBASE!$I$8</f>
        <v>16.25526</v>
      </c>
      <c r="T176" s="632"/>
      <c r="U176" s="632"/>
      <c r="V176" s="632"/>
      <c r="W176" s="633">
        <f>CCBASE!$I$43*B176/1000</f>
        <v>155.09220999999999</v>
      </c>
      <c r="X176" s="633"/>
      <c r="Y176" s="633"/>
      <c r="Z176" s="633"/>
      <c r="AA176" s="633"/>
      <c r="AB176" s="633"/>
      <c r="AC176" s="633"/>
      <c r="AD176" s="633">
        <f>CCBASE!$I$35*2</f>
        <v>283.89648</v>
      </c>
      <c r="AI176" s="635"/>
      <c r="AJ176" s="635"/>
    </row>
    <row r="177" spans="1:45" x14ac:dyDescent="0.2">
      <c r="A177" s="631" t="s">
        <v>191</v>
      </c>
      <c r="B177" s="631">
        <v>2000</v>
      </c>
      <c r="C177" s="631">
        <v>2000</v>
      </c>
      <c r="D177" s="631" t="str">
        <f t="shared" si="66"/>
        <v>KVX20002000</v>
      </c>
      <c r="E177" s="1054">
        <f t="shared" si="63"/>
        <v>1355.6914287999998</v>
      </c>
      <c r="F177" s="632">
        <v>13</v>
      </c>
      <c r="G177" s="633">
        <f>F177*CCBASE!$B$51</f>
        <v>468</v>
      </c>
      <c r="H177" s="633">
        <f>CCBASE!$I$12*B177/1000</f>
        <v>239.30107460000002</v>
      </c>
      <c r="I177" s="633"/>
      <c r="J177" s="633"/>
      <c r="K177" s="633"/>
      <c r="L177" s="638"/>
      <c r="M177" s="633">
        <f>CCBASE!$I$15*B177/1000</f>
        <v>159.69177000000002</v>
      </c>
      <c r="N177" s="633"/>
      <c r="O177" s="633"/>
      <c r="P177" s="633"/>
      <c r="Q177" s="633">
        <f>CCBASE!$I$51</f>
        <v>2.9</v>
      </c>
      <c r="R177" s="633">
        <f>CCBASE!$I$4</f>
        <v>8.3986041999999994</v>
      </c>
      <c r="S177" s="633">
        <f>CCBASE!$I$8</f>
        <v>16.25526</v>
      </c>
      <c r="T177" s="632"/>
      <c r="U177" s="632"/>
      <c r="V177" s="632"/>
      <c r="W177" s="633">
        <f>CCBASE!$I$43*B177/1000</f>
        <v>177.24823999999998</v>
      </c>
      <c r="X177" s="633"/>
      <c r="Y177" s="633"/>
      <c r="Z177" s="633"/>
      <c r="AA177" s="633"/>
      <c r="AB177" s="633"/>
      <c r="AC177" s="633"/>
      <c r="AD177" s="633">
        <f>CCBASE!$I$35*2</f>
        <v>283.89648</v>
      </c>
      <c r="AI177" s="635"/>
      <c r="AJ177" s="635"/>
    </row>
    <row r="178" spans="1:45" x14ac:dyDescent="0.2">
      <c r="A178" s="631" t="s">
        <v>191</v>
      </c>
      <c r="B178" s="631">
        <v>2250</v>
      </c>
      <c r="C178" s="631">
        <v>2000</v>
      </c>
      <c r="D178" s="631" t="str">
        <f t="shared" si="66"/>
        <v>KVX22502000</v>
      </c>
      <c r="E178" s="1054">
        <f t="shared" si="63"/>
        <v>1427.7215643750001</v>
      </c>
      <c r="F178" s="632">
        <v>13</v>
      </c>
      <c r="G178" s="633">
        <f>F178*CCBASE!$B$51</f>
        <v>468</v>
      </c>
      <c r="H178" s="633">
        <f>CCBASE!$I$12*B178/1000</f>
        <v>269.21370892500005</v>
      </c>
      <c r="I178" s="633"/>
      <c r="J178" s="633"/>
      <c r="K178" s="633"/>
      <c r="L178" s="638"/>
      <c r="M178" s="633">
        <f>CCBASE!$I$15*B178/1000</f>
        <v>179.65324125000001</v>
      </c>
      <c r="N178" s="633"/>
      <c r="O178" s="633"/>
      <c r="P178" s="633"/>
      <c r="Q178" s="633">
        <f>CCBASE!$I$51</f>
        <v>2.9</v>
      </c>
      <c r="R178" s="633">
        <f>CCBASE!$I$4</f>
        <v>8.3986041999999994</v>
      </c>
      <c r="S178" s="633">
        <f>CCBASE!$I$8</f>
        <v>16.25526</v>
      </c>
      <c r="T178" s="632"/>
      <c r="U178" s="632"/>
      <c r="V178" s="632"/>
      <c r="W178" s="633">
        <f>CCBASE!$I$43*B178/1000</f>
        <v>199.40427</v>
      </c>
      <c r="X178" s="633"/>
      <c r="Y178" s="633"/>
      <c r="Z178" s="633"/>
      <c r="AA178" s="633"/>
      <c r="AB178" s="633"/>
      <c r="AC178" s="633"/>
      <c r="AD178" s="633">
        <f>CCBASE!$I$35*2</f>
        <v>283.89648</v>
      </c>
      <c r="AI178" s="635"/>
      <c r="AJ178" s="635"/>
    </row>
    <row r="179" spans="1:45" x14ac:dyDescent="0.2">
      <c r="A179" s="631" t="s">
        <v>191</v>
      </c>
      <c r="B179" s="631">
        <v>2500</v>
      </c>
      <c r="C179" s="631">
        <v>2000</v>
      </c>
      <c r="D179" s="631" t="str">
        <f t="shared" si="66"/>
        <v>KVX25002000</v>
      </c>
      <c r="E179" s="1054">
        <f t="shared" si="63"/>
        <v>1535.7516999499999</v>
      </c>
      <c r="F179" s="632">
        <v>14</v>
      </c>
      <c r="G179" s="633">
        <f>F179*CCBASE!$B$51</f>
        <v>504</v>
      </c>
      <c r="H179" s="633">
        <f>CCBASE!$I$12*B179/1000</f>
        <v>299.12634325000005</v>
      </c>
      <c r="I179" s="633"/>
      <c r="J179" s="633"/>
      <c r="K179" s="633"/>
      <c r="L179" s="638"/>
      <c r="M179" s="633">
        <f>CCBASE!$I$15*B179/1000</f>
        <v>199.61471250000002</v>
      </c>
      <c r="N179" s="633"/>
      <c r="O179" s="633"/>
      <c r="P179" s="633"/>
      <c r="Q179" s="633">
        <f>CCBASE!$I$51</f>
        <v>2.9</v>
      </c>
      <c r="R179" s="633">
        <f>CCBASE!$I$4</f>
        <v>8.3986041999999994</v>
      </c>
      <c r="S179" s="633">
        <f>CCBASE!$I$8</f>
        <v>16.25526</v>
      </c>
      <c r="T179" s="632"/>
      <c r="U179" s="632"/>
      <c r="V179" s="632"/>
      <c r="W179" s="633">
        <f>CCBASE!$I$43*B179/1000</f>
        <v>221.56029999999998</v>
      </c>
      <c r="X179" s="633"/>
      <c r="Y179" s="633"/>
      <c r="Z179" s="633"/>
      <c r="AA179" s="633"/>
      <c r="AB179" s="633"/>
      <c r="AC179" s="633"/>
      <c r="AD179" s="633">
        <f>CCBASE!$I$35*2</f>
        <v>283.89648</v>
      </c>
      <c r="AI179" s="635"/>
      <c r="AJ179" s="635"/>
      <c r="AR179" s="636"/>
      <c r="AS179" s="636"/>
    </row>
    <row r="180" spans="1:45" x14ac:dyDescent="0.2">
      <c r="A180" s="631" t="s">
        <v>191</v>
      </c>
      <c r="B180" s="631">
        <v>2750</v>
      </c>
      <c r="C180" s="631">
        <v>2000</v>
      </c>
      <c r="D180" s="631" t="str">
        <f t="shared" si="66"/>
        <v>KVX27502000</v>
      </c>
      <c r="E180" s="1054">
        <f t="shared" si="63"/>
        <v>1607.7818355249997</v>
      </c>
      <c r="F180" s="632">
        <v>14</v>
      </c>
      <c r="G180" s="633">
        <f>F180*CCBASE!$B$51</f>
        <v>504</v>
      </c>
      <c r="H180" s="633">
        <f>CCBASE!$I$12*B180/1000</f>
        <v>329.03897757500005</v>
      </c>
      <c r="I180" s="633"/>
      <c r="J180" s="633"/>
      <c r="K180" s="633"/>
      <c r="L180" s="638"/>
      <c r="M180" s="633">
        <f>CCBASE!$I$15*B180/1000</f>
        <v>219.57618375000001</v>
      </c>
      <c r="N180" s="633"/>
      <c r="O180" s="633"/>
      <c r="P180" s="633"/>
      <c r="Q180" s="633">
        <f>CCBASE!$I$51</f>
        <v>2.9</v>
      </c>
      <c r="R180" s="633">
        <f>CCBASE!$I$4</f>
        <v>8.3986041999999994</v>
      </c>
      <c r="S180" s="633">
        <f>CCBASE!$I$8</f>
        <v>16.25526</v>
      </c>
      <c r="T180" s="632"/>
      <c r="U180" s="632"/>
      <c r="V180" s="632"/>
      <c r="W180" s="633">
        <f>CCBASE!$I$43*B180/1000</f>
        <v>243.71633</v>
      </c>
      <c r="X180" s="633"/>
      <c r="Y180" s="633"/>
      <c r="Z180" s="633"/>
      <c r="AA180" s="633"/>
      <c r="AB180" s="633"/>
      <c r="AC180" s="633"/>
      <c r="AD180" s="633">
        <f>CCBASE!$I$35*2</f>
        <v>283.89648</v>
      </c>
      <c r="AI180" s="635"/>
      <c r="AJ180" s="635"/>
      <c r="AR180" s="636"/>
      <c r="AS180" s="636"/>
    </row>
    <row r="181" spans="1:45" x14ac:dyDescent="0.2">
      <c r="A181" s="631" t="s">
        <v>191</v>
      </c>
      <c r="B181" s="631">
        <v>3000</v>
      </c>
      <c r="C181" s="631">
        <v>2000</v>
      </c>
      <c r="D181" s="631" t="str">
        <f t="shared" si="66"/>
        <v>KVX30002000</v>
      </c>
      <c r="E181" s="1054">
        <f t="shared" si="63"/>
        <v>1679.8119710999999</v>
      </c>
      <c r="F181" s="632">
        <v>14</v>
      </c>
      <c r="G181" s="633">
        <f>F181*CCBASE!$B$51</f>
        <v>504</v>
      </c>
      <c r="H181" s="633">
        <f>CCBASE!$I$12*B181/1000</f>
        <v>358.95161190000005</v>
      </c>
      <c r="I181" s="633"/>
      <c r="J181" s="633"/>
      <c r="K181" s="633"/>
      <c r="L181" s="638"/>
      <c r="M181" s="633">
        <f>CCBASE!$I$15*B181/1000</f>
        <v>239.53765500000003</v>
      </c>
      <c r="N181" s="633"/>
      <c r="O181" s="633"/>
      <c r="P181" s="633"/>
      <c r="Q181" s="633">
        <f>CCBASE!$I$51</f>
        <v>2.9</v>
      </c>
      <c r="R181" s="633">
        <f>CCBASE!$I$4</f>
        <v>8.3986041999999994</v>
      </c>
      <c r="S181" s="633">
        <f>CCBASE!$I$8</f>
        <v>16.25526</v>
      </c>
      <c r="T181" s="632"/>
      <c r="U181" s="632"/>
      <c r="V181" s="632"/>
      <c r="W181" s="633">
        <f>CCBASE!$I$43*B181/1000</f>
        <v>265.87235999999996</v>
      </c>
      <c r="X181" s="633"/>
      <c r="Y181" s="633"/>
      <c r="Z181" s="633"/>
      <c r="AA181" s="633"/>
      <c r="AB181" s="633"/>
      <c r="AC181" s="633"/>
      <c r="AD181" s="633">
        <f>CCBASE!$I$35*2</f>
        <v>283.89648</v>
      </c>
      <c r="AI181" s="635"/>
      <c r="AJ181" s="635"/>
      <c r="AK181" s="636"/>
      <c r="AL181" s="636"/>
      <c r="AM181" s="636"/>
      <c r="AN181" s="636"/>
      <c r="AO181" s="636"/>
      <c r="AP181" s="636"/>
      <c r="AQ181" s="636"/>
      <c r="AR181" s="636"/>
      <c r="AS181" s="636"/>
    </row>
    <row r="182" spans="1:45" x14ac:dyDescent="0.2">
      <c r="A182" s="631" t="s">
        <v>136</v>
      </c>
      <c r="B182" s="631">
        <v>1000</v>
      </c>
      <c r="C182" s="631">
        <v>1000</v>
      </c>
      <c r="D182" s="631" t="str">
        <f t="shared" ref="D182" si="67">A182&amp;B182&amp;C182</f>
        <v>KVI10001000</v>
      </c>
      <c r="E182" s="1054">
        <f t="shared" si="63"/>
        <v>1416.4362194999999</v>
      </c>
      <c r="F182" s="632">
        <v>20</v>
      </c>
      <c r="G182" s="633">
        <f>F182*CCBASE!$B$51</f>
        <v>720</v>
      </c>
      <c r="H182" s="633">
        <f>CCBASE!$I$12*B182/1000</f>
        <v>119.65053730000001</v>
      </c>
      <c r="I182" s="633"/>
      <c r="J182" s="633"/>
      <c r="K182" s="633"/>
      <c r="L182" s="633">
        <f>CCBASE!$I$14*B182/1000</f>
        <v>209.37365399999999</v>
      </c>
      <c r="M182" s="633"/>
      <c r="N182" s="633"/>
      <c r="O182" s="633">
        <f>CCBASE!$I$45*B182/1000</f>
        <v>9.9700000000000006</v>
      </c>
      <c r="P182" s="633"/>
      <c r="Q182" s="633">
        <f>CCBASE!$H$51</f>
        <v>5.16</v>
      </c>
      <c r="R182" s="633">
        <f>CCBASE!$I$4</f>
        <v>8.3986041999999994</v>
      </c>
      <c r="S182" s="633">
        <f>CCBASE!$I$8</f>
        <v>16.25526</v>
      </c>
      <c r="T182" s="633">
        <f>CCBASE!$I$44</f>
        <v>94.69</v>
      </c>
      <c r="U182" s="633"/>
      <c r="V182" s="633"/>
      <c r="W182" s="633">
        <f>CCBASE!$I$40*B182/1000</f>
        <v>41.308039999999998</v>
      </c>
      <c r="X182" s="633"/>
      <c r="Y182" s="633"/>
      <c r="Z182" s="633"/>
      <c r="AA182" s="633"/>
      <c r="AB182" s="633"/>
      <c r="AC182" s="633"/>
      <c r="AD182" s="633">
        <f>CCBASE!$I$36*2</f>
        <v>191.630124</v>
      </c>
      <c r="AI182" s="635"/>
      <c r="AJ182" s="635"/>
      <c r="AK182" s="636"/>
      <c r="AL182" s="636"/>
      <c r="AM182" s="636"/>
      <c r="AN182" s="636"/>
      <c r="AO182" s="636"/>
      <c r="AP182" s="636"/>
      <c r="AQ182" s="636"/>
      <c r="AR182" s="636"/>
      <c r="AS182" s="636"/>
    </row>
    <row r="183" spans="1:45" x14ac:dyDescent="0.2">
      <c r="A183" s="631" t="s">
        <v>136</v>
      </c>
      <c r="B183" s="631">
        <v>1250</v>
      </c>
      <c r="C183" s="631">
        <v>1000</v>
      </c>
      <c r="D183" s="631" t="str">
        <f>A183&amp;B183&amp;C183</f>
        <v>KVI12501000</v>
      </c>
      <c r="E183" s="1054">
        <f t="shared" si="63"/>
        <v>1511.5117773250001</v>
      </c>
      <c r="F183" s="632">
        <v>20</v>
      </c>
      <c r="G183" s="633">
        <f>F183*CCBASE!$B$51</f>
        <v>720</v>
      </c>
      <c r="H183" s="633">
        <f>CCBASE!$I$12*B183/1000</f>
        <v>149.56317162500002</v>
      </c>
      <c r="I183" s="633"/>
      <c r="J183" s="633"/>
      <c r="K183" s="633"/>
      <c r="L183" s="633">
        <f>CCBASE!$I$14*B183/1000</f>
        <v>261.71706749999998</v>
      </c>
      <c r="M183" s="633"/>
      <c r="N183" s="633"/>
      <c r="O183" s="633">
        <f>CCBASE!$I$45*B183/1000</f>
        <v>12.4625</v>
      </c>
      <c r="P183" s="633"/>
      <c r="Q183" s="633">
        <f>CCBASE!$H$51</f>
        <v>5.16</v>
      </c>
      <c r="R183" s="633">
        <f>CCBASE!$I$4</f>
        <v>8.3986041999999994</v>
      </c>
      <c r="S183" s="633">
        <f>CCBASE!$I$8</f>
        <v>16.25526</v>
      </c>
      <c r="T183" s="633">
        <f>CCBASE!$I$44</f>
        <v>94.69</v>
      </c>
      <c r="U183" s="633"/>
      <c r="V183" s="633"/>
      <c r="W183" s="633">
        <f>CCBASE!$I$40*B183/1000</f>
        <v>51.635049999999993</v>
      </c>
      <c r="X183" s="633"/>
      <c r="Y183" s="633"/>
      <c r="Z183" s="633"/>
      <c r="AA183" s="633"/>
      <c r="AB183" s="633"/>
      <c r="AC183" s="633"/>
      <c r="AD183" s="633">
        <f>CCBASE!$I$36*2</f>
        <v>191.630124</v>
      </c>
      <c r="AJ183" s="639"/>
    </row>
    <row r="184" spans="1:45" x14ac:dyDescent="0.2">
      <c r="A184" s="631" t="s">
        <v>136</v>
      </c>
      <c r="B184" s="631">
        <v>1500</v>
      </c>
      <c r="C184" s="631">
        <v>1000</v>
      </c>
      <c r="D184" s="631" t="str">
        <f>A184&amp;B184&amp;C184</f>
        <v>KVI15001000</v>
      </c>
      <c r="E184" s="1054">
        <f t="shared" si="63"/>
        <v>1606.5873351499999</v>
      </c>
      <c r="F184" s="632">
        <v>20</v>
      </c>
      <c r="G184" s="633">
        <f>F184*CCBASE!$B$51</f>
        <v>720</v>
      </c>
      <c r="H184" s="633">
        <f>CCBASE!$I$12*B184/1000</f>
        <v>179.47580595000002</v>
      </c>
      <c r="I184" s="633"/>
      <c r="J184" s="633"/>
      <c r="K184" s="633"/>
      <c r="L184" s="633">
        <f>CCBASE!$I$14*B184/1000</f>
        <v>314.06048099999998</v>
      </c>
      <c r="M184" s="633"/>
      <c r="N184" s="633"/>
      <c r="O184" s="633">
        <f>CCBASE!$I$45*B184/1000</f>
        <v>14.955000000000002</v>
      </c>
      <c r="P184" s="633"/>
      <c r="Q184" s="633">
        <f>CCBASE!$H$51</f>
        <v>5.16</v>
      </c>
      <c r="R184" s="633">
        <f>CCBASE!$I$4</f>
        <v>8.3986041999999994</v>
      </c>
      <c r="S184" s="633">
        <f>CCBASE!$I$8</f>
        <v>16.25526</v>
      </c>
      <c r="T184" s="633">
        <f>CCBASE!$I$44</f>
        <v>94.69</v>
      </c>
      <c r="U184" s="633"/>
      <c r="V184" s="633"/>
      <c r="W184" s="633">
        <f>CCBASE!$I$40*B184/1000</f>
        <v>61.962060000000001</v>
      </c>
      <c r="X184" s="633"/>
      <c r="Y184" s="633"/>
      <c r="Z184" s="633"/>
      <c r="AA184" s="633"/>
      <c r="AB184" s="633"/>
      <c r="AC184" s="633"/>
      <c r="AD184" s="633">
        <f>CCBASE!$I$36*2</f>
        <v>191.630124</v>
      </c>
      <c r="AJ184" s="639"/>
    </row>
    <row r="185" spans="1:45" x14ac:dyDescent="0.2">
      <c r="A185" s="631" t="s">
        <v>136</v>
      </c>
      <c r="B185" s="631">
        <v>1750</v>
      </c>
      <c r="C185" s="631">
        <v>1000</v>
      </c>
      <c r="D185" s="631" t="str">
        <f t="shared" ref="D185" si="68">A185&amp;B185&amp;C185</f>
        <v>KVI17501000</v>
      </c>
      <c r="E185" s="1054">
        <f t="shared" si="63"/>
        <v>1701.662892975</v>
      </c>
      <c r="F185" s="632">
        <v>20</v>
      </c>
      <c r="G185" s="633">
        <f>F185*CCBASE!$B$51</f>
        <v>720</v>
      </c>
      <c r="H185" s="633">
        <f>CCBASE!$I$12*B185/1000</f>
        <v>209.38844027500002</v>
      </c>
      <c r="I185" s="633"/>
      <c r="J185" s="633"/>
      <c r="K185" s="633"/>
      <c r="L185" s="633">
        <f>CCBASE!$I$14*B185/1000</f>
        <v>366.40389449999998</v>
      </c>
      <c r="M185" s="633"/>
      <c r="N185" s="633"/>
      <c r="O185" s="633">
        <f>CCBASE!$I$45*B185/1000</f>
        <v>17.447500000000002</v>
      </c>
      <c r="P185" s="633"/>
      <c r="Q185" s="633">
        <f>CCBASE!$H$51</f>
        <v>5.16</v>
      </c>
      <c r="R185" s="633">
        <f>CCBASE!$I$4</f>
        <v>8.3986041999999994</v>
      </c>
      <c r="S185" s="633">
        <f>CCBASE!$I$8</f>
        <v>16.25526</v>
      </c>
      <c r="T185" s="633">
        <f>CCBASE!$I$44</f>
        <v>94.69</v>
      </c>
      <c r="U185" s="633"/>
      <c r="V185" s="633"/>
      <c r="W185" s="633">
        <f>CCBASE!$I$40*B185/1000</f>
        <v>72.289069999999995</v>
      </c>
      <c r="X185" s="633"/>
      <c r="Y185" s="633"/>
      <c r="Z185" s="633"/>
      <c r="AA185" s="633"/>
      <c r="AB185" s="633"/>
      <c r="AC185" s="633"/>
      <c r="AD185" s="633">
        <f>CCBASE!$I$36*2</f>
        <v>191.630124</v>
      </c>
    </row>
    <row r="186" spans="1:45" x14ac:dyDescent="0.2">
      <c r="A186" s="631" t="s">
        <v>136</v>
      </c>
      <c r="B186" s="631">
        <v>2000</v>
      </c>
      <c r="C186" s="631">
        <v>1000</v>
      </c>
      <c r="D186" s="631" t="str">
        <f t="shared" ref="D186:D227" si="69">A186&amp;B186&amp;C186</f>
        <v>KVI20001000</v>
      </c>
      <c r="E186" s="1054">
        <f t="shared" si="63"/>
        <v>1796.7384508</v>
      </c>
      <c r="F186" s="632">
        <v>20</v>
      </c>
      <c r="G186" s="633">
        <f>F186*CCBASE!$B$51</f>
        <v>720</v>
      </c>
      <c r="H186" s="633">
        <f>CCBASE!$I$12*B186/1000</f>
        <v>239.30107460000002</v>
      </c>
      <c r="I186" s="633"/>
      <c r="J186" s="633"/>
      <c r="K186" s="633"/>
      <c r="L186" s="633">
        <f>CCBASE!$I$14*B186/1000</f>
        <v>418.74730799999998</v>
      </c>
      <c r="M186" s="633"/>
      <c r="N186" s="633"/>
      <c r="O186" s="633">
        <f>CCBASE!$I$45*B186/1000</f>
        <v>19.940000000000001</v>
      </c>
      <c r="P186" s="633"/>
      <c r="Q186" s="633">
        <f>CCBASE!$H$51</f>
        <v>5.16</v>
      </c>
      <c r="R186" s="633">
        <f>CCBASE!$I$4</f>
        <v>8.3986041999999994</v>
      </c>
      <c r="S186" s="633">
        <f>CCBASE!$I$8</f>
        <v>16.25526</v>
      </c>
      <c r="T186" s="633">
        <f>CCBASE!$I$44</f>
        <v>94.69</v>
      </c>
      <c r="U186" s="633"/>
      <c r="V186" s="633"/>
      <c r="W186" s="633">
        <f>CCBASE!$I$40*B186/1000</f>
        <v>82.616079999999997</v>
      </c>
      <c r="X186" s="633"/>
      <c r="Y186" s="633"/>
      <c r="Z186" s="633"/>
      <c r="AA186" s="633"/>
      <c r="AB186" s="633"/>
      <c r="AC186" s="633"/>
      <c r="AD186" s="633">
        <f>CCBASE!$I$36*2</f>
        <v>191.630124</v>
      </c>
    </row>
    <row r="187" spans="1:45" x14ac:dyDescent="0.2">
      <c r="A187" s="631" t="s">
        <v>136</v>
      </c>
      <c r="B187" s="631">
        <v>2250</v>
      </c>
      <c r="C187" s="631">
        <v>1000</v>
      </c>
      <c r="D187" s="631" t="str">
        <f t="shared" ref="D187" si="70">A187&amp;B187&amp;C187</f>
        <v>KVI22501000</v>
      </c>
      <c r="E187" s="1054">
        <f t="shared" si="63"/>
        <v>1927.8140086249998</v>
      </c>
      <c r="F187" s="632">
        <v>21</v>
      </c>
      <c r="G187" s="633">
        <f>F187*CCBASE!$B$51</f>
        <v>756</v>
      </c>
      <c r="H187" s="633">
        <f>CCBASE!$I$12*B187/1000</f>
        <v>269.21370892500005</v>
      </c>
      <c r="I187" s="633"/>
      <c r="J187" s="633"/>
      <c r="K187" s="633"/>
      <c r="L187" s="633">
        <f>CCBASE!$I$14*B187/1000</f>
        <v>471.09072149999997</v>
      </c>
      <c r="M187" s="633"/>
      <c r="N187" s="633"/>
      <c r="O187" s="633">
        <f>CCBASE!$I$45*B187/1000</f>
        <v>22.432500000000001</v>
      </c>
      <c r="P187" s="633"/>
      <c r="Q187" s="633">
        <f>CCBASE!$H$51</f>
        <v>5.16</v>
      </c>
      <c r="R187" s="633">
        <f>CCBASE!$I$4</f>
        <v>8.3986041999999994</v>
      </c>
      <c r="S187" s="633">
        <f>CCBASE!$I$8</f>
        <v>16.25526</v>
      </c>
      <c r="T187" s="633">
        <f>CCBASE!$I$44</f>
        <v>94.69</v>
      </c>
      <c r="U187" s="633"/>
      <c r="V187" s="633"/>
      <c r="W187" s="633">
        <f>CCBASE!$I$40*B187/1000</f>
        <v>92.943089999999998</v>
      </c>
      <c r="X187" s="633"/>
      <c r="Y187" s="633"/>
      <c r="Z187" s="633"/>
      <c r="AA187" s="633"/>
      <c r="AB187" s="633"/>
      <c r="AC187" s="633"/>
      <c r="AD187" s="633">
        <f>CCBASE!$I$36*2</f>
        <v>191.630124</v>
      </c>
    </row>
    <row r="188" spans="1:45" x14ac:dyDescent="0.2">
      <c r="A188" s="631" t="s">
        <v>136</v>
      </c>
      <c r="B188" s="631">
        <v>2500</v>
      </c>
      <c r="C188" s="631">
        <v>1000</v>
      </c>
      <c r="D188" s="631" t="str">
        <f t="shared" si="69"/>
        <v>KVI25001000</v>
      </c>
      <c r="E188" s="1054">
        <f t="shared" si="63"/>
        <v>2022.8895664499998</v>
      </c>
      <c r="F188" s="632">
        <v>21</v>
      </c>
      <c r="G188" s="633">
        <f>F188*CCBASE!$B$51</f>
        <v>756</v>
      </c>
      <c r="H188" s="633">
        <f>CCBASE!$I$12*B188/1000</f>
        <v>299.12634325000005</v>
      </c>
      <c r="I188" s="633"/>
      <c r="J188" s="633"/>
      <c r="K188" s="633"/>
      <c r="L188" s="633">
        <f>CCBASE!$I$14*B188/1000</f>
        <v>523.43413499999997</v>
      </c>
      <c r="M188" s="633"/>
      <c r="N188" s="633"/>
      <c r="O188" s="633">
        <f>CCBASE!$I$45*B188/1000</f>
        <v>24.925000000000001</v>
      </c>
      <c r="P188" s="633"/>
      <c r="Q188" s="633">
        <f>CCBASE!$H$51</f>
        <v>5.16</v>
      </c>
      <c r="R188" s="633">
        <f>CCBASE!$I$4</f>
        <v>8.3986041999999994</v>
      </c>
      <c r="S188" s="633">
        <f>CCBASE!$I$8</f>
        <v>16.25526</v>
      </c>
      <c r="T188" s="633">
        <f>CCBASE!$I$44</f>
        <v>94.69</v>
      </c>
      <c r="U188" s="633"/>
      <c r="V188" s="633"/>
      <c r="W188" s="633">
        <f>CCBASE!$I$40*B188/1000</f>
        <v>103.27009999999999</v>
      </c>
      <c r="X188" s="633"/>
      <c r="Y188" s="633"/>
      <c r="Z188" s="633"/>
      <c r="AA188" s="633"/>
      <c r="AB188" s="633"/>
      <c r="AC188" s="633"/>
      <c r="AD188" s="633">
        <f>CCBASE!$I$36*2</f>
        <v>191.630124</v>
      </c>
    </row>
    <row r="189" spans="1:45" x14ac:dyDescent="0.2">
      <c r="A189" s="631" t="s">
        <v>136</v>
      </c>
      <c r="B189" s="631">
        <v>2750</v>
      </c>
      <c r="C189" s="631">
        <v>1000</v>
      </c>
      <c r="D189" s="631" t="str">
        <f t="shared" ref="D189" si="71">A189&amp;B189&amp;C189</f>
        <v>KVI27501000</v>
      </c>
      <c r="E189" s="1054">
        <f t="shared" si="63"/>
        <v>2117.9651242749997</v>
      </c>
      <c r="F189" s="632">
        <v>21</v>
      </c>
      <c r="G189" s="633">
        <f>F189*CCBASE!$B$51</f>
        <v>756</v>
      </c>
      <c r="H189" s="633">
        <f>CCBASE!$I$12*B189/1000</f>
        <v>329.03897757500005</v>
      </c>
      <c r="I189" s="633"/>
      <c r="J189" s="633"/>
      <c r="K189" s="633"/>
      <c r="L189" s="633">
        <f>CCBASE!$I$14*B189/1000</f>
        <v>575.77754849999997</v>
      </c>
      <c r="M189" s="633"/>
      <c r="N189" s="633"/>
      <c r="O189" s="633">
        <f>CCBASE!$I$45*B189/1000</f>
        <v>27.4175</v>
      </c>
      <c r="P189" s="633"/>
      <c r="Q189" s="633">
        <f>CCBASE!$H$51</f>
        <v>5.16</v>
      </c>
      <c r="R189" s="633">
        <f>CCBASE!$I$4</f>
        <v>8.3986041999999994</v>
      </c>
      <c r="S189" s="633">
        <f>CCBASE!$I$8</f>
        <v>16.25526</v>
      </c>
      <c r="T189" s="633">
        <f>CCBASE!$I$44</f>
        <v>94.69</v>
      </c>
      <c r="U189" s="633"/>
      <c r="V189" s="633"/>
      <c r="W189" s="633">
        <f>CCBASE!$I$40*B189/1000</f>
        <v>113.59711</v>
      </c>
      <c r="X189" s="633"/>
      <c r="Y189" s="633"/>
      <c r="Z189" s="633"/>
      <c r="AA189" s="633"/>
      <c r="AB189" s="633"/>
      <c r="AC189" s="633"/>
      <c r="AD189" s="633">
        <f>CCBASE!$I$36*2</f>
        <v>191.630124</v>
      </c>
    </row>
    <row r="190" spans="1:45" x14ac:dyDescent="0.2">
      <c r="A190" s="631" t="s">
        <v>136</v>
      </c>
      <c r="B190" s="631">
        <v>3000</v>
      </c>
      <c r="C190" s="631">
        <v>1000</v>
      </c>
      <c r="D190" s="631" t="str">
        <f t="shared" si="69"/>
        <v>KVI30001000</v>
      </c>
      <c r="E190" s="1054">
        <f t="shared" si="63"/>
        <v>2213.0406820999997</v>
      </c>
      <c r="F190" s="632">
        <v>21</v>
      </c>
      <c r="G190" s="633">
        <f>F190*CCBASE!$B$51</f>
        <v>756</v>
      </c>
      <c r="H190" s="633">
        <f>CCBASE!$I$12*B190/1000</f>
        <v>358.95161190000005</v>
      </c>
      <c r="I190" s="633"/>
      <c r="J190" s="633"/>
      <c r="K190" s="633"/>
      <c r="L190" s="633">
        <f>CCBASE!$I$14*B190/1000</f>
        <v>628.12096199999996</v>
      </c>
      <c r="M190" s="633"/>
      <c r="N190" s="633"/>
      <c r="O190" s="633">
        <f>CCBASE!$I$45*B190/1000</f>
        <v>29.910000000000004</v>
      </c>
      <c r="P190" s="633"/>
      <c r="Q190" s="633">
        <f>CCBASE!$H$51</f>
        <v>5.16</v>
      </c>
      <c r="R190" s="633">
        <f>CCBASE!$I$4</f>
        <v>8.3986041999999994</v>
      </c>
      <c r="S190" s="633">
        <f>CCBASE!$I$8</f>
        <v>16.25526</v>
      </c>
      <c r="T190" s="633">
        <f>CCBASE!$I$44</f>
        <v>94.69</v>
      </c>
      <c r="U190" s="633"/>
      <c r="V190" s="633"/>
      <c r="W190" s="633">
        <f>CCBASE!$I$40*B190/1000</f>
        <v>123.92412</v>
      </c>
      <c r="X190" s="633"/>
      <c r="Y190" s="633"/>
      <c r="Z190" s="633"/>
      <c r="AA190" s="633"/>
      <c r="AB190" s="633"/>
      <c r="AC190" s="633"/>
      <c r="AD190" s="633">
        <f>CCBASE!$I$36*2</f>
        <v>191.630124</v>
      </c>
    </row>
    <row r="191" spans="1:45" x14ac:dyDescent="0.2">
      <c r="A191" s="631" t="s">
        <v>136</v>
      </c>
      <c r="B191" s="631">
        <v>1000</v>
      </c>
      <c r="C191" s="631">
        <v>1250</v>
      </c>
      <c r="D191" s="631" t="str">
        <f t="shared" si="69"/>
        <v>KVI10001250</v>
      </c>
      <c r="E191" s="1054">
        <f t="shared" si="63"/>
        <v>1416.4362194999999</v>
      </c>
      <c r="F191" s="632">
        <v>20</v>
      </c>
      <c r="G191" s="633">
        <f>F191*CCBASE!$B$51</f>
        <v>720</v>
      </c>
      <c r="H191" s="633">
        <f>CCBASE!$I$12*B191/1000</f>
        <v>119.65053730000001</v>
      </c>
      <c r="I191" s="633"/>
      <c r="J191" s="633"/>
      <c r="K191" s="633"/>
      <c r="L191" s="633">
        <f>CCBASE!$I$14*B191/1000</f>
        <v>209.37365399999999</v>
      </c>
      <c r="M191" s="633"/>
      <c r="N191" s="633"/>
      <c r="O191" s="633">
        <f>CCBASE!$I$45*B191/1000</f>
        <v>9.9700000000000006</v>
      </c>
      <c r="P191" s="633"/>
      <c r="Q191" s="633">
        <f>CCBASE!$H$51</f>
        <v>5.16</v>
      </c>
      <c r="R191" s="633">
        <f>CCBASE!$I$4</f>
        <v>8.3986041999999994</v>
      </c>
      <c r="S191" s="633">
        <f>CCBASE!$I$8</f>
        <v>16.25526</v>
      </c>
      <c r="T191" s="633">
        <f>CCBASE!$I$44</f>
        <v>94.69</v>
      </c>
      <c r="U191" s="633"/>
      <c r="V191" s="633"/>
      <c r="W191" s="633">
        <f>CCBASE!$I$40*B191/1000</f>
        <v>41.308039999999998</v>
      </c>
      <c r="X191" s="633"/>
      <c r="Y191" s="633"/>
      <c r="Z191" s="633"/>
      <c r="AA191" s="633"/>
      <c r="AB191" s="633"/>
      <c r="AC191" s="633"/>
      <c r="AD191" s="633">
        <f>CCBASE!$I$36*2</f>
        <v>191.630124</v>
      </c>
    </row>
    <row r="192" spans="1:45" x14ac:dyDescent="0.2">
      <c r="A192" s="631" t="s">
        <v>136</v>
      </c>
      <c r="B192" s="631">
        <v>1250</v>
      </c>
      <c r="C192" s="631">
        <v>1250</v>
      </c>
      <c r="D192" s="631" t="str">
        <f t="shared" ref="D192" si="72">A192&amp;B192&amp;C192</f>
        <v>KVI12501250</v>
      </c>
      <c r="E192" s="1054">
        <f t="shared" si="63"/>
        <v>1511.5117773250001</v>
      </c>
      <c r="F192" s="632">
        <v>20</v>
      </c>
      <c r="G192" s="633">
        <f>F192*CCBASE!$B$51</f>
        <v>720</v>
      </c>
      <c r="H192" s="633">
        <f>CCBASE!$I$12*B192/1000</f>
        <v>149.56317162500002</v>
      </c>
      <c r="I192" s="633"/>
      <c r="J192" s="633"/>
      <c r="K192" s="633"/>
      <c r="L192" s="633">
        <f>CCBASE!$I$14*B192/1000</f>
        <v>261.71706749999998</v>
      </c>
      <c r="M192" s="633"/>
      <c r="N192" s="633"/>
      <c r="O192" s="633">
        <f>CCBASE!$I$45*B192/1000</f>
        <v>12.4625</v>
      </c>
      <c r="P192" s="633"/>
      <c r="Q192" s="633">
        <f>CCBASE!$H$51</f>
        <v>5.16</v>
      </c>
      <c r="R192" s="633">
        <f>CCBASE!$I$4</f>
        <v>8.3986041999999994</v>
      </c>
      <c r="S192" s="633">
        <f>CCBASE!$I$8</f>
        <v>16.25526</v>
      </c>
      <c r="T192" s="633">
        <f>CCBASE!$I$44</f>
        <v>94.69</v>
      </c>
      <c r="U192" s="633"/>
      <c r="V192" s="633"/>
      <c r="W192" s="633">
        <f>CCBASE!$I$40*B192/1000</f>
        <v>51.635049999999993</v>
      </c>
      <c r="X192" s="633"/>
      <c r="Y192" s="633"/>
      <c r="Z192" s="633"/>
      <c r="AA192" s="633"/>
      <c r="AB192" s="633"/>
      <c r="AC192" s="633"/>
      <c r="AD192" s="633">
        <f>CCBASE!$I$36*2</f>
        <v>191.630124</v>
      </c>
    </row>
    <row r="193" spans="1:30" x14ac:dyDescent="0.2">
      <c r="A193" s="631" t="s">
        <v>136</v>
      </c>
      <c r="B193" s="631">
        <v>1500</v>
      </c>
      <c r="C193" s="631">
        <v>1250</v>
      </c>
      <c r="D193" s="631" t="str">
        <f t="shared" si="69"/>
        <v>KVI15001250</v>
      </c>
      <c r="E193" s="1054">
        <f t="shared" si="63"/>
        <v>1606.5873351499999</v>
      </c>
      <c r="F193" s="632">
        <v>20</v>
      </c>
      <c r="G193" s="633">
        <f>F193*CCBASE!$B$51</f>
        <v>720</v>
      </c>
      <c r="H193" s="633">
        <f>CCBASE!$I$12*B193/1000</f>
        <v>179.47580595000002</v>
      </c>
      <c r="I193" s="633"/>
      <c r="J193" s="633"/>
      <c r="K193" s="633"/>
      <c r="L193" s="633">
        <f>CCBASE!$I$14*B193/1000</f>
        <v>314.06048099999998</v>
      </c>
      <c r="M193" s="633"/>
      <c r="N193" s="633"/>
      <c r="O193" s="633">
        <f>CCBASE!$I$45*B193/1000</f>
        <v>14.955000000000002</v>
      </c>
      <c r="P193" s="633"/>
      <c r="Q193" s="633">
        <f>CCBASE!$H$51</f>
        <v>5.16</v>
      </c>
      <c r="R193" s="633">
        <f>CCBASE!$I$4</f>
        <v>8.3986041999999994</v>
      </c>
      <c r="S193" s="633">
        <f>CCBASE!$I$8</f>
        <v>16.25526</v>
      </c>
      <c r="T193" s="633">
        <f>CCBASE!$I$44</f>
        <v>94.69</v>
      </c>
      <c r="U193" s="633"/>
      <c r="V193" s="633"/>
      <c r="W193" s="633">
        <f>CCBASE!$I$40*B193/1000</f>
        <v>61.962060000000001</v>
      </c>
      <c r="X193" s="633"/>
      <c r="Y193" s="633"/>
      <c r="Z193" s="633"/>
      <c r="AA193" s="633"/>
      <c r="AB193" s="633"/>
      <c r="AC193" s="633"/>
      <c r="AD193" s="633">
        <f>CCBASE!$I$36*2</f>
        <v>191.630124</v>
      </c>
    </row>
    <row r="194" spans="1:30" x14ac:dyDescent="0.2">
      <c r="A194" s="631" t="s">
        <v>136</v>
      </c>
      <c r="B194" s="631">
        <v>1750</v>
      </c>
      <c r="C194" s="631">
        <v>1250</v>
      </c>
      <c r="D194" s="631" t="str">
        <f t="shared" ref="D194" si="73">A194&amp;B194&amp;C194</f>
        <v>KVI17501250</v>
      </c>
      <c r="E194" s="1054">
        <f t="shared" si="63"/>
        <v>1701.662892975</v>
      </c>
      <c r="F194" s="632">
        <v>20</v>
      </c>
      <c r="G194" s="633">
        <f>F194*CCBASE!$B$51</f>
        <v>720</v>
      </c>
      <c r="H194" s="633">
        <f>CCBASE!$I$12*B194/1000</f>
        <v>209.38844027500002</v>
      </c>
      <c r="I194" s="633"/>
      <c r="J194" s="633"/>
      <c r="K194" s="633"/>
      <c r="L194" s="633">
        <f>CCBASE!$I$14*B194/1000</f>
        <v>366.40389449999998</v>
      </c>
      <c r="M194" s="633"/>
      <c r="N194" s="633"/>
      <c r="O194" s="633">
        <f>CCBASE!$I$45*B194/1000</f>
        <v>17.447500000000002</v>
      </c>
      <c r="P194" s="633"/>
      <c r="Q194" s="633">
        <f>CCBASE!$H$51</f>
        <v>5.16</v>
      </c>
      <c r="R194" s="633">
        <f>CCBASE!$I$4</f>
        <v>8.3986041999999994</v>
      </c>
      <c r="S194" s="633">
        <f>CCBASE!$I$8</f>
        <v>16.25526</v>
      </c>
      <c r="T194" s="633">
        <f>CCBASE!$I$44</f>
        <v>94.69</v>
      </c>
      <c r="U194" s="633"/>
      <c r="V194" s="633"/>
      <c r="W194" s="633">
        <f>CCBASE!$I$40*B194/1000</f>
        <v>72.289069999999995</v>
      </c>
      <c r="X194" s="633"/>
      <c r="Y194" s="633"/>
      <c r="Z194" s="633"/>
      <c r="AA194" s="633"/>
      <c r="AB194" s="633"/>
      <c r="AC194" s="633"/>
      <c r="AD194" s="633">
        <f>CCBASE!$I$36*2</f>
        <v>191.630124</v>
      </c>
    </row>
    <row r="195" spans="1:30" x14ac:dyDescent="0.2">
      <c r="A195" s="631" t="s">
        <v>136</v>
      </c>
      <c r="B195" s="631">
        <v>2000</v>
      </c>
      <c r="C195" s="631">
        <v>1250</v>
      </c>
      <c r="D195" s="631" t="str">
        <f t="shared" si="69"/>
        <v>KVI20001250</v>
      </c>
      <c r="E195" s="1054">
        <f t="shared" ref="E195:E258" si="74">SUM(G195:AD195)</f>
        <v>1796.7384508</v>
      </c>
      <c r="F195" s="632">
        <v>20</v>
      </c>
      <c r="G195" s="633">
        <f>F195*CCBASE!$B$51</f>
        <v>720</v>
      </c>
      <c r="H195" s="633">
        <f>CCBASE!$I$12*B195/1000</f>
        <v>239.30107460000002</v>
      </c>
      <c r="I195" s="633"/>
      <c r="J195" s="633"/>
      <c r="K195" s="633"/>
      <c r="L195" s="633">
        <f>CCBASE!$I$14*B195/1000</f>
        <v>418.74730799999998</v>
      </c>
      <c r="M195" s="633"/>
      <c r="N195" s="633"/>
      <c r="O195" s="633">
        <f>CCBASE!$I$45*B195/1000</f>
        <v>19.940000000000001</v>
      </c>
      <c r="P195" s="633"/>
      <c r="Q195" s="633">
        <f>CCBASE!$H$51</f>
        <v>5.16</v>
      </c>
      <c r="R195" s="633">
        <f>CCBASE!$I$4</f>
        <v>8.3986041999999994</v>
      </c>
      <c r="S195" s="633">
        <f>CCBASE!$I$8</f>
        <v>16.25526</v>
      </c>
      <c r="T195" s="633">
        <f>CCBASE!$I$44</f>
        <v>94.69</v>
      </c>
      <c r="U195" s="633"/>
      <c r="V195" s="633"/>
      <c r="W195" s="633">
        <f>CCBASE!$I$40*B195/1000</f>
        <v>82.616079999999997</v>
      </c>
      <c r="X195" s="633"/>
      <c r="Y195" s="633"/>
      <c r="Z195" s="633"/>
      <c r="AA195" s="633"/>
      <c r="AB195" s="633"/>
      <c r="AC195" s="633"/>
      <c r="AD195" s="633">
        <f>CCBASE!$I$36*2</f>
        <v>191.630124</v>
      </c>
    </row>
    <row r="196" spans="1:30" x14ac:dyDescent="0.2">
      <c r="A196" s="631" t="s">
        <v>136</v>
      </c>
      <c r="B196" s="631">
        <v>2250</v>
      </c>
      <c r="C196" s="631">
        <v>1250</v>
      </c>
      <c r="D196" s="631" t="str">
        <f t="shared" ref="D196" si="75">A196&amp;B196&amp;C196</f>
        <v>KVI22501250</v>
      </c>
      <c r="E196" s="1054">
        <f t="shared" si="74"/>
        <v>1927.8140086249998</v>
      </c>
      <c r="F196" s="632">
        <v>21</v>
      </c>
      <c r="G196" s="633">
        <f>F196*CCBASE!$B$51</f>
        <v>756</v>
      </c>
      <c r="H196" s="633">
        <f>CCBASE!$I$12*B196/1000</f>
        <v>269.21370892500005</v>
      </c>
      <c r="I196" s="633"/>
      <c r="J196" s="633"/>
      <c r="K196" s="633"/>
      <c r="L196" s="633">
        <f>CCBASE!$I$14*B196/1000</f>
        <v>471.09072149999997</v>
      </c>
      <c r="M196" s="633"/>
      <c r="N196" s="633"/>
      <c r="O196" s="633">
        <f>CCBASE!$I$45*B196/1000</f>
        <v>22.432500000000001</v>
      </c>
      <c r="P196" s="633"/>
      <c r="Q196" s="633">
        <f>CCBASE!$H$51</f>
        <v>5.16</v>
      </c>
      <c r="R196" s="633">
        <f>CCBASE!$I$4</f>
        <v>8.3986041999999994</v>
      </c>
      <c r="S196" s="633">
        <f>CCBASE!$I$8</f>
        <v>16.25526</v>
      </c>
      <c r="T196" s="633">
        <f>CCBASE!$I$44</f>
        <v>94.69</v>
      </c>
      <c r="U196" s="633"/>
      <c r="V196" s="633"/>
      <c r="W196" s="633">
        <f>CCBASE!$I$40*B196/1000</f>
        <v>92.943089999999998</v>
      </c>
      <c r="X196" s="633"/>
      <c r="Y196" s="633"/>
      <c r="Z196" s="633"/>
      <c r="AA196" s="633"/>
      <c r="AB196" s="633"/>
      <c r="AC196" s="633"/>
      <c r="AD196" s="633">
        <f>CCBASE!$I$36*2</f>
        <v>191.630124</v>
      </c>
    </row>
    <row r="197" spans="1:30" x14ac:dyDescent="0.2">
      <c r="A197" s="631" t="s">
        <v>136</v>
      </c>
      <c r="B197" s="631">
        <v>2500</v>
      </c>
      <c r="C197" s="631">
        <v>1250</v>
      </c>
      <c r="D197" s="631" t="str">
        <f t="shared" si="69"/>
        <v>KVI25001250</v>
      </c>
      <c r="E197" s="1054">
        <f t="shared" si="74"/>
        <v>2022.8895664499998</v>
      </c>
      <c r="F197" s="632">
        <v>21</v>
      </c>
      <c r="G197" s="633">
        <f>F197*CCBASE!$B$51</f>
        <v>756</v>
      </c>
      <c r="H197" s="633">
        <f>CCBASE!$I$12*B197/1000</f>
        <v>299.12634325000005</v>
      </c>
      <c r="I197" s="633"/>
      <c r="J197" s="633"/>
      <c r="K197" s="633"/>
      <c r="L197" s="633">
        <f>CCBASE!$I$14*B197/1000</f>
        <v>523.43413499999997</v>
      </c>
      <c r="M197" s="633"/>
      <c r="N197" s="633"/>
      <c r="O197" s="633">
        <f>CCBASE!$I$45*B197/1000</f>
        <v>24.925000000000001</v>
      </c>
      <c r="P197" s="633"/>
      <c r="Q197" s="633">
        <f>CCBASE!$H$51</f>
        <v>5.16</v>
      </c>
      <c r="R197" s="633">
        <f>CCBASE!$I$4</f>
        <v>8.3986041999999994</v>
      </c>
      <c r="S197" s="633">
        <f>CCBASE!$I$8</f>
        <v>16.25526</v>
      </c>
      <c r="T197" s="633">
        <f>CCBASE!$I$44</f>
        <v>94.69</v>
      </c>
      <c r="U197" s="633"/>
      <c r="V197" s="633"/>
      <c r="W197" s="633">
        <f>CCBASE!$I$40*B197/1000</f>
        <v>103.27009999999999</v>
      </c>
      <c r="X197" s="633"/>
      <c r="Y197" s="633"/>
      <c r="Z197" s="633"/>
      <c r="AA197" s="633"/>
      <c r="AB197" s="633"/>
      <c r="AC197" s="633"/>
      <c r="AD197" s="633">
        <f>CCBASE!$I$36*2</f>
        <v>191.630124</v>
      </c>
    </row>
    <row r="198" spans="1:30" x14ac:dyDescent="0.2">
      <c r="A198" s="631" t="s">
        <v>136</v>
      </c>
      <c r="B198" s="631">
        <v>2750</v>
      </c>
      <c r="C198" s="631">
        <v>1250</v>
      </c>
      <c r="D198" s="631" t="str">
        <f t="shared" ref="D198" si="76">A198&amp;B198&amp;C198</f>
        <v>KVI27501250</v>
      </c>
      <c r="E198" s="1054">
        <f t="shared" si="74"/>
        <v>2117.9651242749997</v>
      </c>
      <c r="F198" s="632">
        <v>21</v>
      </c>
      <c r="G198" s="633">
        <f>F198*CCBASE!$B$51</f>
        <v>756</v>
      </c>
      <c r="H198" s="633">
        <f>CCBASE!$I$12*B198/1000</f>
        <v>329.03897757500005</v>
      </c>
      <c r="I198" s="633"/>
      <c r="J198" s="633"/>
      <c r="K198" s="633"/>
      <c r="L198" s="633">
        <f>CCBASE!$I$14*B198/1000</f>
        <v>575.77754849999997</v>
      </c>
      <c r="M198" s="633"/>
      <c r="N198" s="633"/>
      <c r="O198" s="633">
        <f>CCBASE!$I$45*B198/1000</f>
        <v>27.4175</v>
      </c>
      <c r="P198" s="633"/>
      <c r="Q198" s="633">
        <f>CCBASE!$H$51</f>
        <v>5.16</v>
      </c>
      <c r="R198" s="633">
        <f>CCBASE!$I$4</f>
        <v>8.3986041999999994</v>
      </c>
      <c r="S198" s="633">
        <f>CCBASE!$I$8</f>
        <v>16.25526</v>
      </c>
      <c r="T198" s="633">
        <f>CCBASE!$I$44</f>
        <v>94.69</v>
      </c>
      <c r="U198" s="633"/>
      <c r="V198" s="633"/>
      <c r="W198" s="633">
        <f>CCBASE!$I$40*B198/1000</f>
        <v>113.59711</v>
      </c>
      <c r="X198" s="633"/>
      <c r="Y198" s="633"/>
      <c r="Z198" s="633"/>
      <c r="AA198" s="633"/>
      <c r="AB198" s="633"/>
      <c r="AC198" s="633"/>
      <c r="AD198" s="633">
        <f>CCBASE!$I$36*2</f>
        <v>191.630124</v>
      </c>
    </row>
    <row r="199" spans="1:30" x14ac:dyDescent="0.2">
      <c r="A199" s="631" t="s">
        <v>136</v>
      </c>
      <c r="B199" s="631">
        <v>3000</v>
      </c>
      <c r="C199" s="631">
        <v>1250</v>
      </c>
      <c r="D199" s="631" t="str">
        <f t="shared" si="69"/>
        <v>KVI30001250</v>
      </c>
      <c r="E199" s="1054">
        <f t="shared" si="74"/>
        <v>2213.0406820999997</v>
      </c>
      <c r="F199" s="632">
        <v>21</v>
      </c>
      <c r="G199" s="633">
        <f>F199*CCBASE!$B$51</f>
        <v>756</v>
      </c>
      <c r="H199" s="633">
        <f>CCBASE!$I$12*B199/1000</f>
        <v>358.95161190000005</v>
      </c>
      <c r="I199" s="633"/>
      <c r="J199" s="633"/>
      <c r="K199" s="633"/>
      <c r="L199" s="633">
        <f>CCBASE!$I$14*B199/1000</f>
        <v>628.12096199999996</v>
      </c>
      <c r="M199" s="633"/>
      <c r="N199" s="633"/>
      <c r="O199" s="633">
        <f>CCBASE!$I$45*B199/1000</f>
        <v>29.910000000000004</v>
      </c>
      <c r="P199" s="633"/>
      <c r="Q199" s="633">
        <f>CCBASE!$H$51</f>
        <v>5.16</v>
      </c>
      <c r="R199" s="633">
        <f>CCBASE!$I$4</f>
        <v>8.3986041999999994</v>
      </c>
      <c r="S199" s="633">
        <f>CCBASE!$I$8</f>
        <v>16.25526</v>
      </c>
      <c r="T199" s="633">
        <f>CCBASE!$I$44</f>
        <v>94.69</v>
      </c>
      <c r="U199" s="633"/>
      <c r="V199" s="633"/>
      <c r="W199" s="633">
        <f>CCBASE!$I$40*B199/1000</f>
        <v>123.92412</v>
      </c>
      <c r="X199" s="633"/>
      <c r="Y199" s="633"/>
      <c r="Z199" s="633"/>
      <c r="AA199" s="633"/>
      <c r="AB199" s="633"/>
      <c r="AC199" s="633"/>
      <c r="AD199" s="633">
        <f>CCBASE!$I$36*2</f>
        <v>191.630124</v>
      </c>
    </row>
    <row r="200" spans="1:30" x14ac:dyDescent="0.2">
      <c r="A200" s="631" t="s">
        <v>136</v>
      </c>
      <c r="B200" s="631">
        <v>1000</v>
      </c>
      <c r="C200" s="631">
        <v>1500</v>
      </c>
      <c r="D200" s="631" t="str">
        <f t="shared" si="69"/>
        <v>KVI10001500</v>
      </c>
      <c r="E200" s="1054">
        <f t="shared" si="74"/>
        <v>1482.6787315000001</v>
      </c>
      <c r="F200" s="632">
        <v>20</v>
      </c>
      <c r="G200" s="633">
        <f>F200*CCBASE!$B$51</f>
        <v>720</v>
      </c>
      <c r="H200" s="633">
        <f>CCBASE!$I$12*B200/1000</f>
        <v>119.65053730000001</v>
      </c>
      <c r="I200" s="633"/>
      <c r="J200" s="633"/>
      <c r="K200" s="633"/>
      <c r="L200" s="633">
        <f>CCBASE!$I$14*B200/1000</f>
        <v>209.37365399999999</v>
      </c>
      <c r="M200" s="633"/>
      <c r="N200" s="633"/>
      <c r="O200" s="633">
        <f>CCBASE!$I$45*B200/1000</f>
        <v>9.9700000000000006</v>
      </c>
      <c r="P200" s="633"/>
      <c r="Q200" s="633">
        <f>CCBASE!$H$51</f>
        <v>5.16</v>
      </c>
      <c r="R200" s="633">
        <f>CCBASE!$I$4</f>
        <v>8.3986041999999994</v>
      </c>
      <c r="S200" s="633">
        <f>CCBASE!$I$8</f>
        <v>16.25526</v>
      </c>
      <c r="T200" s="633">
        <f>CCBASE!$I$44</f>
        <v>94.69</v>
      </c>
      <c r="U200" s="633"/>
      <c r="V200" s="633"/>
      <c r="W200" s="633">
        <f>CCBASE!$I$41*B200/1000</f>
        <v>59.051569999999998</v>
      </c>
      <c r="X200" s="633"/>
      <c r="Y200" s="633"/>
      <c r="Z200" s="633"/>
      <c r="AA200" s="633"/>
      <c r="AB200" s="633"/>
      <c r="AC200" s="633"/>
      <c r="AD200" s="633">
        <f>CCBASE!$I$37*2</f>
        <v>240.12910599999998</v>
      </c>
    </row>
    <row r="201" spans="1:30" x14ac:dyDescent="0.2">
      <c r="A201" s="631" t="s">
        <v>136</v>
      </c>
      <c r="B201" s="631">
        <v>1250</v>
      </c>
      <c r="C201" s="631">
        <v>1500</v>
      </c>
      <c r="D201" s="631" t="str">
        <f t="shared" ref="D201:D202" si="77">A201&amp;B201&amp;C201</f>
        <v>KVI12501500</v>
      </c>
      <c r="E201" s="1054">
        <f t="shared" si="74"/>
        <v>1582.1901718250001</v>
      </c>
      <c r="F201" s="632">
        <v>20</v>
      </c>
      <c r="G201" s="633">
        <f>F201*CCBASE!$B$51</f>
        <v>720</v>
      </c>
      <c r="H201" s="633">
        <f>CCBASE!$I$12*B201/1000</f>
        <v>149.56317162500002</v>
      </c>
      <c r="I201" s="633"/>
      <c r="J201" s="633"/>
      <c r="K201" s="633"/>
      <c r="L201" s="633">
        <f>CCBASE!$I$14*B201/1000</f>
        <v>261.71706749999998</v>
      </c>
      <c r="M201" s="633"/>
      <c r="N201" s="633"/>
      <c r="O201" s="633">
        <f>CCBASE!$I$45*B201/1000</f>
        <v>12.4625</v>
      </c>
      <c r="P201" s="633"/>
      <c r="Q201" s="633">
        <f>CCBASE!$H$51</f>
        <v>5.16</v>
      </c>
      <c r="R201" s="633">
        <f>CCBASE!$I$4</f>
        <v>8.3986041999999994</v>
      </c>
      <c r="S201" s="633">
        <f>CCBASE!$I$8</f>
        <v>16.25526</v>
      </c>
      <c r="T201" s="633">
        <f>CCBASE!$I$44</f>
        <v>94.69</v>
      </c>
      <c r="U201" s="633"/>
      <c r="V201" s="633"/>
      <c r="W201" s="633">
        <f>CCBASE!$I$41*B201/1000</f>
        <v>73.814462499999991</v>
      </c>
      <c r="X201" s="633"/>
      <c r="Y201" s="633"/>
      <c r="Z201" s="633"/>
      <c r="AA201" s="633"/>
      <c r="AB201" s="633"/>
      <c r="AC201" s="633"/>
      <c r="AD201" s="633">
        <f>CCBASE!$I$37*2</f>
        <v>240.12910599999998</v>
      </c>
    </row>
    <row r="202" spans="1:30" x14ac:dyDescent="0.2">
      <c r="A202" s="631" t="s">
        <v>136</v>
      </c>
      <c r="B202" s="631">
        <v>1500</v>
      </c>
      <c r="C202" s="631">
        <v>1500</v>
      </c>
      <c r="D202" s="631" t="str">
        <f t="shared" si="77"/>
        <v>KVI15001500</v>
      </c>
      <c r="E202" s="1054">
        <f t="shared" si="74"/>
        <v>1681.7016121499996</v>
      </c>
      <c r="F202" s="632">
        <v>20</v>
      </c>
      <c r="G202" s="633">
        <f>F202*CCBASE!$B$51</f>
        <v>720</v>
      </c>
      <c r="H202" s="633">
        <f>CCBASE!$I$12*B202/1000</f>
        <v>179.47580595000002</v>
      </c>
      <c r="I202" s="633"/>
      <c r="J202" s="633"/>
      <c r="K202" s="633"/>
      <c r="L202" s="633">
        <f>CCBASE!$I$14*B202/1000</f>
        <v>314.06048099999998</v>
      </c>
      <c r="M202" s="633"/>
      <c r="N202" s="633"/>
      <c r="O202" s="633">
        <f>CCBASE!$I$45*B202/1000</f>
        <v>14.955000000000002</v>
      </c>
      <c r="P202" s="633"/>
      <c r="Q202" s="633">
        <f>CCBASE!$H$51</f>
        <v>5.16</v>
      </c>
      <c r="R202" s="633">
        <f>CCBASE!$I$4</f>
        <v>8.3986041999999994</v>
      </c>
      <c r="S202" s="633">
        <f>CCBASE!$I$8</f>
        <v>16.25526</v>
      </c>
      <c r="T202" s="633">
        <f>CCBASE!$I$44</f>
        <v>94.69</v>
      </c>
      <c r="U202" s="633"/>
      <c r="V202" s="633"/>
      <c r="W202" s="633">
        <f>CCBASE!$I$41*B202/1000</f>
        <v>88.577354999999997</v>
      </c>
      <c r="X202" s="633"/>
      <c r="Y202" s="633"/>
      <c r="Z202" s="633"/>
      <c r="AA202" s="633"/>
      <c r="AB202" s="633"/>
      <c r="AC202" s="633"/>
      <c r="AD202" s="633">
        <f>CCBASE!$I$37*2</f>
        <v>240.12910599999998</v>
      </c>
    </row>
    <row r="203" spans="1:30" x14ac:dyDescent="0.2">
      <c r="A203" s="631" t="s">
        <v>136</v>
      </c>
      <c r="B203" s="631">
        <v>1750</v>
      </c>
      <c r="C203" s="631">
        <v>1500</v>
      </c>
      <c r="D203" s="631" t="str">
        <f t="shared" si="69"/>
        <v>KVI17501500</v>
      </c>
      <c r="E203" s="1054">
        <f t="shared" si="74"/>
        <v>1781.213052475</v>
      </c>
      <c r="F203" s="632">
        <v>20</v>
      </c>
      <c r="G203" s="633">
        <f>F203*CCBASE!$B$51</f>
        <v>720</v>
      </c>
      <c r="H203" s="633">
        <f>CCBASE!$I$12*B203/1000</f>
        <v>209.38844027500002</v>
      </c>
      <c r="I203" s="633"/>
      <c r="J203" s="633"/>
      <c r="K203" s="633"/>
      <c r="L203" s="633">
        <f>CCBASE!$I$14*B203/1000</f>
        <v>366.40389449999998</v>
      </c>
      <c r="M203" s="633"/>
      <c r="N203" s="633"/>
      <c r="O203" s="633">
        <f>CCBASE!$I$45*B203/1000</f>
        <v>17.447500000000002</v>
      </c>
      <c r="P203" s="633"/>
      <c r="Q203" s="633">
        <f>CCBASE!$H$51</f>
        <v>5.16</v>
      </c>
      <c r="R203" s="633">
        <f>CCBASE!$I$4</f>
        <v>8.3986041999999994</v>
      </c>
      <c r="S203" s="633">
        <f>CCBASE!$I$8</f>
        <v>16.25526</v>
      </c>
      <c r="T203" s="633">
        <f>CCBASE!$I$44</f>
        <v>94.69</v>
      </c>
      <c r="U203" s="633"/>
      <c r="V203" s="633"/>
      <c r="W203" s="633">
        <f>CCBASE!$I$41*B203/1000</f>
        <v>103.3402475</v>
      </c>
      <c r="X203" s="633"/>
      <c r="Y203" s="633"/>
      <c r="Z203" s="633"/>
      <c r="AA203" s="633"/>
      <c r="AB203" s="633"/>
      <c r="AC203" s="633"/>
      <c r="AD203" s="633">
        <f>CCBASE!$I$37*2</f>
        <v>240.12910599999998</v>
      </c>
    </row>
    <row r="204" spans="1:30" x14ac:dyDescent="0.2">
      <c r="A204" s="631" t="s">
        <v>136</v>
      </c>
      <c r="B204" s="631">
        <v>2000</v>
      </c>
      <c r="C204" s="631">
        <v>1500</v>
      </c>
      <c r="D204" s="631" t="str">
        <f t="shared" si="69"/>
        <v>KVI20001500</v>
      </c>
      <c r="E204" s="1054">
        <f t="shared" si="74"/>
        <v>1880.7244928</v>
      </c>
      <c r="F204" s="632">
        <v>20</v>
      </c>
      <c r="G204" s="633">
        <f>F204*CCBASE!$B$51</f>
        <v>720</v>
      </c>
      <c r="H204" s="633">
        <f>CCBASE!$I$12*B204/1000</f>
        <v>239.30107460000002</v>
      </c>
      <c r="I204" s="633"/>
      <c r="J204" s="633"/>
      <c r="K204" s="633"/>
      <c r="L204" s="633">
        <f>CCBASE!$I$14*B204/1000</f>
        <v>418.74730799999998</v>
      </c>
      <c r="M204" s="633"/>
      <c r="N204" s="633"/>
      <c r="O204" s="633">
        <f>CCBASE!$I$45*B204/1000</f>
        <v>19.940000000000001</v>
      </c>
      <c r="P204" s="633"/>
      <c r="Q204" s="633">
        <f>CCBASE!$H$51</f>
        <v>5.16</v>
      </c>
      <c r="R204" s="633">
        <f>CCBASE!$I$4</f>
        <v>8.3986041999999994</v>
      </c>
      <c r="S204" s="633">
        <f>CCBASE!$I$8</f>
        <v>16.25526</v>
      </c>
      <c r="T204" s="633">
        <f>CCBASE!$I$44</f>
        <v>94.69</v>
      </c>
      <c r="U204" s="633"/>
      <c r="V204" s="633"/>
      <c r="W204" s="633">
        <f>CCBASE!$I$41*B204/1000</f>
        <v>118.10314</v>
      </c>
      <c r="X204" s="633"/>
      <c r="Y204" s="633"/>
      <c r="Z204" s="633"/>
      <c r="AA204" s="633"/>
      <c r="AB204" s="633"/>
      <c r="AC204" s="633"/>
      <c r="AD204" s="633">
        <f>CCBASE!$I$37*2</f>
        <v>240.12910599999998</v>
      </c>
    </row>
    <row r="205" spans="1:30" x14ac:dyDescent="0.2">
      <c r="A205" s="631" t="s">
        <v>136</v>
      </c>
      <c r="B205" s="631">
        <v>2250</v>
      </c>
      <c r="C205" s="631">
        <v>1500</v>
      </c>
      <c r="D205" s="631" t="str">
        <f t="shared" ref="D205" si="78">A205&amp;B205&amp;C205</f>
        <v>KVI22501500</v>
      </c>
      <c r="E205" s="1054">
        <f t="shared" si="74"/>
        <v>2016.235933125</v>
      </c>
      <c r="F205" s="632">
        <v>21</v>
      </c>
      <c r="G205" s="633">
        <f>F205*CCBASE!$B$51</f>
        <v>756</v>
      </c>
      <c r="H205" s="633">
        <f>CCBASE!$I$12*B205/1000</f>
        <v>269.21370892500005</v>
      </c>
      <c r="I205" s="633"/>
      <c r="J205" s="633"/>
      <c r="K205" s="633"/>
      <c r="L205" s="633">
        <f>CCBASE!$I$14*B205/1000</f>
        <v>471.09072149999997</v>
      </c>
      <c r="M205" s="633"/>
      <c r="N205" s="633"/>
      <c r="O205" s="633">
        <f>CCBASE!$I$45*B205/1000</f>
        <v>22.432500000000001</v>
      </c>
      <c r="P205" s="633"/>
      <c r="Q205" s="633">
        <f>CCBASE!$H$51</f>
        <v>5.16</v>
      </c>
      <c r="R205" s="633">
        <f>CCBASE!$I$4</f>
        <v>8.3986041999999994</v>
      </c>
      <c r="S205" s="633">
        <f>CCBASE!$I$8</f>
        <v>16.25526</v>
      </c>
      <c r="T205" s="633">
        <f>CCBASE!$I$44</f>
        <v>94.69</v>
      </c>
      <c r="U205" s="633"/>
      <c r="V205" s="633"/>
      <c r="W205" s="633">
        <f>CCBASE!$I$41*B205/1000</f>
        <v>132.86603249999999</v>
      </c>
      <c r="X205" s="633"/>
      <c r="Y205" s="633"/>
      <c r="Z205" s="633"/>
      <c r="AA205" s="633"/>
      <c r="AB205" s="633"/>
      <c r="AC205" s="633"/>
      <c r="AD205" s="633">
        <f>CCBASE!$I$37*2</f>
        <v>240.12910599999998</v>
      </c>
    </row>
    <row r="206" spans="1:30" x14ac:dyDescent="0.2">
      <c r="A206" s="631" t="s">
        <v>136</v>
      </c>
      <c r="B206" s="631">
        <v>2500</v>
      </c>
      <c r="C206" s="631">
        <v>1500</v>
      </c>
      <c r="D206" s="631" t="str">
        <f t="shared" si="69"/>
        <v>KVI25001500</v>
      </c>
      <c r="E206" s="1054">
        <f t="shared" si="74"/>
        <v>2115.7473734499999</v>
      </c>
      <c r="F206" s="632">
        <v>21</v>
      </c>
      <c r="G206" s="633">
        <f>F206*CCBASE!$B$51</f>
        <v>756</v>
      </c>
      <c r="H206" s="633">
        <f>CCBASE!$I$12*B206/1000</f>
        <v>299.12634325000005</v>
      </c>
      <c r="I206" s="633"/>
      <c r="J206" s="633"/>
      <c r="K206" s="633"/>
      <c r="L206" s="633">
        <f>CCBASE!$I$14*B206/1000</f>
        <v>523.43413499999997</v>
      </c>
      <c r="M206" s="633"/>
      <c r="N206" s="633"/>
      <c r="O206" s="633">
        <f>CCBASE!$I$45*B206/1000</f>
        <v>24.925000000000001</v>
      </c>
      <c r="P206" s="633"/>
      <c r="Q206" s="633">
        <f>CCBASE!$H$51</f>
        <v>5.16</v>
      </c>
      <c r="R206" s="633">
        <f>CCBASE!$I$4</f>
        <v>8.3986041999999994</v>
      </c>
      <c r="S206" s="633">
        <f>CCBASE!$I$8</f>
        <v>16.25526</v>
      </c>
      <c r="T206" s="633">
        <f>CCBASE!$I$44</f>
        <v>94.69</v>
      </c>
      <c r="U206" s="633"/>
      <c r="V206" s="633"/>
      <c r="W206" s="633">
        <f>CCBASE!$I$41*B206/1000</f>
        <v>147.62892499999998</v>
      </c>
      <c r="X206" s="633"/>
      <c r="Y206" s="633"/>
      <c r="Z206" s="633"/>
      <c r="AA206" s="633"/>
      <c r="AB206" s="633"/>
      <c r="AC206" s="633"/>
      <c r="AD206" s="633">
        <f>CCBASE!$I$37*2</f>
        <v>240.12910599999998</v>
      </c>
    </row>
    <row r="207" spans="1:30" x14ac:dyDescent="0.2">
      <c r="A207" s="631" t="s">
        <v>136</v>
      </c>
      <c r="B207" s="631">
        <v>2750</v>
      </c>
      <c r="C207" s="631">
        <v>1500</v>
      </c>
      <c r="D207" s="631" t="str">
        <f t="shared" ref="D207" si="79">A207&amp;B207&amp;C207</f>
        <v>KVI27501500</v>
      </c>
      <c r="E207" s="1054">
        <f t="shared" si="74"/>
        <v>2215.2588137749999</v>
      </c>
      <c r="F207" s="632">
        <v>21</v>
      </c>
      <c r="G207" s="633">
        <f>F207*CCBASE!$B$51</f>
        <v>756</v>
      </c>
      <c r="H207" s="633">
        <f>CCBASE!$I$12*B207/1000</f>
        <v>329.03897757500005</v>
      </c>
      <c r="I207" s="633"/>
      <c r="J207" s="633"/>
      <c r="K207" s="633"/>
      <c r="L207" s="633">
        <f>CCBASE!$I$14*B207/1000</f>
        <v>575.77754849999997</v>
      </c>
      <c r="M207" s="633"/>
      <c r="N207" s="633"/>
      <c r="O207" s="633">
        <f>CCBASE!$I$45*B207/1000</f>
        <v>27.4175</v>
      </c>
      <c r="P207" s="633"/>
      <c r="Q207" s="633">
        <f>CCBASE!$H$51</f>
        <v>5.16</v>
      </c>
      <c r="R207" s="633">
        <f>CCBASE!$I$4</f>
        <v>8.3986041999999994</v>
      </c>
      <c r="S207" s="633">
        <f>CCBASE!$I$8</f>
        <v>16.25526</v>
      </c>
      <c r="T207" s="633">
        <f>CCBASE!$I$44</f>
        <v>94.69</v>
      </c>
      <c r="U207" s="633"/>
      <c r="V207" s="633"/>
      <c r="W207" s="633">
        <f>CCBASE!$I$41*B207/1000</f>
        <v>162.3918175</v>
      </c>
      <c r="X207" s="633"/>
      <c r="Y207" s="633"/>
      <c r="Z207" s="633"/>
      <c r="AA207" s="633"/>
      <c r="AB207" s="633"/>
      <c r="AC207" s="633"/>
      <c r="AD207" s="633">
        <f>CCBASE!$I$37*2</f>
        <v>240.12910599999998</v>
      </c>
    </row>
    <row r="208" spans="1:30" x14ac:dyDescent="0.2">
      <c r="A208" s="631" t="s">
        <v>136</v>
      </c>
      <c r="B208" s="631">
        <v>3000</v>
      </c>
      <c r="C208" s="631">
        <v>1500</v>
      </c>
      <c r="D208" s="631" t="str">
        <f t="shared" si="69"/>
        <v>KVI30001500</v>
      </c>
      <c r="E208" s="1054">
        <f t="shared" si="74"/>
        <v>2314.7702540999999</v>
      </c>
      <c r="F208" s="632">
        <v>21</v>
      </c>
      <c r="G208" s="633">
        <f>F208*CCBASE!$B$51</f>
        <v>756</v>
      </c>
      <c r="H208" s="633">
        <f>CCBASE!$I$12*B208/1000</f>
        <v>358.95161190000005</v>
      </c>
      <c r="I208" s="633"/>
      <c r="J208" s="633"/>
      <c r="K208" s="633"/>
      <c r="L208" s="633">
        <f>CCBASE!$I$14*B208/1000</f>
        <v>628.12096199999996</v>
      </c>
      <c r="M208" s="633"/>
      <c r="N208" s="633"/>
      <c r="O208" s="633">
        <f>CCBASE!$I$45*B208/1000</f>
        <v>29.910000000000004</v>
      </c>
      <c r="P208" s="633"/>
      <c r="Q208" s="633">
        <f>CCBASE!$H$51</f>
        <v>5.16</v>
      </c>
      <c r="R208" s="633">
        <f>CCBASE!$I$4</f>
        <v>8.3986041999999994</v>
      </c>
      <c r="S208" s="633">
        <f>CCBASE!$I$8</f>
        <v>16.25526</v>
      </c>
      <c r="T208" s="633">
        <f>CCBASE!$I$44</f>
        <v>94.69</v>
      </c>
      <c r="U208" s="633"/>
      <c r="V208" s="633"/>
      <c r="W208" s="633">
        <f>CCBASE!$I$41*B208/1000</f>
        <v>177.15470999999999</v>
      </c>
      <c r="X208" s="633"/>
      <c r="Y208" s="633"/>
      <c r="Z208" s="633"/>
      <c r="AA208" s="633"/>
      <c r="AB208" s="633"/>
      <c r="AC208" s="633"/>
      <c r="AD208" s="633">
        <f>CCBASE!$I$37*2</f>
        <v>240.12910599999998</v>
      </c>
    </row>
    <row r="209" spans="1:30" x14ac:dyDescent="0.2">
      <c r="A209" s="631" t="s">
        <v>136</v>
      </c>
      <c r="B209" s="631">
        <v>1000</v>
      </c>
      <c r="C209" s="631">
        <v>1750</v>
      </c>
      <c r="D209" s="631" t="str">
        <f t="shared" si="69"/>
        <v>KVI10001750</v>
      </c>
      <c r="E209" s="1054">
        <f t="shared" si="74"/>
        <v>1526.4461054999999</v>
      </c>
      <c r="F209" s="632">
        <v>20</v>
      </c>
      <c r="G209" s="633">
        <f>F209*CCBASE!$B$51</f>
        <v>720</v>
      </c>
      <c r="H209" s="633">
        <f>CCBASE!$I$12*B209/1000</f>
        <v>119.65053730000001</v>
      </c>
      <c r="I209" s="633"/>
      <c r="J209" s="633"/>
      <c r="K209" s="633"/>
      <c r="L209" s="633">
        <f>CCBASE!$I$14*B209/1000</f>
        <v>209.37365399999999</v>
      </c>
      <c r="M209" s="633"/>
      <c r="N209" s="633"/>
      <c r="O209" s="633">
        <f>CCBASE!$I$45*B209/1000</f>
        <v>9.9700000000000006</v>
      </c>
      <c r="P209" s="633"/>
      <c r="Q209" s="633">
        <f>CCBASE!$H$51</f>
        <v>5.16</v>
      </c>
      <c r="R209" s="633">
        <f>CCBASE!$I$4</f>
        <v>8.3986041999999994</v>
      </c>
      <c r="S209" s="633">
        <f>CCBASE!$I$8</f>
        <v>16.25526</v>
      </c>
      <c r="T209" s="633">
        <f>CCBASE!$I$44</f>
        <v>94.69</v>
      </c>
      <c r="U209" s="632"/>
      <c r="V209" s="632"/>
      <c r="W209" s="633">
        <f>CCBASE!$I$42*B209/1000</f>
        <v>70.880589999999998</v>
      </c>
      <c r="X209" s="633"/>
      <c r="Y209" s="633"/>
      <c r="Z209" s="633"/>
      <c r="AA209" s="633"/>
      <c r="AB209" s="633"/>
      <c r="AC209" s="633"/>
      <c r="AD209" s="633">
        <f>CCBASE!$I$38*2</f>
        <v>272.06745999999998</v>
      </c>
    </row>
    <row r="210" spans="1:30" x14ac:dyDescent="0.2">
      <c r="A210" s="631" t="s">
        <v>136</v>
      </c>
      <c r="B210" s="631">
        <v>1250</v>
      </c>
      <c r="C210" s="631">
        <v>1750</v>
      </c>
      <c r="D210" s="631" t="str">
        <f t="shared" ref="D210" si="80">A210&amp;B210&amp;C210</f>
        <v>KVI12501750</v>
      </c>
      <c r="E210" s="1054">
        <f t="shared" si="74"/>
        <v>1628.9148008249999</v>
      </c>
      <c r="F210" s="632">
        <v>20</v>
      </c>
      <c r="G210" s="633">
        <f>F210*CCBASE!$B$51</f>
        <v>720</v>
      </c>
      <c r="H210" s="633">
        <f>CCBASE!$I$12*B210/1000</f>
        <v>149.56317162500002</v>
      </c>
      <c r="I210" s="633"/>
      <c r="J210" s="633"/>
      <c r="K210" s="633"/>
      <c r="L210" s="633">
        <f>CCBASE!$I$14*B210/1000</f>
        <v>261.71706749999998</v>
      </c>
      <c r="M210" s="633"/>
      <c r="N210" s="633"/>
      <c r="O210" s="633">
        <f>CCBASE!$I$45*B210/1000</f>
        <v>12.4625</v>
      </c>
      <c r="P210" s="633"/>
      <c r="Q210" s="633">
        <f>CCBASE!$H$51</f>
        <v>5.16</v>
      </c>
      <c r="R210" s="633">
        <f>CCBASE!$I$4</f>
        <v>8.3986041999999994</v>
      </c>
      <c r="S210" s="633">
        <f>CCBASE!$I$8</f>
        <v>16.25526</v>
      </c>
      <c r="T210" s="633">
        <f>CCBASE!$I$44</f>
        <v>94.69</v>
      </c>
      <c r="U210" s="632"/>
      <c r="V210" s="632"/>
      <c r="W210" s="633">
        <f>CCBASE!$I$42*B210/1000</f>
        <v>88.600737500000008</v>
      </c>
      <c r="X210" s="633"/>
      <c r="Y210" s="633"/>
      <c r="Z210" s="633"/>
      <c r="AA210" s="633"/>
      <c r="AB210" s="633"/>
      <c r="AC210" s="633"/>
      <c r="AD210" s="633">
        <f>CCBASE!$I$38*2</f>
        <v>272.06745999999998</v>
      </c>
    </row>
    <row r="211" spans="1:30" x14ac:dyDescent="0.2">
      <c r="A211" s="631" t="s">
        <v>136</v>
      </c>
      <c r="B211" s="631">
        <v>1500</v>
      </c>
      <c r="C211" s="631">
        <v>1750</v>
      </c>
      <c r="D211" s="631" t="str">
        <f t="shared" si="69"/>
        <v>KVI15001750</v>
      </c>
      <c r="E211" s="1054">
        <f t="shared" si="74"/>
        <v>1731.3834961499999</v>
      </c>
      <c r="F211" s="632">
        <v>20</v>
      </c>
      <c r="G211" s="633">
        <f>F211*CCBASE!$B$51</f>
        <v>720</v>
      </c>
      <c r="H211" s="633">
        <f>CCBASE!$I$12*B211/1000</f>
        <v>179.47580595000002</v>
      </c>
      <c r="I211" s="633"/>
      <c r="J211" s="633"/>
      <c r="K211" s="633"/>
      <c r="L211" s="633">
        <f>CCBASE!$I$14*B211/1000</f>
        <v>314.06048099999998</v>
      </c>
      <c r="M211" s="633"/>
      <c r="N211" s="633"/>
      <c r="O211" s="633">
        <f>CCBASE!$I$45*B211/1000</f>
        <v>14.955000000000002</v>
      </c>
      <c r="P211" s="633"/>
      <c r="Q211" s="633">
        <f>CCBASE!$H$51</f>
        <v>5.16</v>
      </c>
      <c r="R211" s="633">
        <f>CCBASE!$I$4</f>
        <v>8.3986041999999994</v>
      </c>
      <c r="S211" s="633">
        <f>CCBASE!$I$8</f>
        <v>16.25526</v>
      </c>
      <c r="T211" s="633">
        <f>CCBASE!$I$44</f>
        <v>94.69</v>
      </c>
      <c r="U211" s="632"/>
      <c r="V211" s="632"/>
      <c r="W211" s="633">
        <f>CCBASE!$I$42*B211/1000</f>
        <v>106.32088499999999</v>
      </c>
      <c r="X211" s="633"/>
      <c r="Y211" s="633"/>
      <c r="Z211" s="633"/>
      <c r="AA211" s="633"/>
      <c r="AB211" s="633"/>
      <c r="AC211" s="633"/>
      <c r="AD211" s="633">
        <f>CCBASE!$I$38*2</f>
        <v>272.06745999999998</v>
      </c>
    </row>
    <row r="212" spans="1:30" x14ac:dyDescent="0.2">
      <c r="A212" s="631" t="s">
        <v>136</v>
      </c>
      <c r="B212" s="631">
        <v>1750</v>
      </c>
      <c r="C212" s="631">
        <v>1750</v>
      </c>
      <c r="D212" s="631" t="str">
        <f t="shared" ref="D212" si="81">A212&amp;B212&amp;C212</f>
        <v>KVI17501750</v>
      </c>
      <c r="E212" s="1054">
        <f t="shared" si="74"/>
        <v>1833.8521914749999</v>
      </c>
      <c r="F212" s="632">
        <v>20</v>
      </c>
      <c r="G212" s="633">
        <f>F212*CCBASE!$B$51</f>
        <v>720</v>
      </c>
      <c r="H212" s="633">
        <f>CCBASE!$I$12*B212/1000</f>
        <v>209.38844027500002</v>
      </c>
      <c r="I212" s="633"/>
      <c r="J212" s="633"/>
      <c r="K212" s="633"/>
      <c r="L212" s="633">
        <f>CCBASE!$I$14*B212/1000</f>
        <v>366.40389449999998</v>
      </c>
      <c r="M212" s="633"/>
      <c r="N212" s="633"/>
      <c r="O212" s="633">
        <f>CCBASE!$I$45*B212/1000</f>
        <v>17.447500000000002</v>
      </c>
      <c r="P212" s="633"/>
      <c r="Q212" s="633">
        <f>CCBASE!$H$51</f>
        <v>5.16</v>
      </c>
      <c r="R212" s="633">
        <f>CCBASE!$I$4</f>
        <v>8.3986041999999994</v>
      </c>
      <c r="S212" s="633">
        <f>CCBASE!$I$8</f>
        <v>16.25526</v>
      </c>
      <c r="T212" s="633">
        <f>CCBASE!$I$44</f>
        <v>94.69</v>
      </c>
      <c r="U212" s="632"/>
      <c r="V212" s="632"/>
      <c r="W212" s="633">
        <f>CCBASE!$I$42*B212/1000</f>
        <v>124.0410325</v>
      </c>
      <c r="X212" s="633"/>
      <c r="Y212" s="633"/>
      <c r="Z212" s="633"/>
      <c r="AA212" s="633"/>
      <c r="AB212" s="633"/>
      <c r="AC212" s="633"/>
      <c r="AD212" s="633">
        <f>CCBASE!$I$38*2</f>
        <v>272.06745999999998</v>
      </c>
    </row>
    <row r="213" spans="1:30" x14ac:dyDescent="0.2">
      <c r="A213" s="631" t="s">
        <v>136</v>
      </c>
      <c r="B213" s="631">
        <v>2000</v>
      </c>
      <c r="C213" s="631">
        <v>1750</v>
      </c>
      <c r="D213" s="631" t="str">
        <f t="shared" si="69"/>
        <v>KVI20001750</v>
      </c>
      <c r="E213" s="1054">
        <f t="shared" si="74"/>
        <v>1936.3208867999999</v>
      </c>
      <c r="F213" s="632">
        <v>20</v>
      </c>
      <c r="G213" s="633">
        <f>F213*CCBASE!$B$51</f>
        <v>720</v>
      </c>
      <c r="H213" s="633">
        <f>CCBASE!$I$12*B213/1000</f>
        <v>239.30107460000002</v>
      </c>
      <c r="I213" s="633"/>
      <c r="J213" s="633"/>
      <c r="K213" s="633"/>
      <c r="L213" s="633">
        <f>CCBASE!$I$14*B213/1000</f>
        <v>418.74730799999998</v>
      </c>
      <c r="M213" s="633"/>
      <c r="N213" s="633"/>
      <c r="O213" s="633">
        <f>CCBASE!$I$45*B213/1000</f>
        <v>19.940000000000001</v>
      </c>
      <c r="P213" s="633"/>
      <c r="Q213" s="633">
        <f>CCBASE!$H$51</f>
        <v>5.16</v>
      </c>
      <c r="R213" s="633">
        <f>CCBASE!$I$4</f>
        <v>8.3986041999999994</v>
      </c>
      <c r="S213" s="633">
        <f>CCBASE!$I$8</f>
        <v>16.25526</v>
      </c>
      <c r="T213" s="633">
        <f>CCBASE!$I$44</f>
        <v>94.69</v>
      </c>
      <c r="U213" s="632"/>
      <c r="V213" s="632"/>
      <c r="W213" s="633">
        <f>CCBASE!$I$42*B213/1000</f>
        <v>141.76118</v>
      </c>
      <c r="X213" s="633"/>
      <c r="Y213" s="633"/>
      <c r="Z213" s="633"/>
      <c r="AA213" s="633"/>
      <c r="AB213" s="633"/>
      <c r="AC213" s="633"/>
      <c r="AD213" s="633">
        <f>CCBASE!$I$38*2</f>
        <v>272.06745999999998</v>
      </c>
    </row>
    <row r="214" spans="1:30" x14ac:dyDescent="0.2">
      <c r="A214" s="631" t="s">
        <v>136</v>
      </c>
      <c r="B214" s="631">
        <v>2250</v>
      </c>
      <c r="C214" s="631">
        <v>1750</v>
      </c>
      <c r="D214" s="631" t="str">
        <f t="shared" ref="D214" si="82">A214&amp;B214&amp;C214</f>
        <v>KVI22501750</v>
      </c>
      <c r="E214" s="1054">
        <f t="shared" si="74"/>
        <v>2074.7895821249995</v>
      </c>
      <c r="F214" s="632">
        <v>21</v>
      </c>
      <c r="G214" s="633">
        <f>F214*CCBASE!$B$51</f>
        <v>756</v>
      </c>
      <c r="H214" s="633">
        <f>CCBASE!$I$12*B214/1000</f>
        <v>269.21370892500005</v>
      </c>
      <c r="I214" s="633"/>
      <c r="J214" s="633"/>
      <c r="K214" s="633"/>
      <c r="L214" s="633">
        <f>CCBASE!$I$14*B214/1000</f>
        <v>471.09072149999997</v>
      </c>
      <c r="M214" s="633"/>
      <c r="N214" s="633"/>
      <c r="O214" s="633">
        <f>CCBASE!$I$45*B214/1000</f>
        <v>22.432500000000001</v>
      </c>
      <c r="P214" s="633"/>
      <c r="Q214" s="633">
        <f>CCBASE!$H$51</f>
        <v>5.16</v>
      </c>
      <c r="R214" s="633">
        <f>CCBASE!$I$4</f>
        <v>8.3986041999999994</v>
      </c>
      <c r="S214" s="633">
        <f>CCBASE!$I$8</f>
        <v>16.25526</v>
      </c>
      <c r="T214" s="633">
        <f>CCBASE!$I$44</f>
        <v>94.69</v>
      </c>
      <c r="U214" s="632"/>
      <c r="V214" s="632"/>
      <c r="W214" s="633">
        <f>CCBASE!$I$42*B214/1000</f>
        <v>159.48132749999999</v>
      </c>
      <c r="X214" s="633"/>
      <c r="Y214" s="633"/>
      <c r="Z214" s="633"/>
      <c r="AA214" s="633"/>
      <c r="AB214" s="633"/>
      <c r="AC214" s="633"/>
      <c r="AD214" s="633">
        <f>CCBASE!$I$38*2</f>
        <v>272.06745999999998</v>
      </c>
    </row>
    <row r="215" spans="1:30" x14ac:dyDescent="0.2">
      <c r="A215" s="631" t="s">
        <v>136</v>
      </c>
      <c r="B215" s="631">
        <v>2500</v>
      </c>
      <c r="C215" s="631">
        <v>1750</v>
      </c>
      <c r="D215" s="631" t="str">
        <f t="shared" si="69"/>
        <v>KVI25001750</v>
      </c>
      <c r="E215" s="1054">
        <f t="shared" si="74"/>
        <v>2177.2582774499997</v>
      </c>
      <c r="F215" s="632">
        <v>21</v>
      </c>
      <c r="G215" s="633">
        <f>F215*CCBASE!$B$51</f>
        <v>756</v>
      </c>
      <c r="H215" s="633">
        <f>CCBASE!$I$12*B215/1000</f>
        <v>299.12634325000005</v>
      </c>
      <c r="I215" s="633"/>
      <c r="J215" s="633"/>
      <c r="K215" s="633"/>
      <c r="L215" s="633">
        <f>CCBASE!$I$14*B215/1000</f>
        <v>523.43413499999997</v>
      </c>
      <c r="M215" s="633"/>
      <c r="N215" s="633"/>
      <c r="O215" s="633">
        <f>CCBASE!$I$45*B215/1000</f>
        <v>24.925000000000001</v>
      </c>
      <c r="P215" s="633"/>
      <c r="Q215" s="633">
        <f>CCBASE!$H$51</f>
        <v>5.16</v>
      </c>
      <c r="R215" s="633">
        <f>CCBASE!$I$4</f>
        <v>8.3986041999999994</v>
      </c>
      <c r="S215" s="633">
        <f>CCBASE!$I$8</f>
        <v>16.25526</v>
      </c>
      <c r="T215" s="633">
        <f>CCBASE!$I$44</f>
        <v>94.69</v>
      </c>
      <c r="U215" s="632"/>
      <c r="V215" s="632"/>
      <c r="W215" s="633">
        <f>CCBASE!$I$42*B215/1000</f>
        <v>177.20147500000002</v>
      </c>
      <c r="X215" s="633"/>
      <c r="Y215" s="633"/>
      <c r="Z215" s="633"/>
      <c r="AA215" s="633"/>
      <c r="AB215" s="633"/>
      <c r="AC215" s="633"/>
      <c r="AD215" s="633">
        <f>CCBASE!$I$38*2</f>
        <v>272.06745999999998</v>
      </c>
    </row>
    <row r="216" spans="1:30" x14ac:dyDescent="0.2">
      <c r="A216" s="631" t="s">
        <v>136</v>
      </c>
      <c r="B216" s="631">
        <v>2750</v>
      </c>
      <c r="C216" s="631">
        <v>1750</v>
      </c>
      <c r="D216" s="631" t="str">
        <f t="shared" ref="D216" si="83">A216&amp;B216&amp;C216</f>
        <v>KVI27501750</v>
      </c>
      <c r="E216" s="1054">
        <f t="shared" si="74"/>
        <v>2279.7269727749999</v>
      </c>
      <c r="F216" s="632">
        <v>21</v>
      </c>
      <c r="G216" s="633">
        <f>F216*CCBASE!$B$51</f>
        <v>756</v>
      </c>
      <c r="H216" s="633">
        <f>CCBASE!$I$12*B216/1000</f>
        <v>329.03897757500005</v>
      </c>
      <c r="I216" s="633"/>
      <c r="J216" s="633"/>
      <c r="K216" s="633"/>
      <c r="L216" s="633">
        <f>CCBASE!$I$14*B216/1000</f>
        <v>575.77754849999997</v>
      </c>
      <c r="M216" s="633"/>
      <c r="N216" s="633"/>
      <c r="O216" s="633">
        <f>CCBASE!$I$45*B216/1000</f>
        <v>27.4175</v>
      </c>
      <c r="P216" s="633"/>
      <c r="Q216" s="633">
        <f>CCBASE!$H$51</f>
        <v>5.16</v>
      </c>
      <c r="R216" s="633">
        <f>CCBASE!$I$4</f>
        <v>8.3986041999999994</v>
      </c>
      <c r="S216" s="633">
        <f>CCBASE!$I$8</f>
        <v>16.25526</v>
      </c>
      <c r="T216" s="633">
        <f>CCBASE!$I$44</f>
        <v>94.69</v>
      </c>
      <c r="U216" s="632"/>
      <c r="V216" s="632"/>
      <c r="W216" s="633">
        <f>CCBASE!$I$42*B216/1000</f>
        <v>194.92162249999998</v>
      </c>
      <c r="X216" s="633"/>
      <c r="Y216" s="633"/>
      <c r="Z216" s="633"/>
      <c r="AA216" s="633"/>
      <c r="AB216" s="633"/>
      <c r="AC216" s="633"/>
      <c r="AD216" s="633">
        <f>CCBASE!$I$38*2</f>
        <v>272.06745999999998</v>
      </c>
    </row>
    <row r="217" spans="1:30" x14ac:dyDescent="0.2">
      <c r="A217" s="631" t="s">
        <v>136</v>
      </c>
      <c r="B217" s="631">
        <v>3000</v>
      </c>
      <c r="C217" s="631">
        <v>1750</v>
      </c>
      <c r="D217" s="631" t="str">
        <f t="shared" si="69"/>
        <v>KVI30001750</v>
      </c>
      <c r="E217" s="1054">
        <f t="shared" si="74"/>
        <v>2382.1956681000001</v>
      </c>
      <c r="F217" s="632">
        <v>21</v>
      </c>
      <c r="G217" s="633">
        <f>F217*CCBASE!$B$51</f>
        <v>756</v>
      </c>
      <c r="H217" s="633">
        <f>CCBASE!$I$12*B217/1000</f>
        <v>358.95161190000005</v>
      </c>
      <c r="I217" s="633"/>
      <c r="J217" s="633"/>
      <c r="K217" s="633"/>
      <c r="L217" s="633">
        <f>CCBASE!$I$14*B217/1000</f>
        <v>628.12096199999996</v>
      </c>
      <c r="M217" s="633"/>
      <c r="N217" s="633"/>
      <c r="O217" s="633">
        <f>CCBASE!$I$45*B217/1000</f>
        <v>29.910000000000004</v>
      </c>
      <c r="P217" s="633"/>
      <c r="Q217" s="633">
        <f>CCBASE!$H$51</f>
        <v>5.16</v>
      </c>
      <c r="R217" s="633">
        <f>CCBASE!$I$4</f>
        <v>8.3986041999999994</v>
      </c>
      <c r="S217" s="633">
        <f>CCBASE!$I$8</f>
        <v>16.25526</v>
      </c>
      <c r="T217" s="633">
        <f>CCBASE!$I$44</f>
        <v>94.69</v>
      </c>
      <c r="U217" s="632"/>
      <c r="V217" s="632"/>
      <c r="W217" s="633">
        <f>CCBASE!$I$42*B217/1000</f>
        <v>212.64176999999998</v>
      </c>
      <c r="X217" s="633"/>
      <c r="Y217" s="633"/>
      <c r="Z217" s="633"/>
      <c r="AA217" s="633"/>
      <c r="AB217" s="633"/>
      <c r="AC217" s="633"/>
      <c r="AD217" s="633">
        <f>CCBASE!$I$38*2</f>
        <v>272.06745999999998</v>
      </c>
    </row>
    <row r="218" spans="1:30" x14ac:dyDescent="0.2">
      <c r="A218" s="631" t="s">
        <v>136</v>
      </c>
      <c r="B218" s="631">
        <v>1000</v>
      </c>
      <c r="C218" s="631">
        <v>2000</v>
      </c>
      <c r="D218" s="631" t="str">
        <f t="shared" ref="D218:D226" si="84">A218&amp;B218&amp;C218</f>
        <v>KVI10002000</v>
      </c>
      <c r="E218" s="1054">
        <f t="shared" si="74"/>
        <v>1583.2254014999999</v>
      </c>
      <c r="F218" s="632">
        <v>20</v>
      </c>
      <c r="G218" s="633">
        <f>F218*CCBASE!$B$51</f>
        <v>720</v>
      </c>
      <c r="H218" s="633">
        <f>CCBASE!$I$12*B218/1000</f>
        <v>119.65053730000001</v>
      </c>
      <c r="I218" s="633"/>
      <c r="J218" s="633"/>
      <c r="K218" s="633"/>
      <c r="L218" s="633">
        <f>CCBASE!$I$14*B218/1000</f>
        <v>209.37365399999999</v>
      </c>
      <c r="M218" s="633"/>
      <c r="N218" s="633"/>
      <c r="O218" s="633">
        <f>CCBASE!$I$45*B218/1000</f>
        <v>9.9700000000000006</v>
      </c>
      <c r="P218" s="633"/>
      <c r="Q218" s="633">
        <f>CCBASE!$H$51</f>
        <v>5.16</v>
      </c>
      <c r="R218" s="633">
        <f>CCBASE!$I$4</f>
        <v>8.3986041999999994</v>
      </c>
      <c r="S218" s="633">
        <f>CCBASE!$I$8</f>
        <v>16.25526</v>
      </c>
      <c r="T218" s="633">
        <f>CCBASE!$I$44</f>
        <v>94.69</v>
      </c>
      <c r="U218" s="632"/>
      <c r="V218" s="632"/>
      <c r="W218" s="633">
        <f>CCBASE!$I$43*B218/1000</f>
        <v>88.624119999999991</v>
      </c>
      <c r="X218" s="633"/>
      <c r="Y218" s="633"/>
      <c r="Z218" s="633"/>
      <c r="AA218" s="633"/>
      <c r="AB218" s="633"/>
      <c r="AC218" s="633"/>
      <c r="AD218" s="633">
        <f>CCBASE!$I$39*2</f>
        <v>311.10322599999995</v>
      </c>
    </row>
    <row r="219" spans="1:30" x14ac:dyDescent="0.2">
      <c r="A219" s="631" t="s">
        <v>136</v>
      </c>
      <c r="B219" s="631">
        <v>1250</v>
      </c>
      <c r="C219" s="631">
        <v>2000</v>
      </c>
      <c r="D219" s="631" t="str">
        <f t="shared" ref="D219:D220" si="85">A219&amp;B219&amp;C219</f>
        <v>KVI12502000</v>
      </c>
      <c r="E219" s="1054">
        <f t="shared" si="74"/>
        <v>1667.9505668249999</v>
      </c>
      <c r="F219" s="632">
        <v>20</v>
      </c>
      <c r="G219" s="633">
        <f>F219*CCBASE!$B$51</f>
        <v>720</v>
      </c>
      <c r="H219" s="633">
        <f>CCBASE!$I$12*B219/1000</f>
        <v>149.56317162500002</v>
      </c>
      <c r="I219" s="633"/>
      <c r="J219" s="633"/>
      <c r="K219" s="633"/>
      <c r="L219" s="633">
        <f>CCBASE!$I$14*B219/1000</f>
        <v>261.71706749999998</v>
      </c>
      <c r="M219" s="633"/>
      <c r="N219" s="633"/>
      <c r="O219" s="633">
        <f>CCBASE!$I$45*B219/1000</f>
        <v>12.4625</v>
      </c>
      <c r="P219" s="633"/>
      <c r="Q219" s="633">
        <f>CCBASE!$H$51</f>
        <v>5.16</v>
      </c>
      <c r="R219" s="633">
        <f>CCBASE!$I$4</f>
        <v>8.3986041999999994</v>
      </c>
      <c r="S219" s="633">
        <f>CCBASE!$I$8</f>
        <v>16.25526</v>
      </c>
      <c r="T219" s="633">
        <f>CCBASE!$I$44</f>
        <v>94.69</v>
      </c>
      <c r="U219" s="632"/>
      <c r="V219" s="632"/>
      <c r="W219" s="633">
        <f>CCBASE!$I$42*B219/1000</f>
        <v>88.600737500000008</v>
      </c>
      <c r="X219" s="633"/>
      <c r="Y219" s="633"/>
      <c r="Z219" s="633"/>
      <c r="AA219" s="633"/>
      <c r="AB219" s="633"/>
      <c r="AC219" s="633"/>
      <c r="AD219" s="633">
        <f>CCBASE!$I$39*2</f>
        <v>311.10322599999995</v>
      </c>
    </row>
    <row r="220" spans="1:30" x14ac:dyDescent="0.2">
      <c r="A220" s="631" t="s">
        <v>136</v>
      </c>
      <c r="B220" s="631">
        <v>1500</v>
      </c>
      <c r="C220" s="631">
        <v>2000</v>
      </c>
      <c r="D220" s="631" t="str">
        <f t="shared" si="85"/>
        <v>KVI15002000</v>
      </c>
      <c r="E220" s="1054">
        <f t="shared" si="74"/>
        <v>1770.4192621499999</v>
      </c>
      <c r="F220" s="632">
        <v>20</v>
      </c>
      <c r="G220" s="633">
        <f>F220*CCBASE!$B$51</f>
        <v>720</v>
      </c>
      <c r="H220" s="633">
        <f>CCBASE!$I$12*B220/1000</f>
        <v>179.47580595000002</v>
      </c>
      <c r="I220" s="633"/>
      <c r="J220" s="633"/>
      <c r="K220" s="633"/>
      <c r="L220" s="633">
        <f>CCBASE!$I$14*B220/1000</f>
        <v>314.06048099999998</v>
      </c>
      <c r="M220" s="633"/>
      <c r="N220" s="633"/>
      <c r="O220" s="633">
        <f>CCBASE!$I$45*B220/1000</f>
        <v>14.955000000000002</v>
      </c>
      <c r="P220" s="633"/>
      <c r="Q220" s="633">
        <f>CCBASE!$H$51</f>
        <v>5.16</v>
      </c>
      <c r="R220" s="633">
        <f>CCBASE!$I$4</f>
        <v>8.3986041999999994</v>
      </c>
      <c r="S220" s="633">
        <f>CCBASE!$I$8</f>
        <v>16.25526</v>
      </c>
      <c r="T220" s="633">
        <f>CCBASE!$I$44</f>
        <v>94.69</v>
      </c>
      <c r="U220" s="632"/>
      <c r="V220" s="632"/>
      <c r="W220" s="633">
        <f>CCBASE!$I$42*B220/1000</f>
        <v>106.32088499999999</v>
      </c>
      <c r="X220" s="633"/>
      <c r="Y220" s="633"/>
      <c r="Z220" s="633"/>
      <c r="AA220" s="633"/>
      <c r="AB220" s="633"/>
      <c r="AC220" s="633"/>
      <c r="AD220" s="633">
        <f>CCBASE!$I$39*2</f>
        <v>311.10322599999995</v>
      </c>
    </row>
    <row r="221" spans="1:30" x14ac:dyDescent="0.2">
      <c r="A221" s="631" t="s">
        <v>136</v>
      </c>
      <c r="B221" s="631">
        <v>1750</v>
      </c>
      <c r="C221" s="631">
        <v>2000</v>
      </c>
      <c r="D221" s="631" t="str">
        <f t="shared" si="84"/>
        <v>KVI17502000</v>
      </c>
      <c r="E221" s="1054">
        <f t="shared" si="74"/>
        <v>1872.8879574749999</v>
      </c>
      <c r="F221" s="632">
        <v>20</v>
      </c>
      <c r="G221" s="633">
        <f>F221*CCBASE!$B$51</f>
        <v>720</v>
      </c>
      <c r="H221" s="633">
        <f>CCBASE!$I$12*B221/1000</f>
        <v>209.38844027500002</v>
      </c>
      <c r="I221" s="633"/>
      <c r="J221" s="633"/>
      <c r="K221" s="633"/>
      <c r="L221" s="633">
        <f>CCBASE!$I$14*B221/1000</f>
        <v>366.40389449999998</v>
      </c>
      <c r="M221" s="633"/>
      <c r="N221" s="633"/>
      <c r="O221" s="633">
        <f>CCBASE!$I$45*B221/1000</f>
        <v>17.447500000000002</v>
      </c>
      <c r="P221" s="633"/>
      <c r="Q221" s="633">
        <f>CCBASE!$H$51</f>
        <v>5.16</v>
      </c>
      <c r="R221" s="633">
        <f>CCBASE!$I$4</f>
        <v>8.3986041999999994</v>
      </c>
      <c r="S221" s="633">
        <f>CCBASE!$I$8</f>
        <v>16.25526</v>
      </c>
      <c r="T221" s="633">
        <f>CCBASE!$I$44</f>
        <v>94.69</v>
      </c>
      <c r="U221" s="632"/>
      <c r="V221" s="632"/>
      <c r="W221" s="633">
        <f>CCBASE!$I$42*B221/1000</f>
        <v>124.0410325</v>
      </c>
      <c r="X221" s="633"/>
      <c r="Y221" s="633"/>
      <c r="Z221" s="633"/>
      <c r="AA221" s="633"/>
      <c r="AB221" s="633"/>
      <c r="AC221" s="633"/>
      <c r="AD221" s="633">
        <f>CCBASE!$I$39*2</f>
        <v>311.10322599999995</v>
      </c>
    </row>
    <row r="222" spans="1:30" x14ac:dyDescent="0.2">
      <c r="A222" s="631" t="s">
        <v>136</v>
      </c>
      <c r="B222" s="631">
        <v>2000</v>
      </c>
      <c r="C222" s="631">
        <v>2000</v>
      </c>
      <c r="D222" s="631" t="str">
        <f t="shared" ref="D222" si="86">A222&amp;B222&amp;C222</f>
        <v>KVI20002000</v>
      </c>
      <c r="E222" s="1054">
        <f t="shared" si="74"/>
        <v>1975.3566527999999</v>
      </c>
      <c r="F222" s="632">
        <v>20</v>
      </c>
      <c r="G222" s="633">
        <f>F222*CCBASE!$B$51</f>
        <v>720</v>
      </c>
      <c r="H222" s="633">
        <f>CCBASE!$I$12*B222/1000</f>
        <v>239.30107460000002</v>
      </c>
      <c r="I222" s="633"/>
      <c r="J222" s="633"/>
      <c r="K222" s="633"/>
      <c r="L222" s="633">
        <f>CCBASE!$I$14*B222/1000</f>
        <v>418.74730799999998</v>
      </c>
      <c r="M222" s="633"/>
      <c r="N222" s="633"/>
      <c r="O222" s="633">
        <f>CCBASE!$I$45*B222/1000</f>
        <v>19.940000000000001</v>
      </c>
      <c r="P222" s="633"/>
      <c r="Q222" s="633">
        <f>CCBASE!$H$51</f>
        <v>5.16</v>
      </c>
      <c r="R222" s="633">
        <f>CCBASE!$I$4</f>
        <v>8.3986041999999994</v>
      </c>
      <c r="S222" s="633">
        <f>CCBASE!$I$8</f>
        <v>16.25526</v>
      </c>
      <c r="T222" s="633">
        <f>CCBASE!$I$44</f>
        <v>94.69</v>
      </c>
      <c r="U222" s="632"/>
      <c r="V222" s="632"/>
      <c r="W222" s="633">
        <f>CCBASE!$I$42*B222/1000</f>
        <v>141.76118</v>
      </c>
      <c r="X222" s="633"/>
      <c r="Y222" s="633"/>
      <c r="Z222" s="633"/>
      <c r="AA222" s="633"/>
      <c r="AB222" s="633"/>
      <c r="AC222" s="633"/>
      <c r="AD222" s="633">
        <f>CCBASE!$I$39*2</f>
        <v>311.10322599999995</v>
      </c>
    </row>
    <row r="223" spans="1:30" x14ac:dyDescent="0.2">
      <c r="A223" s="631" t="s">
        <v>136</v>
      </c>
      <c r="B223" s="631">
        <v>2250</v>
      </c>
      <c r="C223" s="631">
        <v>2000</v>
      </c>
      <c r="D223" s="631" t="str">
        <f t="shared" ref="D223" si="87">A223&amp;B223&amp;C223</f>
        <v>KVI22502000</v>
      </c>
      <c r="E223" s="1054">
        <f t="shared" si="74"/>
        <v>2113.8253481249994</v>
      </c>
      <c r="F223" s="632">
        <v>21</v>
      </c>
      <c r="G223" s="633">
        <f>F223*CCBASE!$B$51</f>
        <v>756</v>
      </c>
      <c r="H223" s="633">
        <f>CCBASE!$I$12*B223/1000</f>
        <v>269.21370892500005</v>
      </c>
      <c r="I223" s="633"/>
      <c r="J223" s="633"/>
      <c r="K223" s="633"/>
      <c r="L223" s="633">
        <f>CCBASE!$I$14*B223/1000</f>
        <v>471.09072149999997</v>
      </c>
      <c r="M223" s="633"/>
      <c r="N223" s="633"/>
      <c r="O223" s="633">
        <f>CCBASE!$I$45*B223/1000</f>
        <v>22.432500000000001</v>
      </c>
      <c r="P223" s="633"/>
      <c r="Q223" s="633">
        <f>CCBASE!$H$51</f>
        <v>5.16</v>
      </c>
      <c r="R223" s="633">
        <f>CCBASE!$I$4</f>
        <v>8.3986041999999994</v>
      </c>
      <c r="S223" s="633">
        <f>CCBASE!$I$8</f>
        <v>16.25526</v>
      </c>
      <c r="T223" s="633">
        <f>CCBASE!$I$44</f>
        <v>94.69</v>
      </c>
      <c r="U223" s="632"/>
      <c r="V223" s="632"/>
      <c r="W223" s="633">
        <f>CCBASE!$I$42*B223/1000</f>
        <v>159.48132749999999</v>
      </c>
      <c r="X223" s="633"/>
      <c r="Y223" s="633"/>
      <c r="Z223" s="633"/>
      <c r="AA223" s="633"/>
      <c r="AB223" s="633"/>
      <c r="AC223" s="633"/>
      <c r="AD223" s="633">
        <f>CCBASE!$I$39*2</f>
        <v>311.10322599999995</v>
      </c>
    </row>
    <row r="224" spans="1:30" x14ac:dyDescent="0.2">
      <c r="A224" s="631" t="s">
        <v>136</v>
      </c>
      <c r="B224" s="631">
        <v>2500</v>
      </c>
      <c r="C224" s="631">
        <v>2000</v>
      </c>
      <c r="D224" s="631" t="str">
        <f t="shared" si="84"/>
        <v>KVI25002000</v>
      </c>
      <c r="E224" s="1054">
        <f t="shared" si="74"/>
        <v>2216.2940434499997</v>
      </c>
      <c r="F224" s="632">
        <v>21</v>
      </c>
      <c r="G224" s="633">
        <f>F224*CCBASE!$B$51</f>
        <v>756</v>
      </c>
      <c r="H224" s="633">
        <f>CCBASE!$I$12*B224/1000</f>
        <v>299.12634325000005</v>
      </c>
      <c r="I224" s="633"/>
      <c r="J224" s="633"/>
      <c r="K224" s="633"/>
      <c r="L224" s="633">
        <f>CCBASE!$I$14*B224/1000</f>
        <v>523.43413499999997</v>
      </c>
      <c r="M224" s="633"/>
      <c r="N224" s="633"/>
      <c r="O224" s="633">
        <f>CCBASE!$I$45*B224/1000</f>
        <v>24.925000000000001</v>
      </c>
      <c r="P224" s="633"/>
      <c r="Q224" s="633">
        <f>CCBASE!$H$51</f>
        <v>5.16</v>
      </c>
      <c r="R224" s="633">
        <f>CCBASE!$I$4</f>
        <v>8.3986041999999994</v>
      </c>
      <c r="S224" s="633">
        <f>CCBASE!$I$8</f>
        <v>16.25526</v>
      </c>
      <c r="T224" s="633">
        <f>CCBASE!$I$44</f>
        <v>94.69</v>
      </c>
      <c r="U224" s="632"/>
      <c r="V224" s="632"/>
      <c r="W224" s="633">
        <f>CCBASE!$I$42*B224/1000</f>
        <v>177.20147500000002</v>
      </c>
      <c r="X224" s="633"/>
      <c r="Y224" s="633"/>
      <c r="Z224" s="633"/>
      <c r="AA224" s="633"/>
      <c r="AB224" s="633"/>
      <c r="AC224" s="633"/>
      <c r="AD224" s="633">
        <f>CCBASE!$I$39*2</f>
        <v>311.10322599999995</v>
      </c>
    </row>
    <row r="225" spans="1:45" x14ac:dyDescent="0.2">
      <c r="A225" s="631" t="s">
        <v>136</v>
      </c>
      <c r="B225" s="631">
        <v>2750</v>
      </c>
      <c r="C225" s="631">
        <v>2000</v>
      </c>
      <c r="D225" s="631" t="str">
        <f t="shared" ref="D225" si="88">A225&amp;B225&amp;C225</f>
        <v>KVI27502000</v>
      </c>
      <c r="E225" s="1054">
        <f t="shared" si="74"/>
        <v>2318.7627387749999</v>
      </c>
      <c r="F225" s="632">
        <v>21</v>
      </c>
      <c r="G225" s="633">
        <f>F225*CCBASE!$B$51</f>
        <v>756</v>
      </c>
      <c r="H225" s="633">
        <f>CCBASE!$I$12*B225/1000</f>
        <v>329.03897757500005</v>
      </c>
      <c r="I225" s="633"/>
      <c r="J225" s="633"/>
      <c r="K225" s="633"/>
      <c r="L225" s="633">
        <f>CCBASE!$I$14*B225/1000</f>
        <v>575.77754849999997</v>
      </c>
      <c r="M225" s="633"/>
      <c r="N225" s="633"/>
      <c r="O225" s="633">
        <f>CCBASE!$I$45*B225/1000</f>
        <v>27.4175</v>
      </c>
      <c r="P225" s="633"/>
      <c r="Q225" s="633">
        <f>CCBASE!$H$51</f>
        <v>5.16</v>
      </c>
      <c r="R225" s="633">
        <f>CCBASE!$I$4</f>
        <v>8.3986041999999994</v>
      </c>
      <c r="S225" s="633">
        <f>CCBASE!$I$8</f>
        <v>16.25526</v>
      </c>
      <c r="T225" s="633">
        <f>CCBASE!$I$44</f>
        <v>94.69</v>
      </c>
      <c r="U225" s="632"/>
      <c r="V225" s="632"/>
      <c r="W225" s="633">
        <f>CCBASE!$I$42*B225/1000</f>
        <v>194.92162249999998</v>
      </c>
      <c r="X225" s="633"/>
      <c r="Y225" s="633"/>
      <c r="Z225" s="633"/>
      <c r="AA225" s="633"/>
      <c r="AB225" s="633"/>
      <c r="AC225" s="633"/>
      <c r="AD225" s="633">
        <f>CCBASE!$I$39*2</f>
        <v>311.10322599999995</v>
      </c>
    </row>
    <row r="226" spans="1:45" x14ac:dyDescent="0.2">
      <c r="A226" s="631" t="s">
        <v>136</v>
      </c>
      <c r="B226" s="631">
        <v>3000</v>
      </c>
      <c r="C226" s="631">
        <v>2000</v>
      </c>
      <c r="D226" s="631" t="str">
        <f t="shared" si="84"/>
        <v>KVI30002000</v>
      </c>
      <c r="E226" s="1054">
        <f t="shared" si="74"/>
        <v>2421.2314341000001</v>
      </c>
      <c r="F226" s="632">
        <v>21</v>
      </c>
      <c r="G226" s="633">
        <f>F226*CCBASE!$B$51</f>
        <v>756</v>
      </c>
      <c r="H226" s="633">
        <f>CCBASE!$I$12*B226/1000</f>
        <v>358.95161190000005</v>
      </c>
      <c r="I226" s="633"/>
      <c r="J226" s="633"/>
      <c r="K226" s="633"/>
      <c r="L226" s="633">
        <f>CCBASE!$I$14*B226/1000</f>
        <v>628.12096199999996</v>
      </c>
      <c r="M226" s="633"/>
      <c r="N226" s="633"/>
      <c r="O226" s="633">
        <f>CCBASE!$I$45*B226/1000</f>
        <v>29.910000000000004</v>
      </c>
      <c r="P226" s="633"/>
      <c r="Q226" s="633">
        <f>CCBASE!$H$51</f>
        <v>5.16</v>
      </c>
      <c r="R226" s="633">
        <f>CCBASE!$I$4</f>
        <v>8.3986041999999994</v>
      </c>
      <c r="S226" s="633">
        <f>CCBASE!$I$8</f>
        <v>16.25526</v>
      </c>
      <c r="T226" s="633">
        <f>CCBASE!$I$44</f>
        <v>94.69</v>
      </c>
      <c r="U226" s="632"/>
      <c r="V226" s="632"/>
      <c r="W226" s="633">
        <f>CCBASE!$I$42*B226/1000</f>
        <v>212.64176999999998</v>
      </c>
      <c r="X226" s="633"/>
      <c r="Y226" s="633"/>
      <c r="Z226" s="633"/>
      <c r="AA226" s="633"/>
      <c r="AB226" s="633"/>
      <c r="AC226" s="633"/>
      <c r="AD226" s="633">
        <f>CCBASE!$I$39*2</f>
        <v>311.10322599999995</v>
      </c>
    </row>
    <row r="227" spans="1:45" x14ac:dyDescent="0.2">
      <c r="A227" s="631" t="s">
        <v>137</v>
      </c>
      <c r="B227" s="631">
        <v>1000</v>
      </c>
      <c r="C227" s="631">
        <v>1000</v>
      </c>
      <c r="D227" s="631" t="str">
        <f t="shared" si="69"/>
        <v>KVF10001000</v>
      </c>
      <c r="E227" s="1054">
        <f t="shared" si="74"/>
        <v>1655.7725005</v>
      </c>
      <c r="F227" s="632">
        <v>24.5</v>
      </c>
      <c r="G227" s="633">
        <f>F227*CCBASE!$B$51</f>
        <v>882</v>
      </c>
      <c r="H227" s="633">
        <f>CCBASE!$I$12*B227/1000</f>
        <v>119.65053730000001</v>
      </c>
      <c r="I227" s="633"/>
      <c r="J227" s="633"/>
      <c r="K227" s="633"/>
      <c r="L227" s="633">
        <f>CCBASE!$I$13*B227/1000</f>
        <v>239.537655</v>
      </c>
      <c r="M227" s="633"/>
      <c r="N227" s="633">
        <f>CCBASE!$I$7*B227/1000</f>
        <v>31.542280000000002</v>
      </c>
      <c r="O227" s="633">
        <f>CCBASE!$I$45*B227/1000</f>
        <v>9.9700000000000006</v>
      </c>
      <c r="P227" s="633"/>
      <c r="Q227" s="633">
        <f>CCBASE!$H$51</f>
        <v>5.16</v>
      </c>
      <c r="R227" s="633">
        <f>CCBASE!$I$4</f>
        <v>8.3986041999999994</v>
      </c>
      <c r="S227" s="633">
        <f>CCBASE!$I$8</f>
        <v>16.25526</v>
      </c>
      <c r="T227" s="633">
        <f>CCBASE!$I$44</f>
        <v>94.69</v>
      </c>
      <c r="U227" s="633">
        <f>CCBASE!$I$47</f>
        <v>14.41</v>
      </c>
      <c r="V227" s="633">
        <f>CCBASE!$I$46/2</f>
        <v>1.22</v>
      </c>
      <c r="W227" s="633">
        <f>CCBASE!$I$40*B227/1000</f>
        <v>41.308039999999998</v>
      </c>
      <c r="X227" s="633"/>
      <c r="Y227" s="633"/>
      <c r="Z227" s="633"/>
      <c r="AA227" s="633"/>
      <c r="AB227" s="633"/>
      <c r="AC227" s="633"/>
      <c r="AD227" s="633">
        <f>CCBASE!$I$36*2</f>
        <v>191.630124</v>
      </c>
      <c r="AI227" s="635"/>
      <c r="AJ227" s="635"/>
      <c r="AK227" s="636"/>
      <c r="AL227" s="636"/>
      <c r="AM227" s="636"/>
      <c r="AN227" s="636"/>
      <c r="AO227" s="636"/>
      <c r="AP227" s="636"/>
      <c r="AQ227" s="636"/>
      <c r="AR227" s="636"/>
      <c r="AS227" s="636"/>
    </row>
    <row r="228" spans="1:45" x14ac:dyDescent="0.2">
      <c r="A228" s="631" t="s">
        <v>137</v>
      </c>
      <c r="B228" s="631">
        <v>1250</v>
      </c>
      <c r="C228" s="631">
        <v>1000</v>
      </c>
      <c r="D228" s="631" t="str">
        <f>A228&amp;B228&amp;C228</f>
        <v>KVF12501000</v>
      </c>
      <c r="E228" s="1054">
        <f t="shared" si="74"/>
        <v>1780.6846285750003</v>
      </c>
      <c r="F228" s="632">
        <v>24.5</v>
      </c>
      <c r="G228" s="633">
        <f>F228*CCBASE!$B$51</f>
        <v>882</v>
      </c>
      <c r="H228" s="633">
        <f>CCBASE!$I$12*B228/1000</f>
        <v>149.56317162500002</v>
      </c>
      <c r="I228" s="633"/>
      <c r="J228" s="633"/>
      <c r="K228" s="633"/>
      <c r="L228" s="633">
        <f>CCBASE!$I$13*B228/1000</f>
        <v>299.42206874999999</v>
      </c>
      <c r="M228" s="633"/>
      <c r="N228" s="633">
        <f>CCBASE!$I$7*B228/1000</f>
        <v>39.427849999999999</v>
      </c>
      <c r="O228" s="633">
        <f>CCBASE!$I$45*B228/1000</f>
        <v>12.4625</v>
      </c>
      <c r="P228" s="633"/>
      <c r="Q228" s="633">
        <f>CCBASE!$H$51</f>
        <v>5.16</v>
      </c>
      <c r="R228" s="633">
        <f>CCBASE!$I$4</f>
        <v>8.3986041999999994</v>
      </c>
      <c r="S228" s="633">
        <f>CCBASE!$I$8</f>
        <v>16.25526</v>
      </c>
      <c r="T228" s="633">
        <f>CCBASE!$I$44</f>
        <v>94.69</v>
      </c>
      <c r="U228" s="633">
        <f>CCBASE!$I$47*2</f>
        <v>28.82</v>
      </c>
      <c r="V228" s="633">
        <f>CCBASE!$I$46/2</f>
        <v>1.22</v>
      </c>
      <c r="W228" s="633">
        <f>CCBASE!$I$40*B228/1000</f>
        <v>51.635049999999993</v>
      </c>
      <c r="X228" s="633"/>
      <c r="Y228" s="633"/>
      <c r="Z228" s="633"/>
      <c r="AA228" s="633"/>
      <c r="AB228" s="633"/>
      <c r="AC228" s="633"/>
      <c r="AD228" s="633">
        <f>CCBASE!$I$36*2</f>
        <v>191.630124</v>
      </c>
      <c r="AJ228" s="639"/>
    </row>
    <row r="229" spans="1:45" x14ac:dyDescent="0.2">
      <c r="A229" s="631" t="s">
        <v>137</v>
      </c>
      <c r="B229" s="631">
        <v>1500</v>
      </c>
      <c r="C229" s="631">
        <v>1000</v>
      </c>
      <c r="D229" s="631" t="str">
        <f>A229&amp;B229&amp;C229</f>
        <v>KVF15001000</v>
      </c>
      <c r="E229" s="1054">
        <f t="shared" si="74"/>
        <v>1891.1867566499998</v>
      </c>
      <c r="F229" s="632">
        <v>24.5</v>
      </c>
      <c r="G229" s="633">
        <f>F229*CCBASE!$B$51</f>
        <v>882</v>
      </c>
      <c r="H229" s="633">
        <f>CCBASE!$I$12*B229/1000</f>
        <v>179.47580595000002</v>
      </c>
      <c r="I229" s="633"/>
      <c r="J229" s="633"/>
      <c r="K229" s="633"/>
      <c r="L229" s="633">
        <f>CCBASE!$I$13*B229/1000</f>
        <v>359.30648249999996</v>
      </c>
      <c r="M229" s="633"/>
      <c r="N229" s="633">
        <f>CCBASE!$I$7*B229/1000</f>
        <v>47.313420000000008</v>
      </c>
      <c r="O229" s="633">
        <f>CCBASE!$I$45*B229/1000</f>
        <v>14.955000000000002</v>
      </c>
      <c r="P229" s="633"/>
      <c r="Q229" s="633">
        <f>CCBASE!$H$51</f>
        <v>5.16</v>
      </c>
      <c r="R229" s="633">
        <f>CCBASE!$I$4</f>
        <v>8.3986041999999994</v>
      </c>
      <c r="S229" s="633">
        <f>CCBASE!$I$8</f>
        <v>16.25526</v>
      </c>
      <c r="T229" s="633">
        <f>CCBASE!$I$44</f>
        <v>94.69</v>
      </c>
      <c r="U229" s="633">
        <f>CCBASE!$I$47*2</f>
        <v>28.82</v>
      </c>
      <c r="V229" s="633">
        <f>CCBASE!$I$46/2</f>
        <v>1.22</v>
      </c>
      <c r="W229" s="633">
        <f>CCBASE!$I$40*B229/1000</f>
        <v>61.962060000000001</v>
      </c>
      <c r="X229" s="633"/>
      <c r="Y229" s="633"/>
      <c r="Z229" s="633"/>
      <c r="AA229" s="633"/>
      <c r="AB229" s="633"/>
      <c r="AC229" s="633"/>
      <c r="AD229" s="633">
        <f>CCBASE!$I$36*2</f>
        <v>191.630124</v>
      </c>
      <c r="AJ229" s="639"/>
    </row>
    <row r="230" spans="1:45" x14ac:dyDescent="0.2">
      <c r="A230" s="631" t="s">
        <v>137</v>
      </c>
      <c r="B230" s="631">
        <v>1750</v>
      </c>
      <c r="C230" s="631">
        <v>1000</v>
      </c>
      <c r="D230" s="631" t="str">
        <f t="shared" ref="D230" si="89">A230&amp;B230&amp;C230</f>
        <v>KVF17501000</v>
      </c>
      <c r="E230" s="1054">
        <f t="shared" si="74"/>
        <v>2002.908884725</v>
      </c>
      <c r="F230" s="632">
        <v>24.5</v>
      </c>
      <c r="G230" s="633">
        <f>F230*CCBASE!$B$51</f>
        <v>882</v>
      </c>
      <c r="H230" s="633">
        <f>CCBASE!$I$12*B230/1000</f>
        <v>209.38844027500002</v>
      </c>
      <c r="I230" s="633"/>
      <c r="J230" s="633"/>
      <c r="K230" s="633"/>
      <c r="L230" s="633">
        <f>CCBASE!$I$13*B230/1000</f>
        <v>419.19089624999998</v>
      </c>
      <c r="M230" s="633"/>
      <c r="N230" s="633">
        <f>CCBASE!$I$7*B230/1000</f>
        <v>55.198990000000002</v>
      </c>
      <c r="O230" s="633">
        <f>CCBASE!$I$45*B230/1000</f>
        <v>17.447500000000002</v>
      </c>
      <c r="P230" s="633"/>
      <c r="Q230" s="633">
        <f>CCBASE!$H$51</f>
        <v>5.16</v>
      </c>
      <c r="R230" s="633">
        <f>CCBASE!$I$4</f>
        <v>8.3986041999999994</v>
      </c>
      <c r="S230" s="633">
        <f>CCBASE!$I$8</f>
        <v>16.25526</v>
      </c>
      <c r="T230" s="633">
        <f>CCBASE!$I$44</f>
        <v>94.69</v>
      </c>
      <c r="U230" s="633">
        <f>CCBASE!$I$47*2</f>
        <v>28.82</v>
      </c>
      <c r="V230" s="633">
        <f>CCBASE!$I$46</f>
        <v>2.44</v>
      </c>
      <c r="W230" s="633">
        <f>CCBASE!$I$40*B230/1000</f>
        <v>72.289069999999995</v>
      </c>
      <c r="X230" s="633"/>
      <c r="Y230" s="633"/>
      <c r="Z230" s="633"/>
      <c r="AA230" s="633"/>
      <c r="AB230" s="633"/>
      <c r="AC230" s="633"/>
      <c r="AD230" s="633">
        <f>CCBASE!$I$36*2</f>
        <v>191.630124</v>
      </c>
    </row>
    <row r="231" spans="1:45" x14ac:dyDescent="0.2">
      <c r="A231" s="631" t="s">
        <v>137</v>
      </c>
      <c r="B231" s="631">
        <v>2000</v>
      </c>
      <c r="C231" s="631">
        <v>1000</v>
      </c>
      <c r="D231" s="631" t="str">
        <f t="shared" ref="D231:D307" si="90">A231&amp;B231&amp;C231</f>
        <v>KVF20001000</v>
      </c>
      <c r="E231" s="1054">
        <f t="shared" si="74"/>
        <v>2113.4110127999998</v>
      </c>
      <c r="F231" s="632">
        <v>24.5</v>
      </c>
      <c r="G231" s="633">
        <f>F231*CCBASE!$B$51</f>
        <v>882</v>
      </c>
      <c r="H231" s="633">
        <f>CCBASE!$I$12*B231/1000</f>
        <v>239.30107460000002</v>
      </c>
      <c r="I231" s="633"/>
      <c r="J231" s="633"/>
      <c r="K231" s="633"/>
      <c r="L231" s="633">
        <f>CCBASE!$I$13*B231/1000</f>
        <v>479.07531</v>
      </c>
      <c r="M231" s="633"/>
      <c r="N231" s="633">
        <f>CCBASE!$I$7*B231/1000</f>
        <v>63.084560000000003</v>
      </c>
      <c r="O231" s="633">
        <f>CCBASE!$I$45*B231/1000</f>
        <v>19.940000000000001</v>
      </c>
      <c r="P231" s="633"/>
      <c r="Q231" s="633">
        <f>CCBASE!$H$51</f>
        <v>5.16</v>
      </c>
      <c r="R231" s="633">
        <f>CCBASE!$I$4</f>
        <v>8.3986041999999994</v>
      </c>
      <c r="S231" s="633">
        <f>CCBASE!$I$8</f>
        <v>16.25526</v>
      </c>
      <c r="T231" s="633">
        <f>CCBASE!$I$44</f>
        <v>94.69</v>
      </c>
      <c r="U231" s="633">
        <f>CCBASE!$I$47*2</f>
        <v>28.82</v>
      </c>
      <c r="V231" s="633">
        <f>CCBASE!$I$46</f>
        <v>2.44</v>
      </c>
      <c r="W231" s="633">
        <f>CCBASE!$I$40*B231/1000</f>
        <v>82.616079999999997</v>
      </c>
      <c r="X231" s="633"/>
      <c r="Y231" s="633"/>
      <c r="Z231" s="633"/>
      <c r="AA231" s="633"/>
      <c r="AB231" s="633"/>
      <c r="AC231" s="633"/>
      <c r="AD231" s="633">
        <f>CCBASE!$I$36*2</f>
        <v>191.630124</v>
      </c>
    </row>
    <row r="232" spans="1:45" x14ac:dyDescent="0.2">
      <c r="A232" s="631" t="s">
        <v>137</v>
      </c>
      <c r="B232" s="631">
        <v>2250</v>
      </c>
      <c r="C232" s="631">
        <v>1000</v>
      </c>
      <c r="D232" s="631" t="str">
        <f t="shared" ref="D232" si="91">A232&amp;B232&amp;C232</f>
        <v>KVF22501000</v>
      </c>
      <c r="E232" s="1054">
        <f t="shared" si="74"/>
        <v>2259.9131408749995</v>
      </c>
      <c r="F232" s="632">
        <v>25.5</v>
      </c>
      <c r="G232" s="633">
        <f>F232*CCBASE!$B$51</f>
        <v>918</v>
      </c>
      <c r="H232" s="633">
        <f>CCBASE!$I$12*B232/1000</f>
        <v>269.21370892500005</v>
      </c>
      <c r="I232" s="633"/>
      <c r="J232" s="633"/>
      <c r="K232" s="633"/>
      <c r="L232" s="633">
        <f>CCBASE!$I$13*B232/1000</f>
        <v>538.95972374999997</v>
      </c>
      <c r="M232" s="633"/>
      <c r="N232" s="633">
        <f>CCBASE!$I$7*B232/1000</f>
        <v>70.970130000000012</v>
      </c>
      <c r="O232" s="633">
        <f>CCBASE!$I$45*B232/1000</f>
        <v>22.432500000000001</v>
      </c>
      <c r="P232" s="633"/>
      <c r="Q232" s="633">
        <f>CCBASE!$H$51</f>
        <v>5.16</v>
      </c>
      <c r="R232" s="633">
        <f>CCBASE!$I$4</f>
        <v>8.3986041999999994</v>
      </c>
      <c r="S232" s="633">
        <f>CCBASE!$I$8</f>
        <v>16.25526</v>
      </c>
      <c r="T232" s="633">
        <f>CCBASE!$I$44</f>
        <v>94.69</v>
      </c>
      <c r="U232" s="633">
        <f>CCBASE!$I$47*2</f>
        <v>28.82</v>
      </c>
      <c r="V232" s="633">
        <f>CCBASE!$I$46</f>
        <v>2.44</v>
      </c>
      <c r="W232" s="633">
        <f>CCBASE!$I$40*B232/1000</f>
        <v>92.943089999999998</v>
      </c>
      <c r="X232" s="633"/>
      <c r="Y232" s="633"/>
      <c r="Z232" s="633"/>
      <c r="AA232" s="633"/>
      <c r="AB232" s="633"/>
      <c r="AC232" s="633"/>
      <c r="AD232" s="633">
        <f>CCBASE!$I$36*2</f>
        <v>191.630124</v>
      </c>
    </row>
    <row r="233" spans="1:45" x14ac:dyDescent="0.2">
      <c r="A233" s="631" t="s">
        <v>137</v>
      </c>
      <c r="B233" s="631">
        <v>2500</v>
      </c>
      <c r="C233" s="631">
        <v>1000</v>
      </c>
      <c r="D233" s="631" t="str">
        <f t="shared" si="90"/>
        <v>KVF25001000</v>
      </c>
      <c r="E233" s="1054">
        <f t="shared" si="74"/>
        <v>2370.4152689500002</v>
      </c>
      <c r="F233" s="632">
        <v>25.5</v>
      </c>
      <c r="G233" s="633">
        <f>F233*CCBASE!$B$51</f>
        <v>918</v>
      </c>
      <c r="H233" s="633">
        <f>CCBASE!$I$12*B233/1000</f>
        <v>299.12634325000005</v>
      </c>
      <c r="I233" s="633"/>
      <c r="J233" s="633"/>
      <c r="K233" s="633"/>
      <c r="L233" s="633">
        <f>CCBASE!$I$13*B233/1000</f>
        <v>598.84413749999999</v>
      </c>
      <c r="M233" s="633"/>
      <c r="N233" s="633">
        <f>CCBASE!$I$7*B233/1000</f>
        <v>78.855699999999999</v>
      </c>
      <c r="O233" s="633">
        <f>CCBASE!$I$45*B233/1000</f>
        <v>24.925000000000001</v>
      </c>
      <c r="P233" s="633"/>
      <c r="Q233" s="633">
        <f>CCBASE!$H$51</f>
        <v>5.16</v>
      </c>
      <c r="R233" s="633">
        <f>CCBASE!$I$4</f>
        <v>8.3986041999999994</v>
      </c>
      <c r="S233" s="633">
        <f>CCBASE!$I$8</f>
        <v>16.25526</v>
      </c>
      <c r="T233" s="633">
        <f>CCBASE!$I$44</f>
        <v>94.69</v>
      </c>
      <c r="U233" s="633">
        <f>CCBASE!$I$47*2</f>
        <v>28.82</v>
      </c>
      <c r="V233" s="633">
        <f>CCBASE!$I$46</f>
        <v>2.44</v>
      </c>
      <c r="W233" s="633">
        <f>CCBASE!$I$40*B233/1000</f>
        <v>103.27009999999999</v>
      </c>
      <c r="X233" s="633"/>
      <c r="Y233" s="633"/>
      <c r="Z233" s="633"/>
      <c r="AA233" s="633"/>
      <c r="AB233" s="633"/>
      <c r="AC233" s="633"/>
      <c r="AD233" s="633">
        <f>CCBASE!$I$36*2</f>
        <v>191.630124</v>
      </c>
    </row>
    <row r="234" spans="1:45" x14ac:dyDescent="0.2">
      <c r="A234" s="631" t="s">
        <v>137</v>
      </c>
      <c r="B234" s="631">
        <v>2750</v>
      </c>
      <c r="C234" s="631">
        <v>1000</v>
      </c>
      <c r="D234" s="631" t="str">
        <f t="shared" ref="D234" si="92">A234&amp;B234&amp;C234</f>
        <v>KVF27501000</v>
      </c>
      <c r="E234" s="1054">
        <f t="shared" si="74"/>
        <v>2480.9173970250004</v>
      </c>
      <c r="F234" s="632">
        <v>25.5</v>
      </c>
      <c r="G234" s="633">
        <f>F234*CCBASE!$B$51</f>
        <v>918</v>
      </c>
      <c r="H234" s="633">
        <f>CCBASE!$I$12*B234/1000</f>
        <v>329.03897757500005</v>
      </c>
      <c r="I234" s="633"/>
      <c r="J234" s="633"/>
      <c r="K234" s="633"/>
      <c r="L234" s="633">
        <f>CCBASE!$I$13*B234/1000</f>
        <v>658.72855125000001</v>
      </c>
      <c r="M234" s="633"/>
      <c r="N234" s="633">
        <f>CCBASE!$I$7*B234/1000</f>
        <v>86.74127</v>
      </c>
      <c r="O234" s="633">
        <f>CCBASE!$I$45*B234/1000</f>
        <v>27.4175</v>
      </c>
      <c r="P234" s="633"/>
      <c r="Q234" s="633">
        <f>CCBASE!$H$51</f>
        <v>5.16</v>
      </c>
      <c r="R234" s="633">
        <f>CCBASE!$I$4</f>
        <v>8.3986041999999994</v>
      </c>
      <c r="S234" s="633">
        <f>CCBASE!$I$8</f>
        <v>16.25526</v>
      </c>
      <c r="T234" s="633">
        <f>CCBASE!$I$44</f>
        <v>94.69</v>
      </c>
      <c r="U234" s="633">
        <f>CCBASE!$I$47*2</f>
        <v>28.82</v>
      </c>
      <c r="V234" s="633">
        <f>CCBASE!$I$46</f>
        <v>2.44</v>
      </c>
      <c r="W234" s="633">
        <f>CCBASE!$I$40*B234/1000</f>
        <v>113.59711</v>
      </c>
      <c r="X234" s="633"/>
      <c r="Y234" s="633"/>
      <c r="Z234" s="633"/>
      <c r="AA234" s="633"/>
      <c r="AB234" s="633"/>
      <c r="AC234" s="633"/>
      <c r="AD234" s="633">
        <f>CCBASE!$I$36*2</f>
        <v>191.630124</v>
      </c>
    </row>
    <row r="235" spans="1:45" x14ac:dyDescent="0.2">
      <c r="A235" s="631" t="s">
        <v>137</v>
      </c>
      <c r="B235" s="631">
        <v>3000</v>
      </c>
      <c r="C235" s="631">
        <v>1000</v>
      </c>
      <c r="D235" s="631" t="str">
        <f t="shared" si="90"/>
        <v>KVF30001000</v>
      </c>
      <c r="E235" s="1054">
        <f t="shared" si="74"/>
        <v>2591.4195250999996</v>
      </c>
      <c r="F235" s="632">
        <v>25.5</v>
      </c>
      <c r="G235" s="633">
        <f>F235*CCBASE!$B$51</f>
        <v>918</v>
      </c>
      <c r="H235" s="633">
        <f>CCBASE!$I$12*B235/1000</f>
        <v>358.95161190000005</v>
      </c>
      <c r="I235" s="633"/>
      <c r="J235" s="633"/>
      <c r="K235" s="633"/>
      <c r="L235" s="633">
        <f>CCBASE!$I$13*B235/1000</f>
        <v>718.61296499999992</v>
      </c>
      <c r="M235" s="633"/>
      <c r="N235" s="633">
        <f>CCBASE!$I$7*B235/1000</f>
        <v>94.626840000000016</v>
      </c>
      <c r="O235" s="633">
        <f>CCBASE!$I$45*B235/1000</f>
        <v>29.910000000000004</v>
      </c>
      <c r="P235" s="633"/>
      <c r="Q235" s="633">
        <f>CCBASE!$H$51</f>
        <v>5.16</v>
      </c>
      <c r="R235" s="633">
        <f>CCBASE!$I$4</f>
        <v>8.3986041999999994</v>
      </c>
      <c r="S235" s="633">
        <f>CCBASE!$I$8</f>
        <v>16.25526</v>
      </c>
      <c r="T235" s="633">
        <f>CCBASE!$I$44</f>
        <v>94.69</v>
      </c>
      <c r="U235" s="633">
        <f>CCBASE!$I$47*2</f>
        <v>28.82</v>
      </c>
      <c r="V235" s="633">
        <f>CCBASE!$I$46</f>
        <v>2.44</v>
      </c>
      <c r="W235" s="633">
        <f>CCBASE!$I$40*B235/1000</f>
        <v>123.92412</v>
      </c>
      <c r="X235" s="633"/>
      <c r="Y235" s="633"/>
      <c r="Z235" s="633"/>
      <c r="AA235" s="633"/>
      <c r="AB235" s="633"/>
      <c r="AC235" s="633"/>
      <c r="AD235" s="633">
        <f>CCBASE!$I$36*2</f>
        <v>191.630124</v>
      </c>
    </row>
    <row r="236" spans="1:45" x14ac:dyDescent="0.2">
      <c r="A236" s="631" t="s">
        <v>137</v>
      </c>
      <c r="B236" s="631">
        <v>1000</v>
      </c>
      <c r="C236" s="631">
        <v>1250</v>
      </c>
      <c r="D236" s="631" t="str">
        <f t="shared" si="90"/>
        <v>KVF10001250</v>
      </c>
      <c r="E236" s="1054">
        <f t="shared" si="74"/>
        <v>1655.7725005</v>
      </c>
      <c r="F236" s="632">
        <v>24.5</v>
      </c>
      <c r="G236" s="633">
        <f>F236*CCBASE!$B$51</f>
        <v>882</v>
      </c>
      <c r="H236" s="633">
        <f>CCBASE!$I$12*B236/1000</f>
        <v>119.65053730000001</v>
      </c>
      <c r="I236" s="633"/>
      <c r="J236" s="633"/>
      <c r="K236" s="633"/>
      <c r="L236" s="633">
        <f>CCBASE!$I$13*B236/1000</f>
        <v>239.537655</v>
      </c>
      <c r="M236" s="633"/>
      <c r="N236" s="633">
        <f>CCBASE!$I$7*B236/1000</f>
        <v>31.542280000000002</v>
      </c>
      <c r="O236" s="633">
        <f>CCBASE!$I$45*B236/1000</f>
        <v>9.9700000000000006</v>
      </c>
      <c r="P236" s="633"/>
      <c r="Q236" s="633">
        <f>CCBASE!$H$51</f>
        <v>5.16</v>
      </c>
      <c r="R236" s="633">
        <f>CCBASE!$I$4</f>
        <v>8.3986041999999994</v>
      </c>
      <c r="S236" s="633">
        <f>CCBASE!$I$8</f>
        <v>16.25526</v>
      </c>
      <c r="T236" s="633">
        <f>CCBASE!$I$44</f>
        <v>94.69</v>
      </c>
      <c r="U236" s="633">
        <f>CCBASE!$I$47</f>
        <v>14.41</v>
      </c>
      <c r="V236" s="633">
        <f>CCBASE!$I$46/2</f>
        <v>1.22</v>
      </c>
      <c r="W236" s="633">
        <f>CCBASE!$I$40*B236/1000</f>
        <v>41.308039999999998</v>
      </c>
      <c r="X236" s="633"/>
      <c r="Y236" s="633"/>
      <c r="Z236" s="633"/>
      <c r="AA236" s="633"/>
      <c r="AB236" s="633"/>
      <c r="AC236" s="633"/>
      <c r="AD236" s="633">
        <f>CCBASE!$I$36*2</f>
        <v>191.630124</v>
      </c>
    </row>
    <row r="237" spans="1:45" x14ac:dyDescent="0.2">
      <c r="A237" s="631" t="s">
        <v>137</v>
      </c>
      <c r="B237" s="631">
        <v>1250</v>
      </c>
      <c r="C237" s="631">
        <v>1250</v>
      </c>
      <c r="D237" s="631" t="str">
        <f t="shared" ref="D237" si="93">A237&amp;B237&amp;C237</f>
        <v>KVF12501250</v>
      </c>
      <c r="E237" s="1054">
        <f t="shared" si="74"/>
        <v>1780.6846285750003</v>
      </c>
      <c r="F237" s="632">
        <v>24.5</v>
      </c>
      <c r="G237" s="633">
        <f>F237*CCBASE!$B$51</f>
        <v>882</v>
      </c>
      <c r="H237" s="633">
        <f>CCBASE!$I$12*B237/1000</f>
        <v>149.56317162500002</v>
      </c>
      <c r="I237" s="633"/>
      <c r="J237" s="633"/>
      <c r="K237" s="633"/>
      <c r="L237" s="633">
        <f>CCBASE!$I$13*B237/1000</f>
        <v>299.42206874999999</v>
      </c>
      <c r="M237" s="633"/>
      <c r="N237" s="633">
        <f>CCBASE!$I$7*B237/1000</f>
        <v>39.427849999999999</v>
      </c>
      <c r="O237" s="633">
        <f>CCBASE!$I$45*B237/1000</f>
        <v>12.4625</v>
      </c>
      <c r="P237" s="633"/>
      <c r="Q237" s="633">
        <f>CCBASE!$H$51</f>
        <v>5.16</v>
      </c>
      <c r="R237" s="633">
        <f>CCBASE!$I$4</f>
        <v>8.3986041999999994</v>
      </c>
      <c r="S237" s="633">
        <f>CCBASE!$I$8</f>
        <v>16.25526</v>
      </c>
      <c r="T237" s="633">
        <f>CCBASE!$I$44</f>
        <v>94.69</v>
      </c>
      <c r="U237" s="633">
        <f>CCBASE!$I$47*2</f>
        <v>28.82</v>
      </c>
      <c r="V237" s="633">
        <f>CCBASE!$I$46/2</f>
        <v>1.22</v>
      </c>
      <c r="W237" s="633">
        <f>CCBASE!$I$40*B237/1000</f>
        <v>51.635049999999993</v>
      </c>
      <c r="X237" s="633"/>
      <c r="Y237" s="633"/>
      <c r="Z237" s="633"/>
      <c r="AA237" s="633"/>
      <c r="AB237" s="633"/>
      <c r="AC237" s="633"/>
      <c r="AD237" s="633">
        <f>CCBASE!$I$36*2</f>
        <v>191.630124</v>
      </c>
    </row>
    <row r="238" spans="1:45" x14ac:dyDescent="0.2">
      <c r="A238" s="631" t="s">
        <v>137</v>
      </c>
      <c r="B238" s="631">
        <v>1500</v>
      </c>
      <c r="C238" s="631">
        <v>1250</v>
      </c>
      <c r="D238" s="631" t="str">
        <f t="shared" si="90"/>
        <v>KVF15001250</v>
      </c>
      <c r="E238" s="1054">
        <f t="shared" si="74"/>
        <v>1891.1867566499998</v>
      </c>
      <c r="F238" s="632">
        <v>24.5</v>
      </c>
      <c r="G238" s="633">
        <f>F238*CCBASE!$B$51</f>
        <v>882</v>
      </c>
      <c r="H238" s="633">
        <f>CCBASE!$I$12*B238/1000</f>
        <v>179.47580595000002</v>
      </c>
      <c r="I238" s="633"/>
      <c r="J238" s="633"/>
      <c r="K238" s="633"/>
      <c r="L238" s="633">
        <f>CCBASE!$I$13*B238/1000</f>
        <v>359.30648249999996</v>
      </c>
      <c r="M238" s="633"/>
      <c r="N238" s="633">
        <f>CCBASE!$I$7*B238/1000</f>
        <v>47.313420000000008</v>
      </c>
      <c r="O238" s="633">
        <f>CCBASE!$I$45*B238/1000</f>
        <v>14.955000000000002</v>
      </c>
      <c r="P238" s="633"/>
      <c r="Q238" s="633">
        <f>CCBASE!$H$51</f>
        <v>5.16</v>
      </c>
      <c r="R238" s="633">
        <f>CCBASE!$I$4</f>
        <v>8.3986041999999994</v>
      </c>
      <c r="S238" s="633">
        <f>CCBASE!$I$8</f>
        <v>16.25526</v>
      </c>
      <c r="T238" s="633">
        <f>CCBASE!$I$44</f>
        <v>94.69</v>
      </c>
      <c r="U238" s="633">
        <f>CCBASE!$I$47*2</f>
        <v>28.82</v>
      </c>
      <c r="V238" s="633">
        <f>CCBASE!$I$46/2</f>
        <v>1.22</v>
      </c>
      <c r="W238" s="633">
        <f>CCBASE!$I$40*B238/1000</f>
        <v>61.962060000000001</v>
      </c>
      <c r="X238" s="633"/>
      <c r="Y238" s="633"/>
      <c r="Z238" s="633"/>
      <c r="AA238" s="633"/>
      <c r="AB238" s="633"/>
      <c r="AC238" s="633"/>
      <c r="AD238" s="633">
        <f>CCBASE!$I$36*2</f>
        <v>191.630124</v>
      </c>
    </row>
    <row r="239" spans="1:45" x14ac:dyDescent="0.2">
      <c r="A239" s="631" t="s">
        <v>137</v>
      </c>
      <c r="B239" s="631">
        <v>1750</v>
      </c>
      <c r="C239" s="631">
        <v>1250</v>
      </c>
      <c r="D239" s="631" t="str">
        <f t="shared" si="90"/>
        <v>KVF17501250</v>
      </c>
      <c r="E239" s="1054">
        <f t="shared" si="74"/>
        <v>2002.908884725</v>
      </c>
      <c r="F239" s="632">
        <v>24.5</v>
      </c>
      <c r="G239" s="633">
        <f>F239*CCBASE!$B$51</f>
        <v>882</v>
      </c>
      <c r="H239" s="633">
        <f>CCBASE!$I$12*B239/1000</f>
        <v>209.38844027500002</v>
      </c>
      <c r="I239" s="633"/>
      <c r="J239" s="633"/>
      <c r="K239" s="633"/>
      <c r="L239" s="633">
        <f>CCBASE!$I$13*B239/1000</f>
        <v>419.19089624999998</v>
      </c>
      <c r="M239" s="633"/>
      <c r="N239" s="633">
        <f>CCBASE!$I$7*B239/1000</f>
        <v>55.198990000000002</v>
      </c>
      <c r="O239" s="633">
        <f>CCBASE!$I$45*B239/1000</f>
        <v>17.447500000000002</v>
      </c>
      <c r="P239" s="633"/>
      <c r="Q239" s="633">
        <f>CCBASE!$H$51</f>
        <v>5.16</v>
      </c>
      <c r="R239" s="633">
        <f>CCBASE!$I$4</f>
        <v>8.3986041999999994</v>
      </c>
      <c r="S239" s="633">
        <f>CCBASE!$I$8</f>
        <v>16.25526</v>
      </c>
      <c r="T239" s="633">
        <f>CCBASE!$I$44</f>
        <v>94.69</v>
      </c>
      <c r="U239" s="633">
        <f>CCBASE!$I$47*2</f>
        <v>28.82</v>
      </c>
      <c r="V239" s="633">
        <f>CCBASE!$I$46</f>
        <v>2.44</v>
      </c>
      <c r="W239" s="633">
        <f>CCBASE!$I$40*B239/1000</f>
        <v>72.289069999999995</v>
      </c>
      <c r="X239" s="633"/>
      <c r="Y239" s="633"/>
      <c r="Z239" s="633"/>
      <c r="AA239" s="633"/>
      <c r="AB239" s="633"/>
      <c r="AC239" s="633"/>
      <c r="AD239" s="633">
        <f>CCBASE!$I$36*2</f>
        <v>191.630124</v>
      </c>
    </row>
    <row r="240" spans="1:45" x14ac:dyDescent="0.2">
      <c r="A240" s="631" t="s">
        <v>137</v>
      </c>
      <c r="B240" s="631">
        <v>2000</v>
      </c>
      <c r="C240" s="631">
        <v>1250</v>
      </c>
      <c r="D240" s="631" t="str">
        <f t="shared" ref="D240" si="94">A240&amp;B240&amp;C240</f>
        <v>KVF20001250</v>
      </c>
      <c r="E240" s="1054">
        <f t="shared" si="74"/>
        <v>2113.4110127999998</v>
      </c>
      <c r="F240" s="632">
        <v>24.5</v>
      </c>
      <c r="G240" s="633">
        <f>F240*CCBASE!$B$51</f>
        <v>882</v>
      </c>
      <c r="H240" s="633">
        <f>CCBASE!$I$12*B240/1000</f>
        <v>239.30107460000002</v>
      </c>
      <c r="I240" s="633"/>
      <c r="J240" s="633"/>
      <c r="K240" s="633"/>
      <c r="L240" s="633">
        <f>CCBASE!$I$13*B240/1000</f>
        <v>479.07531</v>
      </c>
      <c r="M240" s="633"/>
      <c r="N240" s="633">
        <f>CCBASE!$I$7*B240/1000</f>
        <v>63.084560000000003</v>
      </c>
      <c r="O240" s="633">
        <f>CCBASE!$I$45*B240/1000</f>
        <v>19.940000000000001</v>
      </c>
      <c r="P240" s="633"/>
      <c r="Q240" s="633">
        <f>CCBASE!$H$51</f>
        <v>5.16</v>
      </c>
      <c r="R240" s="633">
        <f>CCBASE!$I$4</f>
        <v>8.3986041999999994</v>
      </c>
      <c r="S240" s="633">
        <f>CCBASE!$I$8</f>
        <v>16.25526</v>
      </c>
      <c r="T240" s="633">
        <f>CCBASE!$I$44</f>
        <v>94.69</v>
      </c>
      <c r="U240" s="633">
        <f>CCBASE!$I$47*2</f>
        <v>28.82</v>
      </c>
      <c r="V240" s="633">
        <f>CCBASE!$I$46</f>
        <v>2.44</v>
      </c>
      <c r="W240" s="633">
        <f>CCBASE!$I$40*B240/1000</f>
        <v>82.616079999999997</v>
      </c>
      <c r="X240" s="633"/>
      <c r="Y240" s="633"/>
      <c r="Z240" s="633"/>
      <c r="AA240" s="633"/>
      <c r="AB240" s="633"/>
      <c r="AC240" s="633"/>
      <c r="AD240" s="633">
        <f>CCBASE!$I$36*2</f>
        <v>191.630124</v>
      </c>
    </row>
    <row r="241" spans="1:30" x14ac:dyDescent="0.2">
      <c r="A241" s="631" t="s">
        <v>137</v>
      </c>
      <c r="B241" s="631">
        <v>2250</v>
      </c>
      <c r="C241" s="631">
        <v>1250</v>
      </c>
      <c r="D241" s="631" t="str">
        <f t="shared" si="90"/>
        <v>KVF22501250</v>
      </c>
      <c r="E241" s="1054">
        <f t="shared" si="74"/>
        <v>2223.9131408749995</v>
      </c>
      <c r="F241" s="632">
        <v>24.5</v>
      </c>
      <c r="G241" s="633">
        <f>F241*CCBASE!$B$51</f>
        <v>882</v>
      </c>
      <c r="H241" s="633">
        <f>CCBASE!$I$12*B241/1000</f>
        <v>269.21370892500005</v>
      </c>
      <c r="I241" s="633"/>
      <c r="J241" s="633"/>
      <c r="K241" s="633"/>
      <c r="L241" s="633">
        <f>CCBASE!$I$13*B241/1000</f>
        <v>538.95972374999997</v>
      </c>
      <c r="M241" s="633"/>
      <c r="N241" s="633">
        <f>CCBASE!$I$7*B241/1000</f>
        <v>70.970130000000012</v>
      </c>
      <c r="O241" s="633">
        <f>CCBASE!$I$45*B241/1000</f>
        <v>22.432500000000001</v>
      </c>
      <c r="P241" s="633"/>
      <c r="Q241" s="633">
        <f>CCBASE!$H$51</f>
        <v>5.16</v>
      </c>
      <c r="R241" s="633">
        <f>CCBASE!$I$4</f>
        <v>8.3986041999999994</v>
      </c>
      <c r="S241" s="633">
        <f>CCBASE!$I$8</f>
        <v>16.25526</v>
      </c>
      <c r="T241" s="633">
        <f>CCBASE!$I$44</f>
        <v>94.69</v>
      </c>
      <c r="U241" s="633">
        <f>CCBASE!$I$47*2</f>
        <v>28.82</v>
      </c>
      <c r="V241" s="633">
        <f>CCBASE!$I$46</f>
        <v>2.44</v>
      </c>
      <c r="W241" s="633">
        <f>CCBASE!$I$40*B241/1000</f>
        <v>92.943089999999998</v>
      </c>
      <c r="X241" s="633"/>
      <c r="Y241" s="633"/>
      <c r="Z241" s="633"/>
      <c r="AA241" s="633"/>
      <c r="AB241" s="633"/>
      <c r="AC241" s="633"/>
      <c r="AD241" s="633">
        <f>CCBASE!$I$36*2</f>
        <v>191.630124</v>
      </c>
    </row>
    <row r="242" spans="1:30" x14ac:dyDescent="0.2">
      <c r="A242" s="631" t="s">
        <v>137</v>
      </c>
      <c r="B242" s="631">
        <v>2500</v>
      </c>
      <c r="C242" s="631">
        <v>1250</v>
      </c>
      <c r="D242" s="631" t="str">
        <f t="shared" ref="D242" si="95">A242&amp;B242&amp;C242</f>
        <v>KVF25001250</v>
      </c>
      <c r="E242" s="1054">
        <f t="shared" si="74"/>
        <v>2370.4152689500002</v>
      </c>
      <c r="F242" s="632">
        <v>25.5</v>
      </c>
      <c r="G242" s="633">
        <f>F242*CCBASE!$B$51</f>
        <v>918</v>
      </c>
      <c r="H242" s="633">
        <f>CCBASE!$I$12*B242/1000</f>
        <v>299.12634325000005</v>
      </c>
      <c r="I242" s="633"/>
      <c r="J242" s="633"/>
      <c r="K242" s="633"/>
      <c r="L242" s="633">
        <f>CCBASE!$I$13*B242/1000</f>
        <v>598.84413749999999</v>
      </c>
      <c r="M242" s="633"/>
      <c r="N242" s="633">
        <f>CCBASE!$I$7*B242/1000</f>
        <v>78.855699999999999</v>
      </c>
      <c r="O242" s="633">
        <f>CCBASE!$I$45*B242/1000</f>
        <v>24.925000000000001</v>
      </c>
      <c r="P242" s="633"/>
      <c r="Q242" s="633">
        <f>CCBASE!$H$51</f>
        <v>5.16</v>
      </c>
      <c r="R242" s="633">
        <f>CCBASE!$I$4</f>
        <v>8.3986041999999994</v>
      </c>
      <c r="S242" s="633">
        <f>CCBASE!$I$8</f>
        <v>16.25526</v>
      </c>
      <c r="T242" s="633">
        <f>CCBASE!$I$44</f>
        <v>94.69</v>
      </c>
      <c r="U242" s="633">
        <f>CCBASE!$I$47*2</f>
        <v>28.82</v>
      </c>
      <c r="V242" s="633">
        <f>CCBASE!$I$46</f>
        <v>2.44</v>
      </c>
      <c r="W242" s="633">
        <f>CCBASE!$I$40*B242/1000</f>
        <v>103.27009999999999</v>
      </c>
      <c r="X242" s="633"/>
      <c r="Y242" s="633"/>
      <c r="Z242" s="633"/>
      <c r="AA242" s="633"/>
      <c r="AB242" s="633"/>
      <c r="AC242" s="633"/>
      <c r="AD242" s="633">
        <f>CCBASE!$I$36*2</f>
        <v>191.630124</v>
      </c>
    </row>
    <row r="243" spans="1:30" x14ac:dyDescent="0.2">
      <c r="A243" s="631" t="s">
        <v>137</v>
      </c>
      <c r="B243" s="631">
        <v>2750</v>
      </c>
      <c r="C243" s="631">
        <v>1250</v>
      </c>
      <c r="D243" s="631" t="str">
        <f t="shared" ref="D243" si="96">A243&amp;B243&amp;C243</f>
        <v>KVF27501250</v>
      </c>
      <c r="E243" s="1054">
        <f t="shared" si="74"/>
        <v>2480.9173970250004</v>
      </c>
      <c r="F243" s="632">
        <v>25.5</v>
      </c>
      <c r="G243" s="633">
        <f>F243*CCBASE!$B$51</f>
        <v>918</v>
      </c>
      <c r="H243" s="633">
        <f>CCBASE!$I$12*B243/1000</f>
        <v>329.03897757500005</v>
      </c>
      <c r="I243" s="633"/>
      <c r="J243" s="633"/>
      <c r="K243" s="633"/>
      <c r="L243" s="633">
        <f>CCBASE!$I$13*B243/1000</f>
        <v>658.72855125000001</v>
      </c>
      <c r="M243" s="633"/>
      <c r="N243" s="633">
        <f>CCBASE!$I$7*B243/1000</f>
        <v>86.74127</v>
      </c>
      <c r="O243" s="633">
        <f>CCBASE!$I$45*B243/1000</f>
        <v>27.4175</v>
      </c>
      <c r="P243" s="633"/>
      <c r="Q243" s="633">
        <f>CCBASE!$H$51</f>
        <v>5.16</v>
      </c>
      <c r="R243" s="633">
        <f>CCBASE!$I$4</f>
        <v>8.3986041999999994</v>
      </c>
      <c r="S243" s="633">
        <f>CCBASE!$I$8</f>
        <v>16.25526</v>
      </c>
      <c r="T243" s="633">
        <f>CCBASE!$I$44</f>
        <v>94.69</v>
      </c>
      <c r="U243" s="633">
        <f>CCBASE!$I$47*2</f>
        <v>28.82</v>
      </c>
      <c r="V243" s="633">
        <f>CCBASE!$I$46</f>
        <v>2.44</v>
      </c>
      <c r="W243" s="633">
        <f>CCBASE!$I$40*B243/1000</f>
        <v>113.59711</v>
      </c>
      <c r="X243" s="633"/>
      <c r="Y243" s="633"/>
      <c r="Z243" s="633"/>
      <c r="AA243" s="633"/>
      <c r="AB243" s="633"/>
      <c r="AC243" s="633"/>
      <c r="AD243" s="633">
        <f>CCBASE!$I$36*2</f>
        <v>191.630124</v>
      </c>
    </row>
    <row r="244" spans="1:30" x14ac:dyDescent="0.2">
      <c r="A244" s="631" t="s">
        <v>137</v>
      </c>
      <c r="B244" s="631">
        <v>3000</v>
      </c>
      <c r="C244" s="631">
        <v>1250</v>
      </c>
      <c r="D244" s="631" t="str">
        <f t="shared" si="90"/>
        <v>KVF30001250</v>
      </c>
      <c r="E244" s="1054">
        <f t="shared" si="74"/>
        <v>2591.4195250999996</v>
      </c>
      <c r="F244" s="632">
        <v>25.5</v>
      </c>
      <c r="G244" s="633">
        <f>F244*CCBASE!$B$51</f>
        <v>918</v>
      </c>
      <c r="H244" s="633">
        <f>CCBASE!$I$12*B244/1000</f>
        <v>358.95161190000005</v>
      </c>
      <c r="I244" s="633"/>
      <c r="J244" s="633"/>
      <c r="K244" s="633"/>
      <c r="L244" s="633">
        <f>CCBASE!$I$13*B244/1000</f>
        <v>718.61296499999992</v>
      </c>
      <c r="M244" s="633"/>
      <c r="N244" s="633">
        <f>CCBASE!$I$7*B244/1000</f>
        <v>94.626840000000016</v>
      </c>
      <c r="O244" s="633">
        <f>CCBASE!$I$45*B244/1000</f>
        <v>29.910000000000004</v>
      </c>
      <c r="P244" s="633"/>
      <c r="Q244" s="633">
        <f>CCBASE!$H$51</f>
        <v>5.16</v>
      </c>
      <c r="R244" s="633">
        <f>CCBASE!$I$4</f>
        <v>8.3986041999999994</v>
      </c>
      <c r="S244" s="633">
        <f>CCBASE!$I$8</f>
        <v>16.25526</v>
      </c>
      <c r="T244" s="633">
        <f>CCBASE!$I$44</f>
        <v>94.69</v>
      </c>
      <c r="U244" s="633">
        <f>CCBASE!$I$47*2</f>
        <v>28.82</v>
      </c>
      <c r="V244" s="633">
        <f>CCBASE!$I$46</f>
        <v>2.44</v>
      </c>
      <c r="W244" s="633">
        <f>CCBASE!$I$40*B244/1000</f>
        <v>123.92412</v>
      </c>
      <c r="X244" s="633"/>
      <c r="Y244" s="633"/>
      <c r="Z244" s="633"/>
      <c r="AA244" s="633"/>
      <c r="AB244" s="633"/>
      <c r="AC244" s="633"/>
      <c r="AD244" s="633">
        <f>CCBASE!$I$36*2</f>
        <v>191.630124</v>
      </c>
    </row>
    <row r="245" spans="1:30" x14ac:dyDescent="0.2">
      <c r="A245" s="631" t="s">
        <v>137</v>
      </c>
      <c r="B245" s="631">
        <v>1000</v>
      </c>
      <c r="C245" s="631">
        <v>1500</v>
      </c>
      <c r="D245" s="631" t="str">
        <f t="shared" si="90"/>
        <v>KVF10001500</v>
      </c>
      <c r="E245" s="1054">
        <f t="shared" si="74"/>
        <v>1722.0150125</v>
      </c>
      <c r="F245" s="632">
        <v>24.5</v>
      </c>
      <c r="G245" s="633">
        <f>F245*CCBASE!$B$51</f>
        <v>882</v>
      </c>
      <c r="H245" s="633">
        <f>CCBASE!$I$12*B245/1000</f>
        <v>119.65053730000001</v>
      </c>
      <c r="I245" s="633"/>
      <c r="J245" s="633"/>
      <c r="K245" s="633"/>
      <c r="L245" s="633">
        <f>CCBASE!$I$13*B245/1000</f>
        <v>239.537655</v>
      </c>
      <c r="M245" s="633"/>
      <c r="N245" s="633">
        <f>CCBASE!$I$7*B245/1000</f>
        <v>31.542280000000002</v>
      </c>
      <c r="O245" s="633">
        <f>CCBASE!$I$45*B245/1000</f>
        <v>9.9700000000000006</v>
      </c>
      <c r="P245" s="633"/>
      <c r="Q245" s="633">
        <f>CCBASE!$H$51</f>
        <v>5.16</v>
      </c>
      <c r="R245" s="633">
        <f>CCBASE!$I$4</f>
        <v>8.3986041999999994</v>
      </c>
      <c r="S245" s="633">
        <f>CCBASE!$I$8</f>
        <v>16.25526</v>
      </c>
      <c r="T245" s="633">
        <f>CCBASE!$I$44</f>
        <v>94.69</v>
      </c>
      <c r="U245" s="633">
        <f>CCBASE!$I$47</f>
        <v>14.41</v>
      </c>
      <c r="V245" s="633">
        <f>CCBASE!$I$46/2</f>
        <v>1.22</v>
      </c>
      <c r="W245" s="633">
        <f>CCBASE!$I$41*B245/1000</f>
        <v>59.051569999999998</v>
      </c>
      <c r="X245" s="633"/>
      <c r="Y245" s="633"/>
      <c r="Z245" s="633"/>
      <c r="AA245" s="633"/>
      <c r="AB245" s="633"/>
      <c r="AC245" s="633"/>
      <c r="AD245" s="633">
        <f>CCBASE!$I$37*2</f>
        <v>240.12910599999998</v>
      </c>
    </row>
    <row r="246" spans="1:30" x14ac:dyDescent="0.2">
      <c r="A246" s="631" t="s">
        <v>137</v>
      </c>
      <c r="B246" s="631">
        <v>1250</v>
      </c>
      <c r="C246" s="631">
        <v>1500</v>
      </c>
      <c r="D246" s="631" t="str">
        <f t="shared" ref="D246" si="97">A246&amp;B246&amp;C246</f>
        <v>KVF12501500</v>
      </c>
      <c r="E246" s="1054">
        <f t="shared" si="74"/>
        <v>1851.363023075</v>
      </c>
      <c r="F246" s="632">
        <v>24.5</v>
      </c>
      <c r="G246" s="633">
        <f>F246*CCBASE!$B$51</f>
        <v>882</v>
      </c>
      <c r="H246" s="633">
        <f>CCBASE!$I$12*B246/1000</f>
        <v>149.56317162500002</v>
      </c>
      <c r="I246" s="633"/>
      <c r="J246" s="633"/>
      <c r="K246" s="633"/>
      <c r="L246" s="633">
        <f>CCBASE!$I$13*B246/1000</f>
        <v>299.42206874999999</v>
      </c>
      <c r="M246" s="633"/>
      <c r="N246" s="633">
        <f>CCBASE!$I$7*B246/1000</f>
        <v>39.427849999999999</v>
      </c>
      <c r="O246" s="633">
        <f>CCBASE!$I$45*B246/1000</f>
        <v>12.4625</v>
      </c>
      <c r="P246" s="633"/>
      <c r="Q246" s="633">
        <f>CCBASE!$H$51</f>
        <v>5.16</v>
      </c>
      <c r="R246" s="633">
        <f>CCBASE!$I$4</f>
        <v>8.3986041999999994</v>
      </c>
      <c r="S246" s="633">
        <f>CCBASE!$I$8</f>
        <v>16.25526</v>
      </c>
      <c r="T246" s="633">
        <f>CCBASE!$I$44</f>
        <v>94.69</v>
      </c>
      <c r="U246" s="633">
        <f>CCBASE!$I$47*2</f>
        <v>28.82</v>
      </c>
      <c r="V246" s="633">
        <f>CCBASE!$I$46/2</f>
        <v>1.22</v>
      </c>
      <c r="W246" s="633">
        <f>CCBASE!$I$41*B246/1000</f>
        <v>73.814462499999991</v>
      </c>
      <c r="X246" s="633"/>
      <c r="Y246" s="633"/>
      <c r="Z246" s="633"/>
      <c r="AA246" s="633"/>
      <c r="AB246" s="633"/>
      <c r="AC246" s="633"/>
      <c r="AD246" s="633">
        <f>CCBASE!$I$37*2</f>
        <v>240.12910599999998</v>
      </c>
    </row>
    <row r="247" spans="1:30" x14ac:dyDescent="0.2">
      <c r="A247" s="631" t="s">
        <v>137</v>
      </c>
      <c r="B247" s="631">
        <v>1500</v>
      </c>
      <c r="C247" s="631">
        <v>1500</v>
      </c>
      <c r="D247" s="631" t="str">
        <f t="shared" si="90"/>
        <v>KVF15001500</v>
      </c>
      <c r="E247" s="1054">
        <f t="shared" si="74"/>
        <v>1966.3010336499997</v>
      </c>
      <c r="F247" s="632">
        <v>24.5</v>
      </c>
      <c r="G247" s="633">
        <f>F247*CCBASE!$B$51</f>
        <v>882</v>
      </c>
      <c r="H247" s="633">
        <f>CCBASE!$I$12*B247/1000</f>
        <v>179.47580595000002</v>
      </c>
      <c r="I247" s="633"/>
      <c r="J247" s="633"/>
      <c r="K247" s="633"/>
      <c r="L247" s="633">
        <f>CCBASE!$I$13*B247/1000</f>
        <v>359.30648249999996</v>
      </c>
      <c r="M247" s="633"/>
      <c r="N247" s="633">
        <f>CCBASE!$I$7*B247/1000</f>
        <v>47.313420000000008</v>
      </c>
      <c r="O247" s="633">
        <f>CCBASE!$I$45*B247/1000</f>
        <v>14.955000000000002</v>
      </c>
      <c r="P247" s="633"/>
      <c r="Q247" s="633">
        <f>CCBASE!$H$51</f>
        <v>5.16</v>
      </c>
      <c r="R247" s="633">
        <f>CCBASE!$I$4</f>
        <v>8.3986041999999994</v>
      </c>
      <c r="S247" s="633">
        <f>CCBASE!$I$8</f>
        <v>16.25526</v>
      </c>
      <c r="T247" s="633">
        <f>CCBASE!$I$44</f>
        <v>94.69</v>
      </c>
      <c r="U247" s="633">
        <f>CCBASE!$I$47*2</f>
        <v>28.82</v>
      </c>
      <c r="V247" s="633">
        <f>CCBASE!$I$46/2</f>
        <v>1.22</v>
      </c>
      <c r="W247" s="633">
        <f>CCBASE!$I$41*B247/1000</f>
        <v>88.577354999999997</v>
      </c>
      <c r="X247" s="633"/>
      <c r="Y247" s="633"/>
      <c r="Z247" s="633"/>
      <c r="AA247" s="633"/>
      <c r="AB247" s="633"/>
      <c r="AC247" s="633"/>
      <c r="AD247" s="633">
        <f>CCBASE!$I$37*2</f>
        <v>240.12910599999998</v>
      </c>
    </row>
    <row r="248" spans="1:30" x14ac:dyDescent="0.2">
      <c r="A248" s="631" t="s">
        <v>137</v>
      </c>
      <c r="B248" s="631">
        <v>1750</v>
      </c>
      <c r="C248" s="631">
        <v>1500</v>
      </c>
      <c r="D248" s="631" t="str">
        <f t="shared" ref="D248" si="98">A248&amp;B248&amp;C248</f>
        <v>KVF17501500</v>
      </c>
      <c r="E248" s="1054">
        <f t="shared" si="74"/>
        <v>2082.4590442250001</v>
      </c>
      <c r="F248" s="632">
        <v>24.5</v>
      </c>
      <c r="G248" s="633">
        <f>F248*CCBASE!$B$51</f>
        <v>882</v>
      </c>
      <c r="H248" s="633">
        <f>CCBASE!$I$12*B248/1000</f>
        <v>209.38844027500002</v>
      </c>
      <c r="I248" s="633"/>
      <c r="J248" s="633"/>
      <c r="K248" s="633"/>
      <c r="L248" s="633">
        <f>CCBASE!$I$13*B248/1000</f>
        <v>419.19089624999998</v>
      </c>
      <c r="M248" s="633"/>
      <c r="N248" s="633">
        <f>CCBASE!$I$7*B248/1000</f>
        <v>55.198990000000002</v>
      </c>
      <c r="O248" s="633">
        <f>CCBASE!$I$45*B248/1000</f>
        <v>17.447500000000002</v>
      </c>
      <c r="P248" s="633"/>
      <c r="Q248" s="633">
        <f>CCBASE!$H$51</f>
        <v>5.16</v>
      </c>
      <c r="R248" s="633">
        <f>CCBASE!$I$4</f>
        <v>8.3986041999999994</v>
      </c>
      <c r="S248" s="633">
        <f>CCBASE!$I$8</f>
        <v>16.25526</v>
      </c>
      <c r="T248" s="633">
        <f>CCBASE!$I$44</f>
        <v>94.69</v>
      </c>
      <c r="U248" s="633">
        <f>CCBASE!$I$47*2</f>
        <v>28.82</v>
      </c>
      <c r="V248" s="633">
        <f>CCBASE!$I$46</f>
        <v>2.44</v>
      </c>
      <c r="W248" s="633">
        <f>CCBASE!$I$41*B248/1000</f>
        <v>103.3402475</v>
      </c>
      <c r="X248" s="633"/>
      <c r="Y248" s="633"/>
      <c r="Z248" s="633"/>
      <c r="AA248" s="633"/>
      <c r="AB248" s="633"/>
      <c r="AC248" s="633"/>
      <c r="AD248" s="633">
        <f>CCBASE!$I$37*2</f>
        <v>240.12910599999998</v>
      </c>
    </row>
    <row r="249" spans="1:30" x14ac:dyDescent="0.2">
      <c r="A249" s="631" t="s">
        <v>137</v>
      </c>
      <c r="B249" s="631">
        <v>2000</v>
      </c>
      <c r="C249" s="631">
        <v>1500</v>
      </c>
      <c r="D249" s="631" t="str">
        <f t="shared" si="90"/>
        <v>KVF20001500</v>
      </c>
      <c r="E249" s="1054">
        <f t="shared" si="74"/>
        <v>2197.3970547999998</v>
      </c>
      <c r="F249" s="632">
        <v>24.5</v>
      </c>
      <c r="G249" s="633">
        <f>F249*CCBASE!$B$51</f>
        <v>882</v>
      </c>
      <c r="H249" s="633">
        <f>CCBASE!$I$12*B249/1000</f>
        <v>239.30107460000002</v>
      </c>
      <c r="I249" s="633"/>
      <c r="J249" s="633"/>
      <c r="K249" s="633"/>
      <c r="L249" s="633">
        <f>CCBASE!$I$13*B249/1000</f>
        <v>479.07531</v>
      </c>
      <c r="M249" s="633"/>
      <c r="N249" s="633">
        <f>CCBASE!$I$7*B249/1000</f>
        <v>63.084560000000003</v>
      </c>
      <c r="O249" s="633">
        <f>CCBASE!$I$45*B249/1000</f>
        <v>19.940000000000001</v>
      </c>
      <c r="P249" s="633"/>
      <c r="Q249" s="633">
        <f>CCBASE!$H$51</f>
        <v>5.16</v>
      </c>
      <c r="R249" s="633">
        <f>CCBASE!$I$4</f>
        <v>8.3986041999999994</v>
      </c>
      <c r="S249" s="633">
        <f>CCBASE!$I$8</f>
        <v>16.25526</v>
      </c>
      <c r="T249" s="633">
        <f>CCBASE!$I$44</f>
        <v>94.69</v>
      </c>
      <c r="U249" s="633">
        <f>CCBASE!$I$47*2</f>
        <v>28.82</v>
      </c>
      <c r="V249" s="633">
        <f>CCBASE!$I$46</f>
        <v>2.44</v>
      </c>
      <c r="W249" s="633">
        <f>CCBASE!$I$41*B249/1000</f>
        <v>118.10314</v>
      </c>
      <c r="X249" s="633"/>
      <c r="Y249" s="633"/>
      <c r="Z249" s="633"/>
      <c r="AA249" s="633"/>
      <c r="AB249" s="633"/>
      <c r="AC249" s="633"/>
      <c r="AD249" s="633">
        <f>CCBASE!$I$37*2</f>
        <v>240.12910599999998</v>
      </c>
    </row>
    <row r="250" spans="1:30" x14ac:dyDescent="0.2">
      <c r="A250" s="631" t="s">
        <v>137</v>
      </c>
      <c r="B250" s="631">
        <v>2250</v>
      </c>
      <c r="C250" s="631">
        <v>1500</v>
      </c>
      <c r="D250" s="631" t="str">
        <f t="shared" ref="D250" si="99">A250&amp;B250&amp;C250</f>
        <v>KVF22501500</v>
      </c>
      <c r="E250" s="1054">
        <f t="shared" si="74"/>
        <v>2348.3350653749994</v>
      </c>
      <c r="F250" s="632">
        <v>25.5</v>
      </c>
      <c r="G250" s="633">
        <f>F250*CCBASE!$B$51</f>
        <v>918</v>
      </c>
      <c r="H250" s="633">
        <f>CCBASE!$I$12*B250/1000</f>
        <v>269.21370892500005</v>
      </c>
      <c r="I250" s="633"/>
      <c r="J250" s="633"/>
      <c r="K250" s="633"/>
      <c r="L250" s="633">
        <f>CCBASE!$I$13*B250/1000</f>
        <v>538.95972374999997</v>
      </c>
      <c r="M250" s="633"/>
      <c r="N250" s="633">
        <f>CCBASE!$I$7*B250/1000</f>
        <v>70.970130000000012</v>
      </c>
      <c r="O250" s="633">
        <f>CCBASE!$I$45*B250/1000</f>
        <v>22.432500000000001</v>
      </c>
      <c r="P250" s="633"/>
      <c r="Q250" s="633">
        <f>CCBASE!$H$51</f>
        <v>5.16</v>
      </c>
      <c r="R250" s="633">
        <f>CCBASE!$I$4</f>
        <v>8.3986041999999994</v>
      </c>
      <c r="S250" s="633">
        <f>CCBASE!$I$8</f>
        <v>16.25526</v>
      </c>
      <c r="T250" s="633">
        <f>CCBASE!$I$44</f>
        <v>94.69</v>
      </c>
      <c r="U250" s="633">
        <f>CCBASE!$I$47*2</f>
        <v>28.82</v>
      </c>
      <c r="V250" s="633">
        <f>CCBASE!$I$46</f>
        <v>2.44</v>
      </c>
      <c r="W250" s="633">
        <f>CCBASE!$I$41*B250/1000</f>
        <v>132.86603249999999</v>
      </c>
      <c r="X250" s="633"/>
      <c r="Y250" s="633"/>
      <c r="Z250" s="633"/>
      <c r="AA250" s="633"/>
      <c r="AB250" s="633"/>
      <c r="AC250" s="633"/>
      <c r="AD250" s="633">
        <f>CCBASE!$I$37*2</f>
        <v>240.12910599999998</v>
      </c>
    </row>
    <row r="251" spans="1:30" x14ac:dyDescent="0.2">
      <c r="A251" s="631" t="s">
        <v>137</v>
      </c>
      <c r="B251" s="631">
        <v>2500</v>
      </c>
      <c r="C251" s="631">
        <v>1500</v>
      </c>
      <c r="D251" s="631" t="str">
        <f t="shared" si="90"/>
        <v>KVF25001500</v>
      </c>
      <c r="E251" s="1054">
        <f t="shared" si="74"/>
        <v>2463.27307595</v>
      </c>
      <c r="F251" s="632">
        <v>25.5</v>
      </c>
      <c r="G251" s="633">
        <f>F251*CCBASE!$B$51</f>
        <v>918</v>
      </c>
      <c r="H251" s="633">
        <f>CCBASE!$I$12*B251/1000</f>
        <v>299.12634325000005</v>
      </c>
      <c r="I251" s="633"/>
      <c r="J251" s="633"/>
      <c r="K251" s="633"/>
      <c r="L251" s="633">
        <f>CCBASE!$I$13*B251/1000</f>
        <v>598.84413749999999</v>
      </c>
      <c r="M251" s="633"/>
      <c r="N251" s="633">
        <f>CCBASE!$I$7*B251/1000</f>
        <v>78.855699999999999</v>
      </c>
      <c r="O251" s="633">
        <f>CCBASE!$I$45*B251/1000</f>
        <v>24.925000000000001</v>
      </c>
      <c r="P251" s="633"/>
      <c r="Q251" s="633">
        <f>CCBASE!$H$51</f>
        <v>5.16</v>
      </c>
      <c r="R251" s="633">
        <f>CCBASE!$I$4</f>
        <v>8.3986041999999994</v>
      </c>
      <c r="S251" s="633">
        <f>CCBASE!$I$8</f>
        <v>16.25526</v>
      </c>
      <c r="T251" s="633">
        <f>CCBASE!$I$44</f>
        <v>94.69</v>
      </c>
      <c r="U251" s="633">
        <f>CCBASE!$I$47*2</f>
        <v>28.82</v>
      </c>
      <c r="V251" s="633">
        <f>CCBASE!$I$46</f>
        <v>2.44</v>
      </c>
      <c r="W251" s="633">
        <f>CCBASE!$I$41*B251/1000</f>
        <v>147.62892499999998</v>
      </c>
      <c r="X251" s="633"/>
      <c r="Y251" s="633"/>
      <c r="Z251" s="633"/>
      <c r="AA251" s="633"/>
      <c r="AB251" s="633"/>
      <c r="AC251" s="633"/>
      <c r="AD251" s="633">
        <f>CCBASE!$I$37*2</f>
        <v>240.12910599999998</v>
      </c>
    </row>
    <row r="252" spans="1:30" x14ac:dyDescent="0.2">
      <c r="A252" s="631" t="s">
        <v>137</v>
      </c>
      <c r="B252" s="631">
        <v>2750</v>
      </c>
      <c r="C252" s="631">
        <v>1500</v>
      </c>
      <c r="D252" s="631" t="str">
        <f t="shared" ref="D252" si="100">A252&amp;B252&amp;C252</f>
        <v>KVF27501500</v>
      </c>
      <c r="E252" s="1054">
        <f t="shared" si="74"/>
        <v>2578.2110865250002</v>
      </c>
      <c r="F252" s="632">
        <v>25.5</v>
      </c>
      <c r="G252" s="633">
        <f>F252*CCBASE!$B$51</f>
        <v>918</v>
      </c>
      <c r="H252" s="633">
        <f>CCBASE!$I$12*B252/1000</f>
        <v>329.03897757500005</v>
      </c>
      <c r="I252" s="633"/>
      <c r="J252" s="633"/>
      <c r="K252" s="633"/>
      <c r="L252" s="633">
        <f>CCBASE!$I$13*B252/1000</f>
        <v>658.72855125000001</v>
      </c>
      <c r="M252" s="633"/>
      <c r="N252" s="633">
        <f>CCBASE!$I$7*B252/1000</f>
        <v>86.74127</v>
      </c>
      <c r="O252" s="633">
        <f>CCBASE!$I$45*B252/1000</f>
        <v>27.4175</v>
      </c>
      <c r="P252" s="633"/>
      <c r="Q252" s="633">
        <f>CCBASE!$H$51</f>
        <v>5.16</v>
      </c>
      <c r="R252" s="633">
        <f>CCBASE!$I$4</f>
        <v>8.3986041999999994</v>
      </c>
      <c r="S252" s="633">
        <f>CCBASE!$I$8</f>
        <v>16.25526</v>
      </c>
      <c r="T252" s="633">
        <f>CCBASE!$I$44</f>
        <v>94.69</v>
      </c>
      <c r="U252" s="633">
        <f>CCBASE!$I$47*2</f>
        <v>28.82</v>
      </c>
      <c r="V252" s="633">
        <f>CCBASE!$I$46</f>
        <v>2.44</v>
      </c>
      <c r="W252" s="633">
        <f>CCBASE!$I$41*B252/1000</f>
        <v>162.3918175</v>
      </c>
      <c r="X252" s="633"/>
      <c r="Y252" s="633"/>
      <c r="Z252" s="633"/>
      <c r="AA252" s="633"/>
      <c r="AB252" s="633"/>
      <c r="AC252" s="633"/>
      <c r="AD252" s="633">
        <f>CCBASE!$I$37*2</f>
        <v>240.12910599999998</v>
      </c>
    </row>
    <row r="253" spans="1:30" x14ac:dyDescent="0.2">
      <c r="A253" s="631" t="s">
        <v>137</v>
      </c>
      <c r="B253" s="631">
        <v>3000</v>
      </c>
      <c r="C253" s="631">
        <v>1500</v>
      </c>
      <c r="D253" s="631" t="str">
        <f t="shared" si="90"/>
        <v>KVF30001500</v>
      </c>
      <c r="E253" s="1054">
        <f t="shared" si="74"/>
        <v>2693.1490970999994</v>
      </c>
      <c r="F253" s="632">
        <v>25.5</v>
      </c>
      <c r="G253" s="633">
        <f>F253*CCBASE!$B$51</f>
        <v>918</v>
      </c>
      <c r="H253" s="633">
        <f>CCBASE!$I$12*B253/1000</f>
        <v>358.95161190000005</v>
      </c>
      <c r="I253" s="633"/>
      <c r="J253" s="633"/>
      <c r="K253" s="633"/>
      <c r="L253" s="633">
        <f>CCBASE!$I$13*B253/1000</f>
        <v>718.61296499999992</v>
      </c>
      <c r="M253" s="633"/>
      <c r="N253" s="633">
        <f>CCBASE!$I$7*B253/1000</f>
        <v>94.626840000000016</v>
      </c>
      <c r="O253" s="633">
        <f>CCBASE!$I$45*B253/1000</f>
        <v>29.910000000000004</v>
      </c>
      <c r="P253" s="633"/>
      <c r="Q253" s="633">
        <f>CCBASE!$H$51</f>
        <v>5.16</v>
      </c>
      <c r="R253" s="633">
        <f>CCBASE!$I$4</f>
        <v>8.3986041999999994</v>
      </c>
      <c r="S253" s="633">
        <f>CCBASE!$I$8</f>
        <v>16.25526</v>
      </c>
      <c r="T253" s="633">
        <f>CCBASE!$I$44</f>
        <v>94.69</v>
      </c>
      <c r="U253" s="633">
        <f>CCBASE!$I$47*2</f>
        <v>28.82</v>
      </c>
      <c r="V253" s="633">
        <f>CCBASE!$I$46</f>
        <v>2.44</v>
      </c>
      <c r="W253" s="633">
        <f>CCBASE!$I$41*B253/1000</f>
        <v>177.15470999999999</v>
      </c>
      <c r="X253" s="633"/>
      <c r="Y253" s="633"/>
      <c r="Z253" s="633"/>
      <c r="AA253" s="633"/>
      <c r="AB253" s="633"/>
      <c r="AC253" s="633"/>
      <c r="AD253" s="633">
        <f>CCBASE!$I$37*2</f>
        <v>240.12910599999998</v>
      </c>
    </row>
    <row r="254" spans="1:30" x14ac:dyDescent="0.2">
      <c r="A254" s="631" t="s">
        <v>137</v>
      </c>
      <c r="B254" s="631">
        <v>1000</v>
      </c>
      <c r="C254" s="631">
        <v>1750</v>
      </c>
      <c r="D254" s="631" t="str">
        <f t="shared" si="90"/>
        <v>KVF10001750</v>
      </c>
      <c r="E254" s="1054">
        <f t="shared" si="74"/>
        <v>1765.7823865</v>
      </c>
      <c r="F254" s="632">
        <v>24.5</v>
      </c>
      <c r="G254" s="633">
        <f>F254*CCBASE!$B$51</f>
        <v>882</v>
      </c>
      <c r="H254" s="633">
        <f>CCBASE!$I$12*B254/1000</f>
        <v>119.65053730000001</v>
      </c>
      <c r="I254" s="633"/>
      <c r="J254" s="633"/>
      <c r="K254" s="633"/>
      <c r="L254" s="633">
        <f>CCBASE!$I$13*B254/1000</f>
        <v>239.537655</v>
      </c>
      <c r="M254" s="633"/>
      <c r="N254" s="633">
        <f>CCBASE!$I$7*B254/1000</f>
        <v>31.542280000000002</v>
      </c>
      <c r="O254" s="633">
        <f>CCBASE!$I$45*B254/1000</f>
        <v>9.9700000000000006</v>
      </c>
      <c r="P254" s="633"/>
      <c r="Q254" s="633">
        <f>CCBASE!$H$51</f>
        <v>5.16</v>
      </c>
      <c r="R254" s="633">
        <f>CCBASE!$I$4</f>
        <v>8.3986041999999994</v>
      </c>
      <c r="S254" s="633">
        <f>CCBASE!$I$8</f>
        <v>16.25526</v>
      </c>
      <c r="T254" s="633">
        <f>CCBASE!$I$44</f>
        <v>94.69</v>
      </c>
      <c r="U254" s="633">
        <f>CCBASE!$I$47</f>
        <v>14.41</v>
      </c>
      <c r="V254" s="633">
        <f>CCBASE!$I$46/2</f>
        <v>1.22</v>
      </c>
      <c r="W254" s="633">
        <f>CCBASE!$I$42*B254/1000</f>
        <v>70.880589999999998</v>
      </c>
      <c r="X254" s="633"/>
      <c r="Y254" s="633"/>
      <c r="Z254" s="633"/>
      <c r="AA254" s="633"/>
      <c r="AB254" s="633"/>
      <c r="AC254" s="633"/>
      <c r="AD254" s="633">
        <f>CCBASE!$I$38*2</f>
        <v>272.06745999999998</v>
      </c>
    </row>
    <row r="255" spans="1:30" x14ac:dyDescent="0.2">
      <c r="A255" s="631" t="s">
        <v>137</v>
      </c>
      <c r="B255" s="631">
        <v>1250</v>
      </c>
      <c r="C255" s="631">
        <v>1750</v>
      </c>
      <c r="D255" s="631" t="str">
        <f t="shared" ref="D255" si="101">A255&amp;B255&amp;C255</f>
        <v>KVF12501750</v>
      </c>
      <c r="E255" s="1054">
        <f t="shared" si="74"/>
        <v>1898.0876520750001</v>
      </c>
      <c r="F255" s="632">
        <v>24.5</v>
      </c>
      <c r="G255" s="633">
        <f>F255*CCBASE!$B$51</f>
        <v>882</v>
      </c>
      <c r="H255" s="633">
        <f>CCBASE!$I$12*B255/1000</f>
        <v>149.56317162500002</v>
      </c>
      <c r="I255" s="633"/>
      <c r="J255" s="633"/>
      <c r="K255" s="633"/>
      <c r="L255" s="633">
        <f>CCBASE!$I$13*B255/1000</f>
        <v>299.42206874999999</v>
      </c>
      <c r="M255" s="633"/>
      <c r="N255" s="633">
        <f>CCBASE!$I$7*B255/1000</f>
        <v>39.427849999999999</v>
      </c>
      <c r="O255" s="633">
        <f>CCBASE!$I$45*B255/1000</f>
        <v>12.4625</v>
      </c>
      <c r="P255" s="633"/>
      <c r="Q255" s="633">
        <f>CCBASE!$H$51</f>
        <v>5.16</v>
      </c>
      <c r="R255" s="633">
        <f>CCBASE!$I$4</f>
        <v>8.3986041999999994</v>
      </c>
      <c r="S255" s="633">
        <f>CCBASE!$I$8</f>
        <v>16.25526</v>
      </c>
      <c r="T255" s="633">
        <f>CCBASE!$I$44</f>
        <v>94.69</v>
      </c>
      <c r="U255" s="633">
        <f>CCBASE!$I$47*2</f>
        <v>28.82</v>
      </c>
      <c r="V255" s="633">
        <f>CCBASE!$I$46/2</f>
        <v>1.22</v>
      </c>
      <c r="W255" s="633">
        <f>CCBASE!$I$42*B255/1000</f>
        <v>88.600737500000008</v>
      </c>
      <c r="X255" s="633"/>
      <c r="Y255" s="633"/>
      <c r="Z255" s="633"/>
      <c r="AA255" s="633"/>
      <c r="AB255" s="633"/>
      <c r="AC255" s="633"/>
      <c r="AD255" s="633">
        <f>CCBASE!$I$38*2</f>
        <v>272.06745999999998</v>
      </c>
    </row>
    <row r="256" spans="1:30" x14ac:dyDescent="0.2">
      <c r="A256" s="631" t="s">
        <v>137</v>
      </c>
      <c r="B256" s="631">
        <v>1500</v>
      </c>
      <c r="C256" s="631">
        <v>1750</v>
      </c>
      <c r="D256" s="631" t="str">
        <f t="shared" si="90"/>
        <v>KVF15001750</v>
      </c>
      <c r="E256" s="1054">
        <f t="shared" si="74"/>
        <v>2015.9829176499998</v>
      </c>
      <c r="F256" s="632">
        <v>24.5</v>
      </c>
      <c r="G256" s="633">
        <f>F256*CCBASE!$B$51</f>
        <v>882</v>
      </c>
      <c r="H256" s="633">
        <f>CCBASE!$I$12*B256/1000</f>
        <v>179.47580595000002</v>
      </c>
      <c r="I256" s="633"/>
      <c r="J256" s="633"/>
      <c r="K256" s="633"/>
      <c r="L256" s="633">
        <f>CCBASE!$I$13*B256/1000</f>
        <v>359.30648249999996</v>
      </c>
      <c r="M256" s="633"/>
      <c r="N256" s="633">
        <f>CCBASE!$I$7*B256/1000</f>
        <v>47.313420000000008</v>
      </c>
      <c r="O256" s="633">
        <f>CCBASE!$I$45*B256/1000</f>
        <v>14.955000000000002</v>
      </c>
      <c r="P256" s="633"/>
      <c r="Q256" s="633">
        <f>CCBASE!$H$51</f>
        <v>5.16</v>
      </c>
      <c r="R256" s="633">
        <f>CCBASE!$I$4</f>
        <v>8.3986041999999994</v>
      </c>
      <c r="S256" s="633">
        <f>CCBASE!$I$8</f>
        <v>16.25526</v>
      </c>
      <c r="T256" s="633">
        <f>CCBASE!$I$44</f>
        <v>94.69</v>
      </c>
      <c r="U256" s="633">
        <f>CCBASE!$I$47*2</f>
        <v>28.82</v>
      </c>
      <c r="V256" s="633">
        <f>CCBASE!$I$46/2</f>
        <v>1.22</v>
      </c>
      <c r="W256" s="633">
        <f>CCBASE!$I$42*B256/1000</f>
        <v>106.32088499999999</v>
      </c>
      <c r="X256" s="633"/>
      <c r="Y256" s="633"/>
      <c r="Z256" s="633"/>
      <c r="AA256" s="633"/>
      <c r="AB256" s="633"/>
      <c r="AC256" s="633"/>
      <c r="AD256" s="633">
        <f>CCBASE!$I$38*2</f>
        <v>272.06745999999998</v>
      </c>
    </row>
    <row r="257" spans="1:30" x14ac:dyDescent="0.2">
      <c r="A257" s="631" t="s">
        <v>137</v>
      </c>
      <c r="B257" s="631">
        <v>1750</v>
      </c>
      <c r="C257" s="631">
        <v>1750</v>
      </c>
      <c r="D257" s="631" t="str">
        <f t="shared" ref="D257" si="102">A257&amp;B257&amp;C257</f>
        <v>KVF17501750</v>
      </c>
      <c r="E257" s="1054">
        <f t="shared" si="74"/>
        <v>2135.098183225</v>
      </c>
      <c r="F257" s="632">
        <v>24.5</v>
      </c>
      <c r="G257" s="633">
        <f>F257*CCBASE!$B$51</f>
        <v>882</v>
      </c>
      <c r="H257" s="633">
        <f>CCBASE!$I$12*B257/1000</f>
        <v>209.38844027500002</v>
      </c>
      <c r="I257" s="633"/>
      <c r="J257" s="633"/>
      <c r="K257" s="633"/>
      <c r="L257" s="633">
        <f>CCBASE!$I$13*B257/1000</f>
        <v>419.19089624999998</v>
      </c>
      <c r="M257" s="633"/>
      <c r="N257" s="633">
        <f>CCBASE!$I$7*B257/1000</f>
        <v>55.198990000000002</v>
      </c>
      <c r="O257" s="633">
        <f>CCBASE!$I$45*B257/1000</f>
        <v>17.447500000000002</v>
      </c>
      <c r="P257" s="633"/>
      <c r="Q257" s="633">
        <f>CCBASE!$H$51</f>
        <v>5.16</v>
      </c>
      <c r="R257" s="633">
        <f>CCBASE!$I$4</f>
        <v>8.3986041999999994</v>
      </c>
      <c r="S257" s="633">
        <f>CCBASE!$I$8</f>
        <v>16.25526</v>
      </c>
      <c r="T257" s="633">
        <f>CCBASE!$I$44</f>
        <v>94.69</v>
      </c>
      <c r="U257" s="633">
        <f>CCBASE!$I$47*2</f>
        <v>28.82</v>
      </c>
      <c r="V257" s="633">
        <f>CCBASE!$I$46</f>
        <v>2.44</v>
      </c>
      <c r="W257" s="633">
        <f>CCBASE!$I$42*B257/1000</f>
        <v>124.0410325</v>
      </c>
      <c r="X257" s="633"/>
      <c r="Y257" s="633"/>
      <c r="Z257" s="633"/>
      <c r="AA257" s="633"/>
      <c r="AB257" s="633"/>
      <c r="AC257" s="633"/>
      <c r="AD257" s="633">
        <f>CCBASE!$I$38*2</f>
        <v>272.06745999999998</v>
      </c>
    </row>
    <row r="258" spans="1:30" x14ac:dyDescent="0.2">
      <c r="A258" s="631" t="s">
        <v>137</v>
      </c>
      <c r="B258" s="631">
        <v>2000</v>
      </c>
      <c r="C258" s="631">
        <v>1750</v>
      </c>
      <c r="D258" s="631" t="str">
        <f t="shared" si="90"/>
        <v>KVF20001750</v>
      </c>
      <c r="E258" s="1054">
        <f t="shared" si="74"/>
        <v>2252.9934487999999</v>
      </c>
      <c r="F258" s="632">
        <v>24.5</v>
      </c>
      <c r="G258" s="633">
        <f>F258*CCBASE!$B$51</f>
        <v>882</v>
      </c>
      <c r="H258" s="633">
        <f>CCBASE!$I$12*B258/1000</f>
        <v>239.30107460000002</v>
      </c>
      <c r="I258" s="633"/>
      <c r="J258" s="633"/>
      <c r="K258" s="633"/>
      <c r="L258" s="633">
        <f>CCBASE!$I$13*B258/1000</f>
        <v>479.07531</v>
      </c>
      <c r="M258" s="633"/>
      <c r="N258" s="633">
        <f>CCBASE!$I$7*B258/1000</f>
        <v>63.084560000000003</v>
      </c>
      <c r="O258" s="633">
        <f>CCBASE!$I$45*B258/1000</f>
        <v>19.940000000000001</v>
      </c>
      <c r="P258" s="633"/>
      <c r="Q258" s="633">
        <f>CCBASE!$H$51</f>
        <v>5.16</v>
      </c>
      <c r="R258" s="633">
        <f>CCBASE!$I$4</f>
        <v>8.3986041999999994</v>
      </c>
      <c r="S258" s="633">
        <f>CCBASE!$I$8</f>
        <v>16.25526</v>
      </c>
      <c r="T258" s="633">
        <f>CCBASE!$I$44</f>
        <v>94.69</v>
      </c>
      <c r="U258" s="633">
        <f>CCBASE!$I$47*2</f>
        <v>28.82</v>
      </c>
      <c r="V258" s="633">
        <f>CCBASE!$I$46</f>
        <v>2.44</v>
      </c>
      <c r="W258" s="633">
        <f>CCBASE!$I$42*B258/1000</f>
        <v>141.76118</v>
      </c>
      <c r="X258" s="633"/>
      <c r="Y258" s="633"/>
      <c r="Z258" s="633"/>
      <c r="AA258" s="633"/>
      <c r="AB258" s="633"/>
      <c r="AC258" s="633"/>
      <c r="AD258" s="633">
        <f>CCBASE!$I$38*2</f>
        <v>272.06745999999998</v>
      </c>
    </row>
    <row r="259" spans="1:30" x14ac:dyDescent="0.2">
      <c r="A259" s="631" t="s">
        <v>137</v>
      </c>
      <c r="B259" s="631">
        <v>2250</v>
      </c>
      <c r="C259" s="631">
        <v>1750</v>
      </c>
      <c r="D259" s="631" t="str">
        <f t="shared" ref="D259" si="103">A259&amp;B259&amp;C259</f>
        <v>KVF22501750</v>
      </c>
      <c r="E259" s="1054">
        <f t="shared" ref="E259:E331" si="104">SUM(G259:AD259)</f>
        <v>2406.8887143749998</v>
      </c>
      <c r="F259" s="632">
        <v>25.5</v>
      </c>
      <c r="G259" s="633">
        <f>F259*CCBASE!$B$51</f>
        <v>918</v>
      </c>
      <c r="H259" s="633">
        <f>CCBASE!$I$12*B259/1000</f>
        <v>269.21370892500005</v>
      </c>
      <c r="I259" s="633"/>
      <c r="J259" s="633"/>
      <c r="K259" s="633"/>
      <c r="L259" s="633">
        <f>CCBASE!$I$13*B259/1000</f>
        <v>538.95972374999997</v>
      </c>
      <c r="M259" s="633"/>
      <c r="N259" s="633">
        <f>CCBASE!$I$7*B259/1000</f>
        <v>70.970130000000012</v>
      </c>
      <c r="O259" s="633">
        <f>CCBASE!$I$45*B259/1000</f>
        <v>22.432500000000001</v>
      </c>
      <c r="P259" s="633"/>
      <c r="Q259" s="633">
        <f>CCBASE!$H$51</f>
        <v>5.16</v>
      </c>
      <c r="R259" s="633">
        <f>CCBASE!$I$4</f>
        <v>8.3986041999999994</v>
      </c>
      <c r="S259" s="633">
        <f>CCBASE!$I$8</f>
        <v>16.25526</v>
      </c>
      <c r="T259" s="633">
        <f>CCBASE!$I$44</f>
        <v>94.69</v>
      </c>
      <c r="U259" s="633">
        <f>CCBASE!$I$47*2</f>
        <v>28.82</v>
      </c>
      <c r="V259" s="633">
        <f>CCBASE!$I$46</f>
        <v>2.44</v>
      </c>
      <c r="W259" s="633">
        <f>CCBASE!$I$42*B259/1000</f>
        <v>159.48132749999999</v>
      </c>
      <c r="X259" s="633"/>
      <c r="Y259" s="633"/>
      <c r="Z259" s="633"/>
      <c r="AA259" s="633"/>
      <c r="AB259" s="633"/>
      <c r="AC259" s="633"/>
      <c r="AD259" s="633">
        <f>CCBASE!$I$38*2</f>
        <v>272.06745999999998</v>
      </c>
    </row>
    <row r="260" spans="1:30" x14ac:dyDescent="0.2">
      <c r="A260" s="631" t="s">
        <v>137</v>
      </c>
      <c r="B260" s="631">
        <v>2500</v>
      </c>
      <c r="C260" s="631">
        <v>1750</v>
      </c>
      <c r="D260" s="631" t="str">
        <f t="shared" si="90"/>
        <v>KVF25001750</v>
      </c>
      <c r="E260" s="1054">
        <f t="shared" si="104"/>
        <v>2524.7839799499998</v>
      </c>
      <c r="F260" s="632">
        <v>25.5</v>
      </c>
      <c r="G260" s="633">
        <f>F260*CCBASE!$B$51</f>
        <v>918</v>
      </c>
      <c r="H260" s="633">
        <f>CCBASE!$I$12*B260/1000</f>
        <v>299.12634325000005</v>
      </c>
      <c r="I260" s="633"/>
      <c r="J260" s="633"/>
      <c r="K260" s="633"/>
      <c r="L260" s="633">
        <f>CCBASE!$I$13*B260/1000</f>
        <v>598.84413749999999</v>
      </c>
      <c r="M260" s="633"/>
      <c r="N260" s="633">
        <f>CCBASE!$I$7*B260/1000</f>
        <v>78.855699999999999</v>
      </c>
      <c r="O260" s="633">
        <f>CCBASE!$I$45*B260/1000</f>
        <v>24.925000000000001</v>
      </c>
      <c r="P260" s="633"/>
      <c r="Q260" s="633">
        <f>CCBASE!$H$51</f>
        <v>5.16</v>
      </c>
      <c r="R260" s="633">
        <f>CCBASE!$I$4</f>
        <v>8.3986041999999994</v>
      </c>
      <c r="S260" s="633">
        <f>CCBASE!$I$8</f>
        <v>16.25526</v>
      </c>
      <c r="T260" s="633">
        <f>CCBASE!$I$44</f>
        <v>94.69</v>
      </c>
      <c r="U260" s="633">
        <f>CCBASE!$I$47*2</f>
        <v>28.82</v>
      </c>
      <c r="V260" s="633">
        <f>CCBASE!$I$46</f>
        <v>2.44</v>
      </c>
      <c r="W260" s="633">
        <f>CCBASE!$I$42*B260/1000</f>
        <v>177.20147500000002</v>
      </c>
      <c r="X260" s="633"/>
      <c r="Y260" s="633"/>
      <c r="Z260" s="633"/>
      <c r="AA260" s="633"/>
      <c r="AB260" s="633"/>
      <c r="AC260" s="633"/>
      <c r="AD260" s="633">
        <f>CCBASE!$I$38*2</f>
        <v>272.06745999999998</v>
      </c>
    </row>
    <row r="261" spans="1:30" x14ac:dyDescent="0.2">
      <c r="A261" s="631" t="s">
        <v>137</v>
      </c>
      <c r="B261" s="631">
        <v>2750</v>
      </c>
      <c r="C261" s="631">
        <v>1750</v>
      </c>
      <c r="D261" s="631" t="str">
        <f t="shared" ref="D261" si="105">A261&amp;B261&amp;C261</f>
        <v>KVF27501750</v>
      </c>
      <c r="E261" s="1054">
        <f t="shared" si="104"/>
        <v>2642.6792455250006</v>
      </c>
      <c r="F261" s="632">
        <v>25.5</v>
      </c>
      <c r="G261" s="633">
        <f>F261*CCBASE!$B$51</f>
        <v>918</v>
      </c>
      <c r="H261" s="633">
        <f>CCBASE!$I$12*B261/1000</f>
        <v>329.03897757500005</v>
      </c>
      <c r="I261" s="633"/>
      <c r="J261" s="633"/>
      <c r="K261" s="633"/>
      <c r="L261" s="633">
        <f>CCBASE!$I$13*B261/1000</f>
        <v>658.72855125000001</v>
      </c>
      <c r="M261" s="633"/>
      <c r="N261" s="633">
        <f>CCBASE!$I$7*B261/1000</f>
        <v>86.74127</v>
      </c>
      <c r="O261" s="633">
        <f>CCBASE!$I$45*B261/1000</f>
        <v>27.4175</v>
      </c>
      <c r="P261" s="633"/>
      <c r="Q261" s="633">
        <f>CCBASE!$H$51</f>
        <v>5.16</v>
      </c>
      <c r="R261" s="633">
        <f>CCBASE!$I$4</f>
        <v>8.3986041999999994</v>
      </c>
      <c r="S261" s="633">
        <f>CCBASE!$I$8</f>
        <v>16.25526</v>
      </c>
      <c r="T261" s="633">
        <f>CCBASE!$I$44</f>
        <v>94.69</v>
      </c>
      <c r="U261" s="633">
        <f>CCBASE!$I$47*2</f>
        <v>28.82</v>
      </c>
      <c r="V261" s="633">
        <f>CCBASE!$I$46</f>
        <v>2.44</v>
      </c>
      <c r="W261" s="633">
        <f>CCBASE!$I$42*B261/1000</f>
        <v>194.92162249999998</v>
      </c>
      <c r="X261" s="633"/>
      <c r="Y261" s="633"/>
      <c r="Z261" s="633"/>
      <c r="AA261" s="633"/>
      <c r="AB261" s="633"/>
      <c r="AC261" s="633"/>
      <c r="AD261" s="633">
        <f>CCBASE!$I$38*2</f>
        <v>272.06745999999998</v>
      </c>
    </row>
    <row r="262" spans="1:30" x14ac:dyDescent="0.2">
      <c r="A262" s="631" t="s">
        <v>137</v>
      </c>
      <c r="B262" s="631">
        <v>3000</v>
      </c>
      <c r="C262" s="631">
        <v>1750</v>
      </c>
      <c r="D262" s="631" t="str">
        <f t="shared" si="90"/>
        <v>KVF30001750</v>
      </c>
      <c r="E262" s="1054">
        <f t="shared" si="104"/>
        <v>2760.5745110999997</v>
      </c>
      <c r="F262" s="632">
        <v>25.5</v>
      </c>
      <c r="G262" s="633">
        <f>F262*CCBASE!$B$51</f>
        <v>918</v>
      </c>
      <c r="H262" s="633">
        <f>CCBASE!$I$12*B262/1000</f>
        <v>358.95161190000005</v>
      </c>
      <c r="I262" s="633"/>
      <c r="J262" s="633"/>
      <c r="K262" s="633"/>
      <c r="L262" s="633">
        <f>CCBASE!$I$13*B262/1000</f>
        <v>718.61296499999992</v>
      </c>
      <c r="M262" s="633"/>
      <c r="N262" s="633">
        <f>CCBASE!$I$7*B262/1000</f>
        <v>94.626840000000016</v>
      </c>
      <c r="O262" s="633">
        <f>CCBASE!$I$45*B262/1000</f>
        <v>29.910000000000004</v>
      </c>
      <c r="P262" s="633"/>
      <c r="Q262" s="633">
        <f>CCBASE!$H$51</f>
        <v>5.16</v>
      </c>
      <c r="R262" s="633">
        <f>CCBASE!$I$4</f>
        <v>8.3986041999999994</v>
      </c>
      <c r="S262" s="633">
        <f>CCBASE!$I$8</f>
        <v>16.25526</v>
      </c>
      <c r="T262" s="633">
        <f>CCBASE!$I$44</f>
        <v>94.69</v>
      </c>
      <c r="U262" s="633">
        <f>CCBASE!$I$47*2</f>
        <v>28.82</v>
      </c>
      <c r="V262" s="633">
        <f>CCBASE!$I$46</f>
        <v>2.44</v>
      </c>
      <c r="W262" s="633">
        <f>CCBASE!$I$42*B262/1000</f>
        <v>212.64176999999998</v>
      </c>
      <c r="X262" s="633"/>
      <c r="Y262" s="633"/>
      <c r="Z262" s="633"/>
      <c r="AA262" s="633"/>
      <c r="AB262" s="633"/>
      <c r="AC262" s="633"/>
      <c r="AD262" s="633">
        <f>CCBASE!$I$38*2</f>
        <v>272.06745999999998</v>
      </c>
    </row>
    <row r="263" spans="1:30" x14ac:dyDescent="0.2">
      <c r="A263" s="631" t="s">
        <v>137</v>
      </c>
      <c r="B263" s="631">
        <v>1000</v>
      </c>
      <c r="C263" s="631">
        <v>2000</v>
      </c>
      <c r="D263" s="631" t="str">
        <f t="shared" ref="D263:D276" si="106">A263&amp;B263&amp;C263</f>
        <v>KVF10002000</v>
      </c>
      <c r="E263" s="1054">
        <f t="shared" si="104"/>
        <v>1822.5616825</v>
      </c>
      <c r="F263" s="632">
        <v>24.5</v>
      </c>
      <c r="G263" s="633">
        <f>F263*CCBASE!$B$51</f>
        <v>882</v>
      </c>
      <c r="H263" s="633">
        <f>CCBASE!$I$12*B263/1000</f>
        <v>119.65053730000001</v>
      </c>
      <c r="I263" s="633"/>
      <c r="J263" s="633"/>
      <c r="K263" s="633"/>
      <c r="L263" s="633">
        <f>CCBASE!$I$13*B263/1000</f>
        <v>239.537655</v>
      </c>
      <c r="M263" s="633"/>
      <c r="N263" s="633">
        <f>CCBASE!$I$7*B263/1000</f>
        <v>31.542280000000002</v>
      </c>
      <c r="O263" s="633">
        <f>CCBASE!$I$45*B263/1000</f>
        <v>9.9700000000000006</v>
      </c>
      <c r="P263" s="633"/>
      <c r="Q263" s="633">
        <f>CCBASE!$H$51</f>
        <v>5.16</v>
      </c>
      <c r="R263" s="633">
        <f>CCBASE!$I$4</f>
        <v>8.3986041999999994</v>
      </c>
      <c r="S263" s="633">
        <f>CCBASE!$I$8</f>
        <v>16.25526</v>
      </c>
      <c r="T263" s="633">
        <f>CCBASE!$I$44</f>
        <v>94.69</v>
      </c>
      <c r="U263" s="633">
        <f>CCBASE!$I$47</f>
        <v>14.41</v>
      </c>
      <c r="V263" s="633">
        <f>CCBASE!$I$46/2</f>
        <v>1.22</v>
      </c>
      <c r="W263" s="633">
        <f>CCBASE!$I$43*B263/1000</f>
        <v>88.624119999999991</v>
      </c>
      <c r="X263" s="633"/>
      <c r="Y263" s="633"/>
      <c r="Z263" s="633"/>
      <c r="AA263" s="633"/>
      <c r="AB263" s="633"/>
      <c r="AC263" s="633"/>
      <c r="AD263" s="633">
        <f>CCBASE!$I$39*2</f>
        <v>311.10322599999995</v>
      </c>
    </row>
    <row r="264" spans="1:30" x14ac:dyDescent="0.2">
      <c r="A264" s="631" t="s">
        <v>137</v>
      </c>
      <c r="B264" s="631">
        <v>1250</v>
      </c>
      <c r="C264" s="631">
        <v>2000</v>
      </c>
      <c r="D264" s="631" t="str">
        <f t="shared" ref="D264" si="107">A264&amp;B264&amp;C264</f>
        <v>KVF12502000</v>
      </c>
      <c r="E264" s="1054">
        <f t="shared" si="104"/>
        <v>1959.3028305750001</v>
      </c>
      <c r="F264" s="632">
        <v>24.5</v>
      </c>
      <c r="G264" s="633">
        <f>F264*CCBASE!$B$51</f>
        <v>882</v>
      </c>
      <c r="H264" s="633">
        <f>CCBASE!$I$12*B264/1000</f>
        <v>149.56317162500002</v>
      </c>
      <c r="I264" s="633"/>
      <c r="J264" s="633"/>
      <c r="K264" s="633"/>
      <c r="L264" s="633">
        <f>CCBASE!$I$13*B264/1000</f>
        <v>299.42206874999999</v>
      </c>
      <c r="M264" s="633"/>
      <c r="N264" s="633">
        <f>CCBASE!$I$7*B264/1000</f>
        <v>39.427849999999999</v>
      </c>
      <c r="O264" s="633">
        <f>CCBASE!$I$45*B264/1000</f>
        <v>12.4625</v>
      </c>
      <c r="P264" s="633"/>
      <c r="Q264" s="633">
        <f>CCBASE!$H$51</f>
        <v>5.16</v>
      </c>
      <c r="R264" s="633">
        <f>CCBASE!$I$4</f>
        <v>8.3986041999999994</v>
      </c>
      <c r="S264" s="633">
        <f>CCBASE!$I$8</f>
        <v>16.25526</v>
      </c>
      <c r="T264" s="633">
        <f>CCBASE!$I$44</f>
        <v>94.69</v>
      </c>
      <c r="U264" s="633">
        <f>CCBASE!$I$47*2</f>
        <v>28.82</v>
      </c>
      <c r="V264" s="633">
        <f>CCBASE!$I$46/2</f>
        <v>1.22</v>
      </c>
      <c r="W264" s="633">
        <f>CCBASE!$I$43*B264/1000</f>
        <v>110.78014999999999</v>
      </c>
      <c r="X264" s="633"/>
      <c r="Y264" s="633"/>
      <c r="Z264" s="633"/>
      <c r="AA264" s="633"/>
      <c r="AB264" s="633"/>
      <c r="AC264" s="633"/>
      <c r="AD264" s="633">
        <f>CCBASE!$I$39*2</f>
        <v>311.10322599999995</v>
      </c>
    </row>
    <row r="265" spans="1:30" x14ac:dyDescent="0.2">
      <c r="A265" s="631" t="s">
        <v>137</v>
      </c>
      <c r="B265" s="631">
        <v>1500</v>
      </c>
      <c r="C265" s="631">
        <v>2000</v>
      </c>
      <c r="D265" s="631" t="str">
        <f t="shared" si="106"/>
        <v>KVF15002000</v>
      </c>
      <c r="E265" s="1054">
        <f t="shared" si="104"/>
        <v>2081.6339786499993</v>
      </c>
      <c r="F265" s="632">
        <v>24.5</v>
      </c>
      <c r="G265" s="633">
        <f>F265*CCBASE!$B$51</f>
        <v>882</v>
      </c>
      <c r="H265" s="633">
        <f>CCBASE!$I$12*B265/1000</f>
        <v>179.47580595000002</v>
      </c>
      <c r="I265" s="633"/>
      <c r="J265" s="633"/>
      <c r="K265" s="633"/>
      <c r="L265" s="633">
        <f>CCBASE!$I$13*B265/1000</f>
        <v>359.30648249999996</v>
      </c>
      <c r="M265" s="633"/>
      <c r="N265" s="633">
        <f>CCBASE!$I$7*B265/1000</f>
        <v>47.313420000000008</v>
      </c>
      <c r="O265" s="633">
        <f>CCBASE!$I$45*B265/1000</f>
        <v>14.955000000000002</v>
      </c>
      <c r="P265" s="633"/>
      <c r="Q265" s="633">
        <f>CCBASE!$H$51</f>
        <v>5.16</v>
      </c>
      <c r="R265" s="633">
        <f>CCBASE!$I$4</f>
        <v>8.3986041999999994</v>
      </c>
      <c r="S265" s="633">
        <f>CCBASE!$I$8</f>
        <v>16.25526</v>
      </c>
      <c r="T265" s="633">
        <f>CCBASE!$I$44</f>
        <v>94.69</v>
      </c>
      <c r="U265" s="633">
        <f>CCBASE!$I$47*2</f>
        <v>28.82</v>
      </c>
      <c r="V265" s="633">
        <f>CCBASE!$I$46/2</f>
        <v>1.22</v>
      </c>
      <c r="W265" s="633">
        <f>CCBASE!$I$43*B265/1000</f>
        <v>132.93617999999998</v>
      </c>
      <c r="X265" s="633"/>
      <c r="Y265" s="633"/>
      <c r="Z265" s="633"/>
      <c r="AA265" s="633"/>
      <c r="AB265" s="633"/>
      <c r="AC265" s="633"/>
      <c r="AD265" s="633">
        <f>CCBASE!$I$39*2</f>
        <v>311.10322599999995</v>
      </c>
    </row>
    <row r="266" spans="1:30" x14ac:dyDescent="0.2">
      <c r="A266" s="631" t="s">
        <v>137</v>
      </c>
      <c r="B266" s="631">
        <v>1750</v>
      </c>
      <c r="C266" s="631">
        <v>2000</v>
      </c>
      <c r="D266" s="631" t="str">
        <f t="shared" ref="D266" si="108">A266&amp;B266&amp;C266</f>
        <v>KVF17502000</v>
      </c>
      <c r="E266" s="1054">
        <f t="shared" si="104"/>
        <v>2205.1851267249999</v>
      </c>
      <c r="F266" s="632">
        <v>24.5</v>
      </c>
      <c r="G266" s="633">
        <f>F266*CCBASE!$B$51</f>
        <v>882</v>
      </c>
      <c r="H266" s="633">
        <f>CCBASE!$I$12*B266/1000</f>
        <v>209.38844027500002</v>
      </c>
      <c r="I266" s="633"/>
      <c r="J266" s="633"/>
      <c r="K266" s="633"/>
      <c r="L266" s="633">
        <f>CCBASE!$I$13*B266/1000</f>
        <v>419.19089624999998</v>
      </c>
      <c r="M266" s="633"/>
      <c r="N266" s="633">
        <f>CCBASE!$I$7*B266/1000</f>
        <v>55.198990000000002</v>
      </c>
      <c r="O266" s="633">
        <f>CCBASE!$I$45*B266/1000</f>
        <v>17.447500000000002</v>
      </c>
      <c r="P266" s="633"/>
      <c r="Q266" s="633">
        <f>CCBASE!$H$51</f>
        <v>5.16</v>
      </c>
      <c r="R266" s="633">
        <f>CCBASE!$I$4</f>
        <v>8.3986041999999994</v>
      </c>
      <c r="S266" s="633">
        <f>CCBASE!$I$8</f>
        <v>16.25526</v>
      </c>
      <c r="T266" s="633">
        <f>CCBASE!$I$44</f>
        <v>94.69</v>
      </c>
      <c r="U266" s="633">
        <f>CCBASE!$I$47*2</f>
        <v>28.82</v>
      </c>
      <c r="V266" s="633">
        <f>CCBASE!$I$46</f>
        <v>2.44</v>
      </c>
      <c r="W266" s="633">
        <f>CCBASE!$I$43*B266/1000</f>
        <v>155.09220999999999</v>
      </c>
      <c r="X266" s="633"/>
      <c r="Y266" s="633"/>
      <c r="Z266" s="633"/>
      <c r="AA266" s="633"/>
      <c r="AB266" s="633"/>
      <c r="AC266" s="633"/>
      <c r="AD266" s="633">
        <f>CCBASE!$I$39*2</f>
        <v>311.10322599999995</v>
      </c>
    </row>
    <row r="267" spans="1:30" x14ac:dyDescent="0.2">
      <c r="A267" s="631" t="s">
        <v>137</v>
      </c>
      <c r="B267" s="631">
        <v>2000</v>
      </c>
      <c r="C267" s="631">
        <v>2000</v>
      </c>
      <c r="D267" s="631" t="str">
        <f t="shared" si="106"/>
        <v>KVF20002000</v>
      </c>
      <c r="E267" s="1054">
        <f t="shared" si="104"/>
        <v>2327.5162747999998</v>
      </c>
      <c r="F267" s="632">
        <v>24.5</v>
      </c>
      <c r="G267" s="633">
        <f>F267*CCBASE!$B$51</f>
        <v>882</v>
      </c>
      <c r="H267" s="633">
        <f>CCBASE!$I$12*B267/1000</f>
        <v>239.30107460000002</v>
      </c>
      <c r="I267" s="633"/>
      <c r="J267" s="633"/>
      <c r="K267" s="633"/>
      <c r="L267" s="633">
        <f>CCBASE!$I$13*B267/1000</f>
        <v>479.07531</v>
      </c>
      <c r="M267" s="633"/>
      <c r="N267" s="633">
        <f>CCBASE!$I$7*B267/1000</f>
        <v>63.084560000000003</v>
      </c>
      <c r="O267" s="633">
        <f>CCBASE!$I$45*B267/1000</f>
        <v>19.940000000000001</v>
      </c>
      <c r="P267" s="633"/>
      <c r="Q267" s="633">
        <f>CCBASE!$H$51</f>
        <v>5.16</v>
      </c>
      <c r="R267" s="633">
        <f>CCBASE!$I$4</f>
        <v>8.3986041999999994</v>
      </c>
      <c r="S267" s="633">
        <f>CCBASE!$I$8</f>
        <v>16.25526</v>
      </c>
      <c r="T267" s="633">
        <f>CCBASE!$I$44</f>
        <v>94.69</v>
      </c>
      <c r="U267" s="633">
        <f>CCBASE!$I$47*2</f>
        <v>28.82</v>
      </c>
      <c r="V267" s="633">
        <f>CCBASE!$I$46</f>
        <v>2.44</v>
      </c>
      <c r="W267" s="633">
        <f>CCBASE!$I$43*B267/1000</f>
        <v>177.24823999999998</v>
      </c>
      <c r="X267" s="633"/>
      <c r="Y267" s="633"/>
      <c r="Z267" s="633"/>
      <c r="AA267" s="633"/>
      <c r="AB267" s="633"/>
      <c r="AC267" s="633"/>
      <c r="AD267" s="633">
        <f>CCBASE!$I$39*2</f>
        <v>311.10322599999995</v>
      </c>
    </row>
    <row r="268" spans="1:30" x14ac:dyDescent="0.2">
      <c r="A268" s="631" t="s">
        <v>137</v>
      </c>
      <c r="B268" s="631">
        <v>2250</v>
      </c>
      <c r="C268" s="631">
        <v>2000</v>
      </c>
      <c r="D268" s="631" t="str">
        <f t="shared" ref="D268" si="109">A268&amp;B268&amp;C268</f>
        <v>KVF22502000</v>
      </c>
      <c r="E268" s="1054">
        <f t="shared" si="104"/>
        <v>2485.8474228750001</v>
      </c>
      <c r="F268" s="632">
        <v>25.5</v>
      </c>
      <c r="G268" s="633">
        <f>F268*CCBASE!$B$51</f>
        <v>918</v>
      </c>
      <c r="H268" s="633">
        <f>CCBASE!$I$12*B268/1000</f>
        <v>269.21370892500005</v>
      </c>
      <c r="I268" s="633"/>
      <c r="J268" s="633"/>
      <c r="K268" s="633"/>
      <c r="L268" s="633">
        <f>CCBASE!$I$13*B268/1000</f>
        <v>538.95972374999997</v>
      </c>
      <c r="M268" s="633"/>
      <c r="N268" s="633">
        <f>CCBASE!$I$7*B268/1000</f>
        <v>70.970130000000012</v>
      </c>
      <c r="O268" s="633">
        <f>CCBASE!$I$45*B268/1000</f>
        <v>22.432500000000001</v>
      </c>
      <c r="P268" s="633"/>
      <c r="Q268" s="633">
        <f>CCBASE!$H$51</f>
        <v>5.16</v>
      </c>
      <c r="R268" s="633">
        <f>CCBASE!$I$4</f>
        <v>8.3986041999999994</v>
      </c>
      <c r="S268" s="633">
        <f>CCBASE!$I$8</f>
        <v>16.25526</v>
      </c>
      <c r="T268" s="633">
        <f>CCBASE!$I$44</f>
        <v>94.69</v>
      </c>
      <c r="U268" s="633">
        <f>CCBASE!$I$47*2</f>
        <v>28.82</v>
      </c>
      <c r="V268" s="633">
        <f>CCBASE!$I$46</f>
        <v>2.44</v>
      </c>
      <c r="W268" s="633">
        <f>CCBASE!$I$43*B268/1000</f>
        <v>199.40427</v>
      </c>
      <c r="X268" s="633"/>
      <c r="Y268" s="633"/>
      <c r="Z268" s="633"/>
      <c r="AA268" s="633"/>
      <c r="AB268" s="633"/>
      <c r="AC268" s="633"/>
      <c r="AD268" s="633">
        <f>CCBASE!$I$39*2</f>
        <v>311.10322599999995</v>
      </c>
    </row>
    <row r="269" spans="1:30" x14ac:dyDescent="0.2">
      <c r="A269" s="631" t="s">
        <v>137</v>
      </c>
      <c r="B269" s="631">
        <v>2500</v>
      </c>
      <c r="C269" s="631">
        <v>2000</v>
      </c>
      <c r="D269" s="631" t="str">
        <f t="shared" si="106"/>
        <v>KVF25002000</v>
      </c>
      <c r="E269" s="1054">
        <f t="shared" si="104"/>
        <v>2608.17857095</v>
      </c>
      <c r="F269" s="632">
        <v>25.5</v>
      </c>
      <c r="G269" s="633">
        <f>F269*CCBASE!$B$51</f>
        <v>918</v>
      </c>
      <c r="H269" s="633">
        <f>CCBASE!$I$12*B269/1000</f>
        <v>299.12634325000005</v>
      </c>
      <c r="I269" s="633"/>
      <c r="J269" s="633"/>
      <c r="K269" s="633"/>
      <c r="L269" s="633">
        <f>CCBASE!$I$13*B269/1000</f>
        <v>598.84413749999999</v>
      </c>
      <c r="M269" s="633"/>
      <c r="N269" s="633">
        <f>CCBASE!$I$7*B269/1000</f>
        <v>78.855699999999999</v>
      </c>
      <c r="O269" s="633">
        <f>CCBASE!$I$45*B269/1000</f>
        <v>24.925000000000001</v>
      </c>
      <c r="P269" s="633"/>
      <c r="Q269" s="633">
        <f>CCBASE!$H$51</f>
        <v>5.16</v>
      </c>
      <c r="R269" s="633">
        <f>CCBASE!$I$4</f>
        <v>8.3986041999999994</v>
      </c>
      <c r="S269" s="633">
        <f>CCBASE!$I$8</f>
        <v>16.25526</v>
      </c>
      <c r="T269" s="633">
        <f>CCBASE!$I$44</f>
        <v>94.69</v>
      </c>
      <c r="U269" s="633">
        <f>CCBASE!$I$47*2</f>
        <v>28.82</v>
      </c>
      <c r="V269" s="633">
        <f>CCBASE!$I$46</f>
        <v>2.44</v>
      </c>
      <c r="W269" s="633">
        <f>CCBASE!$I$43*B269/1000</f>
        <v>221.56029999999998</v>
      </c>
      <c r="X269" s="633"/>
      <c r="Y269" s="633"/>
      <c r="Z269" s="633"/>
      <c r="AA269" s="633"/>
      <c r="AB269" s="633"/>
      <c r="AC269" s="633"/>
      <c r="AD269" s="633">
        <f>CCBASE!$I$39*2</f>
        <v>311.10322599999995</v>
      </c>
    </row>
    <row r="270" spans="1:30" x14ac:dyDescent="0.2">
      <c r="A270" s="631" t="s">
        <v>137</v>
      </c>
      <c r="B270" s="631">
        <v>2750</v>
      </c>
      <c r="C270" s="631">
        <v>2000</v>
      </c>
      <c r="D270" s="631" t="str">
        <f t="shared" ref="D270" si="110">A270&amp;B270&amp;C270</f>
        <v>KVF27502000</v>
      </c>
      <c r="E270" s="1054">
        <f t="shared" si="104"/>
        <v>2730.5097190250008</v>
      </c>
      <c r="F270" s="632">
        <v>25.5</v>
      </c>
      <c r="G270" s="633">
        <f>F270*CCBASE!$B$51</f>
        <v>918</v>
      </c>
      <c r="H270" s="633">
        <f>CCBASE!$I$12*B270/1000</f>
        <v>329.03897757500005</v>
      </c>
      <c r="I270" s="633"/>
      <c r="J270" s="633"/>
      <c r="K270" s="633"/>
      <c r="L270" s="633">
        <f>CCBASE!$I$13*B270/1000</f>
        <v>658.72855125000001</v>
      </c>
      <c r="M270" s="633"/>
      <c r="N270" s="633">
        <f>CCBASE!$I$7*B270/1000</f>
        <v>86.74127</v>
      </c>
      <c r="O270" s="633">
        <f>CCBASE!$I$45*B270/1000</f>
        <v>27.4175</v>
      </c>
      <c r="P270" s="633"/>
      <c r="Q270" s="633">
        <f>CCBASE!$H$51</f>
        <v>5.16</v>
      </c>
      <c r="R270" s="633">
        <f>CCBASE!$I$4</f>
        <v>8.3986041999999994</v>
      </c>
      <c r="S270" s="633">
        <f>CCBASE!$I$8</f>
        <v>16.25526</v>
      </c>
      <c r="T270" s="633">
        <f>CCBASE!$I$44</f>
        <v>94.69</v>
      </c>
      <c r="U270" s="633">
        <f>CCBASE!$I$47*2</f>
        <v>28.82</v>
      </c>
      <c r="V270" s="633">
        <f>CCBASE!$I$46</f>
        <v>2.44</v>
      </c>
      <c r="W270" s="633">
        <f>CCBASE!$I$43*B270/1000</f>
        <v>243.71633</v>
      </c>
      <c r="X270" s="633"/>
      <c r="Y270" s="633"/>
      <c r="Z270" s="633"/>
      <c r="AA270" s="633"/>
      <c r="AB270" s="633"/>
      <c r="AC270" s="633"/>
      <c r="AD270" s="633">
        <f>CCBASE!$I$39*2</f>
        <v>311.10322599999995</v>
      </c>
    </row>
    <row r="271" spans="1:30" x14ac:dyDescent="0.2">
      <c r="A271" s="631" t="s">
        <v>137</v>
      </c>
      <c r="B271" s="631">
        <v>3000</v>
      </c>
      <c r="C271" s="631">
        <v>2000</v>
      </c>
      <c r="D271" s="631" t="str">
        <f t="shared" si="106"/>
        <v>KVF30002000</v>
      </c>
      <c r="E271" s="1054">
        <f t="shared" si="104"/>
        <v>2852.8408670999997</v>
      </c>
      <c r="F271" s="632">
        <v>25.5</v>
      </c>
      <c r="G271" s="633">
        <f>F271*CCBASE!$B$51</f>
        <v>918</v>
      </c>
      <c r="H271" s="633">
        <f>CCBASE!$I$12*B271/1000</f>
        <v>358.95161190000005</v>
      </c>
      <c r="I271" s="633"/>
      <c r="J271" s="633"/>
      <c r="K271" s="633"/>
      <c r="L271" s="633">
        <f>CCBASE!$I$13*B271/1000</f>
        <v>718.61296499999992</v>
      </c>
      <c r="M271" s="633"/>
      <c r="N271" s="633">
        <f>CCBASE!$I$7*B271/1000</f>
        <v>94.626840000000016</v>
      </c>
      <c r="O271" s="633">
        <f>CCBASE!$I$45*B271/1000</f>
        <v>29.910000000000004</v>
      </c>
      <c r="P271" s="633"/>
      <c r="Q271" s="633">
        <f>CCBASE!$H$51</f>
        <v>5.16</v>
      </c>
      <c r="R271" s="633">
        <f>CCBASE!$I$4</f>
        <v>8.3986041999999994</v>
      </c>
      <c r="S271" s="633">
        <f>CCBASE!$I$8</f>
        <v>16.25526</v>
      </c>
      <c r="T271" s="633">
        <f>CCBASE!$I$44</f>
        <v>94.69</v>
      </c>
      <c r="U271" s="633">
        <f>CCBASE!$I$47*2</f>
        <v>28.82</v>
      </c>
      <c r="V271" s="633">
        <f>CCBASE!$I$46</f>
        <v>2.44</v>
      </c>
      <c r="W271" s="633">
        <f>CCBASE!$I$43*B271/1000</f>
        <v>265.87235999999996</v>
      </c>
      <c r="X271" s="633"/>
      <c r="Y271" s="633"/>
      <c r="Z271" s="633"/>
      <c r="AA271" s="633"/>
      <c r="AB271" s="633"/>
      <c r="AC271" s="633"/>
      <c r="AD271" s="633">
        <f>CCBASE!$I$39*2</f>
        <v>311.10322599999995</v>
      </c>
    </row>
    <row r="272" spans="1:30" x14ac:dyDescent="0.2">
      <c r="A272" s="631" t="s">
        <v>764</v>
      </c>
      <c r="B272" s="631">
        <v>1000</v>
      </c>
      <c r="C272" s="631">
        <v>1000</v>
      </c>
      <c r="D272" s="631" t="str">
        <f t="shared" si="106"/>
        <v>CMWF10001000</v>
      </c>
      <c r="E272" s="1054">
        <f t="shared" si="104"/>
        <v>1655.7725005</v>
      </c>
      <c r="F272" s="632">
        <v>24.5</v>
      </c>
      <c r="G272" s="633">
        <f>F272*CCBASE!$B$51</f>
        <v>882</v>
      </c>
      <c r="H272" s="633">
        <f>CCBASE!$I$12*B272/1000</f>
        <v>119.65053730000001</v>
      </c>
      <c r="I272" s="633"/>
      <c r="J272" s="633"/>
      <c r="K272" s="633"/>
      <c r="L272" s="633">
        <f>CCBASE!$I$13*B272/1000</f>
        <v>239.537655</v>
      </c>
      <c r="M272" s="633"/>
      <c r="N272" s="633">
        <f>CCBASE!$I$7*B272/1000</f>
        <v>31.542280000000002</v>
      </c>
      <c r="O272" s="633">
        <f>CCBASE!$I$45*B272/1000</f>
        <v>9.9700000000000006</v>
      </c>
      <c r="P272" s="633"/>
      <c r="Q272" s="633">
        <f>CCBASE!$H$51</f>
        <v>5.16</v>
      </c>
      <c r="R272" s="633">
        <f>CCBASE!$I$4</f>
        <v>8.3986041999999994</v>
      </c>
      <c r="S272" s="633">
        <f>CCBASE!$I$8</f>
        <v>16.25526</v>
      </c>
      <c r="T272" s="633">
        <f>CCBASE!$I$44</f>
        <v>94.69</v>
      </c>
      <c r="U272" s="633">
        <f>CCBASE!$I$47</f>
        <v>14.41</v>
      </c>
      <c r="V272" s="633">
        <f>CCBASE!$I$46/2</f>
        <v>1.22</v>
      </c>
      <c r="W272" s="633">
        <f>CCBASE!$I$40*B272/1000</f>
        <v>41.308039999999998</v>
      </c>
      <c r="X272" s="633"/>
      <c r="Y272" s="633"/>
      <c r="Z272" s="633"/>
      <c r="AA272" s="633"/>
      <c r="AB272" s="633"/>
      <c r="AC272" s="633"/>
      <c r="AD272" s="633">
        <f>CCBASE!$I$36*2</f>
        <v>191.630124</v>
      </c>
    </row>
    <row r="273" spans="1:30" x14ac:dyDescent="0.2">
      <c r="A273" s="631" t="s">
        <v>764</v>
      </c>
      <c r="B273" s="631">
        <v>1250</v>
      </c>
      <c r="C273" s="631">
        <v>1000</v>
      </c>
      <c r="D273" s="631" t="str">
        <f t="shared" si="106"/>
        <v>CMWF12501000</v>
      </c>
      <c r="E273" s="1054">
        <f t="shared" si="104"/>
        <v>1780.6846285750003</v>
      </c>
      <c r="F273" s="632">
        <v>24.5</v>
      </c>
      <c r="G273" s="633">
        <f>F273*CCBASE!$B$51</f>
        <v>882</v>
      </c>
      <c r="H273" s="633">
        <f>CCBASE!$I$12*B273/1000</f>
        <v>149.56317162500002</v>
      </c>
      <c r="I273" s="633"/>
      <c r="J273" s="633"/>
      <c r="K273" s="633"/>
      <c r="L273" s="633">
        <f>CCBASE!$I$13*B273/1000</f>
        <v>299.42206874999999</v>
      </c>
      <c r="M273" s="633"/>
      <c r="N273" s="633">
        <f>CCBASE!$I$7*B273/1000</f>
        <v>39.427849999999999</v>
      </c>
      <c r="O273" s="633">
        <f>CCBASE!$I$45*B273/1000</f>
        <v>12.4625</v>
      </c>
      <c r="P273" s="633"/>
      <c r="Q273" s="633">
        <f>CCBASE!$H$51</f>
        <v>5.16</v>
      </c>
      <c r="R273" s="633">
        <f>CCBASE!$I$4</f>
        <v>8.3986041999999994</v>
      </c>
      <c r="S273" s="633">
        <f>CCBASE!$I$8</f>
        <v>16.25526</v>
      </c>
      <c r="T273" s="633">
        <f>CCBASE!$I$44</f>
        <v>94.69</v>
      </c>
      <c r="U273" s="633">
        <f>CCBASE!$I$47*2</f>
        <v>28.82</v>
      </c>
      <c r="V273" s="633">
        <f>CCBASE!$I$46/2</f>
        <v>1.22</v>
      </c>
      <c r="W273" s="633">
        <f>CCBASE!$I$40*B273/1000</f>
        <v>51.635049999999993</v>
      </c>
      <c r="X273" s="633"/>
      <c r="Y273" s="633"/>
      <c r="Z273" s="633"/>
      <c r="AA273" s="633"/>
      <c r="AB273" s="633"/>
      <c r="AC273" s="633"/>
      <c r="AD273" s="633">
        <f>CCBASE!$I$36*2</f>
        <v>191.630124</v>
      </c>
    </row>
    <row r="274" spans="1:30" x14ac:dyDescent="0.2">
      <c r="A274" s="631" t="s">
        <v>764</v>
      </c>
      <c r="B274" s="631">
        <v>1500</v>
      </c>
      <c r="C274" s="631">
        <v>1000</v>
      </c>
      <c r="D274" s="631" t="str">
        <f t="shared" si="106"/>
        <v>CMWF15001000</v>
      </c>
      <c r="E274" s="1054">
        <f t="shared" si="104"/>
        <v>1891.1867566499998</v>
      </c>
      <c r="F274" s="632">
        <v>24.5</v>
      </c>
      <c r="G274" s="633">
        <f>F274*CCBASE!$B$51</f>
        <v>882</v>
      </c>
      <c r="H274" s="633">
        <f>CCBASE!$I$12*B274/1000</f>
        <v>179.47580595000002</v>
      </c>
      <c r="I274" s="633"/>
      <c r="J274" s="633"/>
      <c r="K274" s="633"/>
      <c r="L274" s="633">
        <f>CCBASE!$I$13*B274/1000</f>
        <v>359.30648249999996</v>
      </c>
      <c r="M274" s="633"/>
      <c r="N274" s="633">
        <f>CCBASE!$I$7*B274/1000</f>
        <v>47.313420000000008</v>
      </c>
      <c r="O274" s="633">
        <f>CCBASE!$I$45*B274/1000</f>
        <v>14.955000000000002</v>
      </c>
      <c r="P274" s="633"/>
      <c r="Q274" s="633">
        <f>CCBASE!$H$51</f>
        <v>5.16</v>
      </c>
      <c r="R274" s="633">
        <f>CCBASE!$I$4</f>
        <v>8.3986041999999994</v>
      </c>
      <c r="S274" s="633">
        <f>CCBASE!$I$8</f>
        <v>16.25526</v>
      </c>
      <c r="T274" s="633">
        <f>CCBASE!$I$44</f>
        <v>94.69</v>
      </c>
      <c r="U274" s="633">
        <f>CCBASE!$I$47*2</f>
        <v>28.82</v>
      </c>
      <c r="V274" s="633">
        <f>CCBASE!$I$46/2</f>
        <v>1.22</v>
      </c>
      <c r="W274" s="633">
        <f>CCBASE!$I$40*B274/1000</f>
        <v>61.962060000000001</v>
      </c>
      <c r="X274" s="633"/>
      <c r="Y274" s="633"/>
      <c r="Z274" s="633"/>
      <c r="AA274" s="633"/>
      <c r="AB274" s="633"/>
      <c r="AC274" s="633"/>
      <c r="AD274" s="633">
        <f>CCBASE!$I$36*2</f>
        <v>191.630124</v>
      </c>
    </row>
    <row r="275" spans="1:30" x14ac:dyDescent="0.2">
      <c r="A275" s="631" t="s">
        <v>764</v>
      </c>
      <c r="B275" s="631">
        <v>1750</v>
      </c>
      <c r="C275" s="631">
        <v>1000</v>
      </c>
      <c r="D275" s="631" t="str">
        <f t="shared" si="106"/>
        <v>CMWF17501000</v>
      </c>
      <c r="E275" s="1054">
        <f t="shared" si="104"/>
        <v>2002.908884725</v>
      </c>
      <c r="F275" s="632">
        <v>24.5</v>
      </c>
      <c r="G275" s="633">
        <f>F275*CCBASE!$B$51</f>
        <v>882</v>
      </c>
      <c r="H275" s="633">
        <f>CCBASE!$I$12*B275/1000</f>
        <v>209.38844027500002</v>
      </c>
      <c r="I275" s="633"/>
      <c r="J275" s="633"/>
      <c r="K275" s="633"/>
      <c r="L275" s="633">
        <f>CCBASE!$I$13*B275/1000</f>
        <v>419.19089624999998</v>
      </c>
      <c r="M275" s="633"/>
      <c r="N275" s="633">
        <f>CCBASE!$I$7*B275/1000</f>
        <v>55.198990000000002</v>
      </c>
      <c r="O275" s="633">
        <f>CCBASE!$I$45*B275/1000</f>
        <v>17.447500000000002</v>
      </c>
      <c r="P275" s="633"/>
      <c r="Q275" s="633">
        <f>CCBASE!$H$51</f>
        <v>5.16</v>
      </c>
      <c r="R275" s="633">
        <f>CCBASE!$I$4</f>
        <v>8.3986041999999994</v>
      </c>
      <c r="S275" s="633">
        <f>CCBASE!$I$8</f>
        <v>16.25526</v>
      </c>
      <c r="T275" s="633">
        <f>CCBASE!$I$44</f>
        <v>94.69</v>
      </c>
      <c r="U275" s="633">
        <f>CCBASE!$I$47*2</f>
        <v>28.82</v>
      </c>
      <c r="V275" s="633">
        <f>CCBASE!$I$46</f>
        <v>2.44</v>
      </c>
      <c r="W275" s="633">
        <f>CCBASE!$I$40*B275/1000</f>
        <v>72.289069999999995</v>
      </c>
      <c r="X275" s="633"/>
      <c r="Y275" s="633"/>
      <c r="Z275" s="633"/>
      <c r="AA275" s="633"/>
      <c r="AB275" s="633"/>
      <c r="AC275" s="633"/>
      <c r="AD275" s="633">
        <f>CCBASE!$I$36*2</f>
        <v>191.630124</v>
      </c>
    </row>
    <row r="276" spans="1:30" x14ac:dyDescent="0.2">
      <c r="A276" s="631" t="s">
        <v>764</v>
      </c>
      <c r="B276" s="631">
        <v>2000</v>
      </c>
      <c r="C276" s="631">
        <v>1000</v>
      </c>
      <c r="D276" s="631" t="str">
        <f t="shared" si="106"/>
        <v>CMWF20001000</v>
      </c>
      <c r="E276" s="1054">
        <f t="shared" si="104"/>
        <v>2113.4110127999998</v>
      </c>
      <c r="F276" s="632">
        <v>24.5</v>
      </c>
      <c r="G276" s="633">
        <f>F276*CCBASE!$B$51</f>
        <v>882</v>
      </c>
      <c r="H276" s="633">
        <f>CCBASE!$I$12*B276/1000</f>
        <v>239.30107460000002</v>
      </c>
      <c r="I276" s="633"/>
      <c r="J276" s="633"/>
      <c r="K276" s="633"/>
      <c r="L276" s="633">
        <f>CCBASE!$I$13*B276/1000</f>
        <v>479.07531</v>
      </c>
      <c r="M276" s="633"/>
      <c r="N276" s="633">
        <f>CCBASE!$I$7*B276/1000</f>
        <v>63.084560000000003</v>
      </c>
      <c r="O276" s="633">
        <f>CCBASE!$I$45*B276/1000</f>
        <v>19.940000000000001</v>
      </c>
      <c r="P276" s="633"/>
      <c r="Q276" s="633">
        <f>CCBASE!$H$51</f>
        <v>5.16</v>
      </c>
      <c r="R276" s="633">
        <f>CCBASE!$I$4</f>
        <v>8.3986041999999994</v>
      </c>
      <c r="S276" s="633">
        <f>CCBASE!$I$8</f>
        <v>16.25526</v>
      </c>
      <c r="T276" s="633">
        <f>CCBASE!$I$44</f>
        <v>94.69</v>
      </c>
      <c r="U276" s="633">
        <f>CCBASE!$I$47*2</f>
        <v>28.82</v>
      </c>
      <c r="V276" s="633">
        <f>CCBASE!$I$46</f>
        <v>2.44</v>
      </c>
      <c r="W276" s="633">
        <f>CCBASE!$I$40*B276/1000</f>
        <v>82.616079999999997</v>
      </c>
      <c r="X276" s="633"/>
      <c r="Y276" s="633"/>
      <c r="Z276" s="633"/>
      <c r="AA276" s="633"/>
      <c r="AB276" s="633"/>
      <c r="AC276" s="633"/>
      <c r="AD276" s="633">
        <f>CCBASE!$I$36*2</f>
        <v>191.630124</v>
      </c>
    </row>
    <row r="277" spans="1:30" x14ac:dyDescent="0.2">
      <c r="A277" s="631" t="s">
        <v>764</v>
      </c>
      <c r="B277" s="631">
        <v>2250</v>
      </c>
      <c r="C277" s="631">
        <v>1000</v>
      </c>
      <c r="D277" s="631" t="str">
        <f t="shared" si="90"/>
        <v>CMWF22501000</v>
      </c>
      <c r="E277" s="1054">
        <f t="shared" si="104"/>
        <v>2259.9131408749995</v>
      </c>
      <c r="F277" s="632">
        <v>25.5</v>
      </c>
      <c r="G277" s="633">
        <f>F277*CCBASE!$B$51</f>
        <v>918</v>
      </c>
      <c r="H277" s="633">
        <f>CCBASE!$I$12*B277/1000</f>
        <v>269.21370892500005</v>
      </c>
      <c r="I277" s="633"/>
      <c r="J277" s="633"/>
      <c r="K277" s="633"/>
      <c r="L277" s="633">
        <f>CCBASE!$I$13*B277/1000</f>
        <v>538.95972374999997</v>
      </c>
      <c r="M277" s="633"/>
      <c r="N277" s="633">
        <f>CCBASE!$I$7*B277/1000</f>
        <v>70.970130000000012</v>
      </c>
      <c r="O277" s="633">
        <f>CCBASE!$I$45*B277/1000</f>
        <v>22.432500000000001</v>
      </c>
      <c r="P277" s="633"/>
      <c r="Q277" s="633">
        <f>CCBASE!$H$51</f>
        <v>5.16</v>
      </c>
      <c r="R277" s="633">
        <f>CCBASE!$I$4</f>
        <v>8.3986041999999994</v>
      </c>
      <c r="S277" s="633">
        <f>CCBASE!$I$8</f>
        <v>16.25526</v>
      </c>
      <c r="T277" s="633">
        <f>CCBASE!$I$44</f>
        <v>94.69</v>
      </c>
      <c r="U277" s="633">
        <f>CCBASE!$I$47*2</f>
        <v>28.82</v>
      </c>
      <c r="V277" s="633">
        <f>CCBASE!$I$46</f>
        <v>2.44</v>
      </c>
      <c r="W277" s="633">
        <f>CCBASE!$I$40*B277/1000</f>
        <v>92.943089999999998</v>
      </c>
      <c r="X277" s="633"/>
      <c r="Y277" s="633"/>
      <c r="Z277" s="633"/>
      <c r="AA277" s="633"/>
      <c r="AB277" s="633"/>
      <c r="AC277" s="633"/>
      <c r="AD277" s="633">
        <f>CCBASE!$I$36*2</f>
        <v>191.630124</v>
      </c>
    </row>
    <row r="278" spans="1:30" x14ac:dyDescent="0.2">
      <c r="A278" s="631" t="s">
        <v>764</v>
      </c>
      <c r="B278" s="631">
        <v>2500</v>
      </c>
      <c r="C278" s="631">
        <v>1000</v>
      </c>
      <c r="D278" s="631" t="str">
        <f t="shared" si="90"/>
        <v>CMWF25001000</v>
      </c>
      <c r="E278" s="1054">
        <f t="shared" si="104"/>
        <v>2370.4152689500002</v>
      </c>
      <c r="F278" s="632">
        <v>25.5</v>
      </c>
      <c r="G278" s="633">
        <f>F278*CCBASE!$B$51</f>
        <v>918</v>
      </c>
      <c r="H278" s="633">
        <f>CCBASE!$I$12*B278/1000</f>
        <v>299.12634325000005</v>
      </c>
      <c r="I278" s="633"/>
      <c r="J278" s="633"/>
      <c r="K278" s="633"/>
      <c r="L278" s="633">
        <f>CCBASE!$I$13*B278/1000</f>
        <v>598.84413749999999</v>
      </c>
      <c r="M278" s="633"/>
      <c r="N278" s="633">
        <f>CCBASE!$I$7*B278/1000</f>
        <v>78.855699999999999</v>
      </c>
      <c r="O278" s="633">
        <f>CCBASE!$I$45*B278/1000</f>
        <v>24.925000000000001</v>
      </c>
      <c r="P278" s="633"/>
      <c r="Q278" s="633">
        <f>CCBASE!$H$51</f>
        <v>5.16</v>
      </c>
      <c r="R278" s="633">
        <f>CCBASE!$I$4</f>
        <v>8.3986041999999994</v>
      </c>
      <c r="S278" s="633">
        <f>CCBASE!$I$8</f>
        <v>16.25526</v>
      </c>
      <c r="T278" s="633">
        <f>CCBASE!$I$44</f>
        <v>94.69</v>
      </c>
      <c r="U278" s="633">
        <f>CCBASE!$I$47*2</f>
        <v>28.82</v>
      </c>
      <c r="V278" s="633">
        <f>CCBASE!$I$46</f>
        <v>2.44</v>
      </c>
      <c r="W278" s="633">
        <f>CCBASE!$I$40*B278/1000</f>
        <v>103.27009999999999</v>
      </c>
      <c r="X278" s="633"/>
      <c r="Y278" s="633"/>
      <c r="Z278" s="633"/>
      <c r="AA278" s="633"/>
      <c r="AB278" s="633"/>
      <c r="AC278" s="633"/>
      <c r="AD278" s="633">
        <f>CCBASE!$I$36*2</f>
        <v>191.630124</v>
      </c>
    </row>
    <row r="279" spans="1:30" x14ac:dyDescent="0.2">
      <c r="A279" s="631" t="s">
        <v>764</v>
      </c>
      <c r="B279" s="631">
        <v>2750</v>
      </c>
      <c r="C279" s="631">
        <v>1000</v>
      </c>
      <c r="D279" s="631" t="str">
        <f t="shared" si="90"/>
        <v>CMWF27501000</v>
      </c>
      <c r="E279" s="1054">
        <f t="shared" si="104"/>
        <v>2480.9173970250004</v>
      </c>
      <c r="F279" s="632">
        <v>25.5</v>
      </c>
      <c r="G279" s="633">
        <f>F279*CCBASE!$B$51</f>
        <v>918</v>
      </c>
      <c r="H279" s="633">
        <f>CCBASE!$I$12*B279/1000</f>
        <v>329.03897757500005</v>
      </c>
      <c r="I279" s="633"/>
      <c r="J279" s="633"/>
      <c r="K279" s="633"/>
      <c r="L279" s="633">
        <f>CCBASE!$I$13*B279/1000</f>
        <v>658.72855125000001</v>
      </c>
      <c r="M279" s="633"/>
      <c r="N279" s="633">
        <f>CCBASE!$I$7*B279/1000</f>
        <v>86.74127</v>
      </c>
      <c r="O279" s="633">
        <f>CCBASE!$I$45*B279/1000</f>
        <v>27.4175</v>
      </c>
      <c r="P279" s="633"/>
      <c r="Q279" s="633">
        <f>CCBASE!$H$51</f>
        <v>5.16</v>
      </c>
      <c r="R279" s="633">
        <f>CCBASE!$I$4</f>
        <v>8.3986041999999994</v>
      </c>
      <c r="S279" s="633">
        <f>CCBASE!$I$8</f>
        <v>16.25526</v>
      </c>
      <c r="T279" s="633">
        <f>CCBASE!$I$44</f>
        <v>94.69</v>
      </c>
      <c r="U279" s="633">
        <f>CCBASE!$I$47*2</f>
        <v>28.82</v>
      </c>
      <c r="V279" s="633">
        <f>CCBASE!$I$46</f>
        <v>2.44</v>
      </c>
      <c r="W279" s="633">
        <f>CCBASE!$I$40*B279/1000</f>
        <v>113.59711</v>
      </c>
      <c r="X279" s="633"/>
      <c r="Y279" s="633"/>
      <c r="Z279" s="633"/>
      <c r="AA279" s="633"/>
      <c r="AB279" s="633"/>
      <c r="AC279" s="633"/>
      <c r="AD279" s="633">
        <f>CCBASE!$I$36*2</f>
        <v>191.630124</v>
      </c>
    </row>
    <row r="280" spans="1:30" x14ac:dyDescent="0.2">
      <c r="A280" s="631" t="s">
        <v>764</v>
      </c>
      <c r="B280" s="631">
        <v>3000</v>
      </c>
      <c r="C280" s="631">
        <v>1000</v>
      </c>
      <c r="D280" s="631" t="str">
        <f t="shared" si="90"/>
        <v>CMWF30001000</v>
      </c>
      <c r="E280" s="1054">
        <f t="shared" si="104"/>
        <v>2591.4195250999996</v>
      </c>
      <c r="F280" s="632">
        <v>25.5</v>
      </c>
      <c r="G280" s="633">
        <f>F280*CCBASE!$B$51</f>
        <v>918</v>
      </c>
      <c r="H280" s="633">
        <f>CCBASE!$I$12*B280/1000</f>
        <v>358.95161190000005</v>
      </c>
      <c r="I280" s="633"/>
      <c r="J280" s="633"/>
      <c r="K280" s="633"/>
      <c r="L280" s="633">
        <f>CCBASE!$I$13*B280/1000</f>
        <v>718.61296499999992</v>
      </c>
      <c r="M280" s="633"/>
      <c r="N280" s="633">
        <f>CCBASE!$I$7*B280/1000</f>
        <v>94.626840000000016</v>
      </c>
      <c r="O280" s="633">
        <f>CCBASE!$I$45*B280/1000</f>
        <v>29.910000000000004</v>
      </c>
      <c r="P280" s="633"/>
      <c r="Q280" s="633">
        <f>CCBASE!$H$51</f>
        <v>5.16</v>
      </c>
      <c r="R280" s="633">
        <f>CCBASE!$I$4</f>
        <v>8.3986041999999994</v>
      </c>
      <c r="S280" s="633">
        <f>CCBASE!$I$8</f>
        <v>16.25526</v>
      </c>
      <c r="T280" s="633">
        <f>CCBASE!$I$44</f>
        <v>94.69</v>
      </c>
      <c r="U280" s="633">
        <f>CCBASE!$I$47*2</f>
        <v>28.82</v>
      </c>
      <c r="V280" s="633">
        <f>CCBASE!$I$46</f>
        <v>2.44</v>
      </c>
      <c r="W280" s="633">
        <f>CCBASE!$I$40*B280/1000</f>
        <v>123.92412</v>
      </c>
      <c r="X280" s="633"/>
      <c r="Y280" s="633"/>
      <c r="Z280" s="633"/>
      <c r="AA280" s="633"/>
      <c r="AB280" s="633"/>
      <c r="AC280" s="633"/>
      <c r="AD280" s="633">
        <f>CCBASE!$I$36*2</f>
        <v>191.630124</v>
      </c>
    </row>
    <row r="281" spans="1:30" x14ac:dyDescent="0.2">
      <c r="A281" s="631" t="s">
        <v>764</v>
      </c>
      <c r="B281" s="631">
        <v>1000</v>
      </c>
      <c r="C281" s="631">
        <v>1250</v>
      </c>
      <c r="D281" s="631" t="str">
        <f t="shared" si="90"/>
        <v>CMWF10001250</v>
      </c>
      <c r="E281" s="1054">
        <f t="shared" si="104"/>
        <v>1655.7725005</v>
      </c>
      <c r="F281" s="632">
        <v>24.5</v>
      </c>
      <c r="G281" s="633">
        <f>F281*CCBASE!$B$51</f>
        <v>882</v>
      </c>
      <c r="H281" s="633">
        <f>CCBASE!$I$12*B281/1000</f>
        <v>119.65053730000001</v>
      </c>
      <c r="I281" s="633"/>
      <c r="J281" s="633"/>
      <c r="K281" s="633"/>
      <c r="L281" s="633">
        <f>CCBASE!$I$13*B281/1000</f>
        <v>239.537655</v>
      </c>
      <c r="M281" s="633"/>
      <c r="N281" s="633">
        <f>CCBASE!$I$7*B281/1000</f>
        <v>31.542280000000002</v>
      </c>
      <c r="O281" s="633">
        <f>CCBASE!$I$45*B281/1000</f>
        <v>9.9700000000000006</v>
      </c>
      <c r="P281" s="633"/>
      <c r="Q281" s="633">
        <f>CCBASE!$H$51</f>
        <v>5.16</v>
      </c>
      <c r="R281" s="633">
        <f>CCBASE!$I$4</f>
        <v>8.3986041999999994</v>
      </c>
      <c r="S281" s="633">
        <f>CCBASE!$I$8</f>
        <v>16.25526</v>
      </c>
      <c r="T281" s="633">
        <f>CCBASE!$I$44</f>
        <v>94.69</v>
      </c>
      <c r="U281" s="633">
        <f>CCBASE!$I$47</f>
        <v>14.41</v>
      </c>
      <c r="V281" s="633">
        <f>CCBASE!$I$46/2</f>
        <v>1.22</v>
      </c>
      <c r="W281" s="633">
        <f>CCBASE!$I$40*B281/1000</f>
        <v>41.308039999999998</v>
      </c>
      <c r="X281" s="633"/>
      <c r="Y281" s="633"/>
      <c r="Z281" s="633"/>
      <c r="AA281" s="633"/>
      <c r="AB281" s="633"/>
      <c r="AC281" s="633"/>
      <c r="AD281" s="633">
        <f>CCBASE!$I$36*2</f>
        <v>191.630124</v>
      </c>
    </row>
    <row r="282" spans="1:30" x14ac:dyDescent="0.2">
      <c r="A282" s="631" t="s">
        <v>764</v>
      </c>
      <c r="B282" s="631">
        <v>1250</v>
      </c>
      <c r="C282" s="631">
        <v>1250</v>
      </c>
      <c r="D282" s="631" t="str">
        <f t="shared" ref="D282" si="111">A282&amp;B282&amp;C282</f>
        <v>CMWF12501250</v>
      </c>
      <c r="E282" s="1054">
        <f t="shared" si="104"/>
        <v>1780.6846285750003</v>
      </c>
      <c r="F282" s="632">
        <v>24.5</v>
      </c>
      <c r="G282" s="633">
        <f>F282*CCBASE!$B$51</f>
        <v>882</v>
      </c>
      <c r="H282" s="633">
        <f>CCBASE!$I$12*B282/1000</f>
        <v>149.56317162500002</v>
      </c>
      <c r="I282" s="633"/>
      <c r="J282" s="633"/>
      <c r="K282" s="633"/>
      <c r="L282" s="633">
        <f>CCBASE!$I$13*B282/1000</f>
        <v>299.42206874999999</v>
      </c>
      <c r="M282" s="633"/>
      <c r="N282" s="633">
        <f>CCBASE!$I$7*B282/1000</f>
        <v>39.427849999999999</v>
      </c>
      <c r="O282" s="633">
        <f>CCBASE!$I$45*B282/1000</f>
        <v>12.4625</v>
      </c>
      <c r="P282" s="633"/>
      <c r="Q282" s="633">
        <f>CCBASE!$H$51</f>
        <v>5.16</v>
      </c>
      <c r="R282" s="633">
        <f>CCBASE!$I$4</f>
        <v>8.3986041999999994</v>
      </c>
      <c r="S282" s="633">
        <f>CCBASE!$I$8</f>
        <v>16.25526</v>
      </c>
      <c r="T282" s="633">
        <f>CCBASE!$I$44</f>
        <v>94.69</v>
      </c>
      <c r="U282" s="633">
        <f>CCBASE!$I$47*2</f>
        <v>28.82</v>
      </c>
      <c r="V282" s="633">
        <f>CCBASE!$I$46/2</f>
        <v>1.22</v>
      </c>
      <c r="W282" s="633">
        <f>CCBASE!$I$40*B282/1000</f>
        <v>51.635049999999993</v>
      </c>
      <c r="X282" s="633"/>
      <c r="Y282" s="633"/>
      <c r="Z282" s="633"/>
      <c r="AA282" s="633"/>
      <c r="AB282" s="633"/>
      <c r="AC282" s="633"/>
      <c r="AD282" s="633">
        <f>CCBASE!$I$36*2</f>
        <v>191.630124</v>
      </c>
    </row>
    <row r="283" spans="1:30" x14ac:dyDescent="0.2">
      <c r="A283" s="631" t="s">
        <v>764</v>
      </c>
      <c r="B283" s="631">
        <v>1500</v>
      </c>
      <c r="C283" s="631">
        <v>1250</v>
      </c>
      <c r="D283" s="631" t="str">
        <f t="shared" si="90"/>
        <v>CMWF15001250</v>
      </c>
      <c r="E283" s="1054">
        <f t="shared" si="104"/>
        <v>1891.1867566499998</v>
      </c>
      <c r="F283" s="632">
        <v>24.5</v>
      </c>
      <c r="G283" s="633">
        <f>F283*CCBASE!$B$51</f>
        <v>882</v>
      </c>
      <c r="H283" s="633">
        <f>CCBASE!$I$12*B283/1000</f>
        <v>179.47580595000002</v>
      </c>
      <c r="I283" s="633"/>
      <c r="J283" s="633"/>
      <c r="K283" s="633"/>
      <c r="L283" s="633">
        <f>CCBASE!$I$13*B283/1000</f>
        <v>359.30648249999996</v>
      </c>
      <c r="M283" s="633"/>
      <c r="N283" s="633">
        <f>CCBASE!$I$7*B283/1000</f>
        <v>47.313420000000008</v>
      </c>
      <c r="O283" s="633">
        <f>CCBASE!$I$45*B283/1000</f>
        <v>14.955000000000002</v>
      </c>
      <c r="P283" s="633"/>
      <c r="Q283" s="633">
        <f>CCBASE!$H$51</f>
        <v>5.16</v>
      </c>
      <c r="R283" s="633">
        <f>CCBASE!$I$4</f>
        <v>8.3986041999999994</v>
      </c>
      <c r="S283" s="633">
        <f>CCBASE!$I$8</f>
        <v>16.25526</v>
      </c>
      <c r="T283" s="633">
        <f>CCBASE!$I$44</f>
        <v>94.69</v>
      </c>
      <c r="U283" s="633">
        <f>CCBASE!$I$47*2</f>
        <v>28.82</v>
      </c>
      <c r="V283" s="633">
        <f>CCBASE!$I$46/2</f>
        <v>1.22</v>
      </c>
      <c r="W283" s="633">
        <f>CCBASE!$I$40*B283/1000</f>
        <v>61.962060000000001</v>
      </c>
      <c r="X283" s="633"/>
      <c r="Y283" s="633"/>
      <c r="Z283" s="633"/>
      <c r="AA283" s="633"/>
      <c r="AB283" s="633"/>
      <c r="AC283" s="633"/>
      <c r="AD283" s="633">
        <f>CCBASE!$I$36*2</f>
        <v>191.630124</v>
      </c>
    </row>
    <row r="284" spans="1:30" x14ac:dyDescent="0.2">
      <c r="A284" s="631" t="s">
        <v>764</v>
      </c>
      <c r="B284" s="631">
        <v>1750</v>
      </c>
      <c r="C284" s="631">
        <v>1250</v>
      </c>
      <c r="D284" s="631" t="str">
        <f t="shared" ref="D284" si="112">A284&amp;B284&amp;C284</f>
        <v>CMWF17501250</v>
      </c>
      <c r="E284" s="1054">
        <f t="shared" si="104"/>
        <v>2002.908884725</v>
      </c>
      <c r="F284" s="632">
        <v>24.5</v>
      </c>
      <c r="G284" s="633">
        <f>F284*CCBASE!$B$51</f>
        <v>882</v>
      </c>
      <c r="H284" s="633">
        <f>CCBASE!$I$12*B284/1000</f>
        <v>209.38844027500002</v>
      </c>
      <c r="I284" s="633"/>
      <c r="J284" s="633"/>
      <c r="K284" s="633"/>
      <c r="L284" s="633">
        <f>CCBASE!$I$13*B284/1000</f>
        <v>419.19089624999998</v>
      </c>
      <c r="M284" s="633"/>
      <c r="N284" s="633">
        <f>CCBASE!$I$7*B284/1000</f>
        <v>55.198990000000002</v>
      </c>
      <c r="O284" s="633">
        <f>CCBASE!$I$45*B284/1000</f>
        <v>17.447500000000002</v>
      </c>
      <c r="P284" s="633"/>
      <c r="Q284" s="633">
        <f>CCBASE!$H$51</f>
        <v>5.16</v>
      </c>
      <c r="R284" s="633">
        <f>CCBASE!$I$4</f>
        <v>8.3986041999999994</v>
      </c>
      <c r="S284" s="633">
        <f>CCBASE!$I$8</f>
        <v>16.25526</v>
      </c>
      <c r="T284" s="633">
        <f>CCBASE!$I$44</f>
        <v>94.69</v>
      </c>
      <c r="U284" s="633">
        <f>CCBASE!$I$47*2</f>
        <v>28.82</v>
      </c>
      <c r="V284" s="633">
        <f>CCBASE!$I$46</f>
        <v>2.44</v>
      </c>
      <c r="W284" s="633">
        <f>CCBASE!$I$40*B284/1000</f>
        <v>72.289069999999995</v>
      </c>
      <c r="X284" s="633"/>
      <c r="Y284" s="633"/>
      <c r="Z284" s="633"/>
      <c r="AA284" s="633"/>
      <c r="AB284" s="633"/>
      <c r="AC284" s="633"/>
      <c r="AD284" s="633">
        <f>CCBASE!$I$36*2</f>
        <v>191.630124</v>
      </c>
    </row>
    <row r="285" spans="1:30" x14ac:dyDescent="0.2">
      <c r="A285" s="631" t="s">
        <v>764</v>
      </c>
      <c r="B285" s="631">
        <v>2000</v>
      </c>
      <c r="C285" s="631">
        <v>1250</v>
      </c>
      <c r="D285" s="631" t="str">
        <f t="shared" si="90"/>
        <v>CMWF20001250</v>
      </c>
      <c r="E285" s="1054">
        <f t="shared" si="104"/>
        <v>2113.4110127999998</v>
      </c>
      <c r="F285" s="632">
        <v>24.5</v>
      </c>
      <c r="G285" s="633">
        <f>F285*CCBASE!$B$51</f>
        <v>882</v>
      </c>
      <c r="H285" s="633">
        <f>CCBASE!$I$12*B285/1000</f>
        <v>239.30107460000002</v>
      </c>
      <c r="I285" s="633"/>
      <c r="J285" s="633"/>
      <c r="K285" s="633"/>
      <c r="L285" s="633">
        <f>CCBASE!$I$13*B285/1000</f>
        <v>479.07531</v>
      </c>
      <c r="M285" s="633"/>
      <c r="N285" s="633">
        <f>CCBASE!$I$7*B285/1000</f>
        <v>63.084560000000003</v>
      </c>
      <c r="O285" s="633">
        <f>CCBASE!$I$45*B285/1000</f>
        <v>19.940000000000001</v>
      </c>
      <c r="P285" s="633"/>
      <c r="Q285" s="633">
        <f>CCBASE!$H$51</f>
        <v>5.16</v>
      </c>
      <c r="R285" s="633">
        <f>CCBASE!$I$4</f>
        <v>8.3986041999999994</v>
      </c>
      <c r="S285" s="633">
        <f>CCBASE!$I$8</f>
        <v>16.25526</v>
      </c>
      <c r="T285" s="633">
        <f>CCBASE!$I$44</f>
        <v>94.69</v>
      </c>
      <c r="U285" s="633">
        <f>CCBASE!$I$47*2</f>
        <v>28.82</v>
      </c>
      <c r="V285" s="633">
        <f>CCBASE!$I$46</f>
        <v>2.44</v>
      </c>
      <c r="W285" s="633">
        <f>CCBASE!$I$40*B285/1000</f>
        <v>82.616079999999997</v>
      </c>
      <c r="X285" s="633"/>
      <c r="Y285" s="633"/>
      <c r="Z285" s="633"/>
      <c r="AA285" s="633"/>
      <c r="AB285" s="633"/>
      <c r="AC285" s="633"/>
      <c r="AD285" s="633">
        <f>CCBASE!$I$36*2</f>
        <v>191.630124</v>
      </c>
    </row>
    <row r="286" spans="1:30" x14ac:dyDescent="0.2">
      <c r="A286" s="631" t="s">
        <v>764</v>
      </c>
      <c r="B286" s="631">
        <v>2250</v>
      </c>
      <c r="C286" s="631">
        <v>1250</v>
      </c>
      <c r="D286" s="631" t="str">
        <f t="shared" ref="D286" si="113">A286&amp;B286&amp;C286</f>
        <v>CMWF22501250</v>
      </c>
      <c r="E286" s="1054">
        <f t="shared" si="104"/>
        <v>2223.9131408749995</v>
      </c>
      <c r="F286" s="632">
        <v>24.5</v>
      </c>
      <c r="G286" s="633">
        <f>F286*CCBASE!$B$51</f>
        <v>882</v>
      </c>
      <c r="H286" s="633">
        <f>CCBASE!$I$12*B286/1000</f>
        <v>269.21370892500005</v>
      </c>
      <c r="I286" s="633"/>
      <c r="J286" s="633"/>
      <c r="K286" s="633"/>
      <c r="L286" s="633">
        <f>CCBASE!$I$13*B286/1000</f>
        <v>538.95972374999997</v>
      </c>
      <c r="M286" s="633"/>
      <c r="N286" s="633">
        <f>CCBASE!$I$7*B286/1000</f>
        <v>70.970130000000012</v>
      </c>
      <c r="O286" s="633">
        <f>CCBASE!$I$45*B286/1000</f>
        <v>22.432500000000001</v>
      </c>
      <c r="P286" s="633"/>
      <c r="Q286" s="633">
        <f>CCBASE!$H$51</f>
        <v>5.16</v>
      </c>
      <c r="R286" s="633">
        <f>CCBASE!$I$4</f>
        <v>8.3986041999999994</v>
      </c>
      <c r="S286" s="633">
        <f>CCBASE!$I$8</f>
        <v>16.25526</v>
      </c>
      <c r="T286" s="633">
        <f>CCBASE!$I$44</f>
        <v>94.69</v>
      </c>
      <c r="U286" s="633">
        <f>CCBASE!$I$47*2</f>
        <v>28.82</v>
      </c>
      <c r="V286" s="633">
        <f>CCBASE!$I$46</f>
        <v>2.44</v>
      </c>
      <c r="W286" s="633">
        <f>CCBASE!$I$40*B286/1000</f>
        <v>92.943089999999998</v>
      </c>
      <c r="X286" s="633"/>
      <c r="Y286" s="633"/>
      <c r="Z286" s="633"/>
      <c r="AA286" s="633"/>
      <c r="AB286" s="633"/>
      <c r="AC286" s="633"/>
      <c r="AD286" s="633">
        <f>CCBASE!$I$36*2</f>
        <v>191.630124</v>
      </c>
    </row>
    <row r="287" spans="1:30" x14ac:dyDescent="0.2">
      <c r="A287" s="631" t="s">
        <v>764</v>
      </c>
      <c r="B287" s="631">
        <v>2500</v>
      </c>
      <c r="C287" s="631">
        <v>1250</v>
      </c>
      <c r="D287" s="631" t="str">
        <f t="shared" si="90"/>
        <v>CMWF25001250</v>
      </c>
      <c r="E287" s="1054">
        <f t="shared" si="104"/>
        <v>2370.4152689500002</v>
      </c>
      <c r="F287" s="632">
        <v>25.5</v>
      </c>
      <c r="G287" s="633">
        <f>F287*CCBASE!$B$51</f>
        <v>918</v>
      </c>
      <c r="H287" s="633">
        <f>CCBASE!$I$12*B287/1000</f>
        <v>299.12634325000005</v>
      </c>
      <c r="I287" s="633"/>
      <c r="J287" s="633"/>
      <c r="K287" s="633"/>
      <c r="L287" s="633">
        <f>CCBASE!$I$13*B287/1000</f>
        <v>598.84413749999999</v>
      </c>
      <c r="M287" s="633"/>
      <c r="N287" s="633">
        <f>CCBASE!$I$7*B287/1000</f>
        <v>78.855699999999999</v>
      </c>
      <c r="O287" s="633">
        <f>CCBASE!$I$45*B287/1000</f>
        <v>24.925000000000001</v>
      </c>
      <c r="P287" s="633"/>
      <c r="Q287" s="633">
        <f>CCBASE!$H$51</f>
        <v>5.16</v>
      </c>
      <c r="R287" s="633">
        <f>CCBASE!$I$4</f>
        <v>8.3986041999999994</v>
      </c>
      <c r="S287" s="633">
        <f>CCBASE!$I$8</f>
        <v>16.25526</v>
      </c>
      <c r="T287" s="633">
        <f>CCBASE!$I$44</f>
        <v>94.69</v>
      </c>
      <c r="U287" s="633">
        <f>CCBASE!$I$47*2</f>
        <v>28.82</v>
      </c>
      <c r="V287" s="633">
        <f>CCBASE!$I$46</f>
        <v>2.44</v>
      </c>
      <c r="W287" s="633">
        <f>CCBASE!$I$40*B287/1000</f>
        <v>103.27009999999999</v>
      </c>
      <c r="X287" s="633"/>
      <c r="Y287" s="633"/>
      <c r="Z287" s="633"/>
      <c r="AA287" s="633"/>
      <c r="AB287" s="633"/>
      <c r="AC287" s="633"/>
      <c r="AD287" s="633">
        <f>CCBASE!$I$36*2</f>
        <v>191.630124</v>
      </c>
    </row>
    <row r="288" spans="1:30" x14ac:dyDescent="0.2">
      <c r="A288" s="631" t="s">
        <v>764</v>
      </c>
      <c r="B288" s="631">
        <v>2750</v>
      </c>
      <c r="C288" s="631">
        <v>1250</v>
      </c>
      <c r="D288" s="631" t="str">
        <f t="shared" ref="D288" si="114">A288&amp;B288&amp;C288</f>
        <v>CMWF27501250</v>
      </c>
      <c r="E288" s="1054">
        <f t="shared" si="104"/>
        <v>2480.9173970250004</v>
      </c>
      <c r="F288" s="632">
        <v>25.5</v>
      </c>
      <c r="G288" s="633">
        <f>F288*CCBASE!$B$51</f>
        <v>918</v>
      </c>
      <c r="H288" s="633">
        <f>CCBASE!$I$12*B288/1000</f>
        <v>329.03897757500005</v>
      </c>
      <c r="I288" s="633"/>
      <c r="J288" s="633"/>
      <c r="K288" s="633"/>
      <c r="L288" s="633">
        <f>CCBASE!$I$13*B288/1000</f>
        <v>658.72855125000001</v>
      </c>
      <c r="M288" s="633"/>
      <c r="N288" s="633">
        <f>CCBASE!$I$7*B288/1000</f>
        <v>86.74127</v>
      </c>
      <c r="O288" s="633">
        <f>CCBASE!$I$45*B288/1000</f>
        <v>27.4175</v>
      </c>
      <c r="P288" s="633"/>
      <c r="Q288" s="633">
        <f>CCBASE!$H$51</f>
        <v>5.16</v>
      </c>
      <c r="R288" s="633">
        <f>CCBASE!$I$4</f>
        <v>8.3986041999999994</v>
      </c>
      <c r="S288" s="633">
        <f>CCBASE!$I$8</f>
        <v>16.25526</v>
      </c>
      <c r="T288" s="633">
        <f>CCBASE!$I$44</f>
        <v>94.69</v>
      </c>
      <c r="U288" s="633">
        <f>CCBASE!$I$47*2</f>
        <v>28.82</v>
      </c>
      <c r="V288" s="633">
        <f>CCBASE!$I$46</f>
        <v>2.44</v>
      </c>
      <c r="W288" s="633">
        <f>CCBASE!$I$40*B288/1000</f>
        <v>113.59711</v>
      </c>
      <c r="X288" s="633"/>
      <c r="Y288" s="633"/>
      <c r="Z288" s="633"/>
      <c r="AA288" s="633"/>
      <c r="AB288" s="633"/>
      <c r="AC288" s="633"/>
      <c r="AD288" s="633">
        <f>CCBASE!$I$36*2</f>
        <v>191.630124</v>
      </c>
    </row>
    <row r="289" spans="1:30" x14ac:dyDescent="0.2">
      <c r="A289" s="631" t="s">
        <v>764</v>
      </c>
      <c r="B289" s="631">
        <v>3000</v>
      </c>
      <c r="C289" s="631">
        <v>1250</v>
      </c>
      <c r="D289" s="631" t="str">
        <f t="shared" si="90"/>
        <v>CMWF30001250</v>
      </c>
      <c r="E289" s="1054">
        <f t="shared" si="104"/>
        <v>2591.4195250999996</v>
      </c>
      <c r="F289" s="632">
        <v>25.5</v>
      </c>
      <c r="G289" s="633">
        <f>F289*CCBASE!$B$51</f>
        <v>918</v>
      </c>
      <c r="H289" s="633">
        <f>CCBASE!$I$12*B289/1000</f>
        <v>358.95161190000005</v>
      </c>
      <c r="I289" s="633"/>
      <c r="J289" s="633"/>
      <c r="K289" s="633"/>
      <c r="L289" s="633">
        <f>CCBASE!$I$13*B289/1000</f>
        <v>718.61296499999992</v>
      </c>
      <c r="M289" s="633"/>
      <c r="N289" s="633">
        <f>CCBASE!$I$7*B289/1000</f>
        <v>94.626840000000016</v>
      </c>
      <c r="O289" s="633">
        <f>CCBASE!$I$45*B289/1000</f>
        <v>29.910000000000004</v>
      </c>
      <c r="P289" s="633"/>
      <c r="Q289" s="633">
        <f>CCBASE!$H$51</f>
        <v>5.16</v>
      </c>
      <c r="R289" s="633">
        <f>CCBASE!$I$4</f>
        <v>8.3986041999999994</v>
      </c>
      <c r="S289" s="633">
        <f>CCBASE!$I$8</f>
        <v>16.25526</v>
      </c>
      <c r="T289" s="633">
        <f>CCBASE!$I$44</f>
        <v>94.69</v>
      </c>
      <c r="U289" s="633">
        <f>CCBASE!$I$47*2</f>
        <v>28.82</v>
      </c>
      <c r="V289" s="633">
        <f>CCBASE!$I$46</f>
        <v>2.44</v>
      </c>
      <c r="W289" s="633">
        <f>CCBASE!$I$40*B289/1000</f>
        <v>123.92412</v>
      </c>
      <c r="X289" s="633"/>
      <c r="Y289" s="633"/>
      <c r="Z289" s="633"/>
      <c r="AA289" s="633"/>
      <c r="AB289" s="633"/>
      <c r="AC289" s="633"/>
      <c r="AD289" s="633">
        <f>CCBASE!$I$36*2</f>
        <v>191.630124</v>
      </c>
    </row>
    <row r="290" spans="1:30" x14ac:dyDescent="0.2">
      <c r="A290" s="631" t="s">
        <v>764</v>
      </c>
      <c r="B290" s="631">
        <v>1000</v>
      </c>
      <c r="C290" s="631">
        <v>1500</v>
      </c>
      <c r="D290" s="631" t="str">
        <f t="shared" si="90"/>
        <v>CMWF10001500</v>
      </c>
      <c r="E290" s="1054">
        <f t="shared" si="104"/>
        <v>1722.0150125</v>
      </c>
      <c r="F290" s="632">
        <v>24.5</v>
      </c>
      <c r="G290" s="633">
        <f>F290*CCBASE!$B$51</f>
        <v>882</v>
      </c>
      <c r="H290" s="633">
        <f>CCBASE!$I$12*B290/1000</f>
        <v>119.65053730000001</v>
      </c>
      <c r="I290" s="633"/>
      <c r="J290" s="633"/>
      <c r="K290" s="633"/>
      <c r="L290" s="633">
        <f>CCBASE!$I$13*B290/1000</f>
        <v>239.537655</v>
      </c>
      <c r="M290" s="633"/>
      <c r="N290" s="633">
        <f>CCBASE!$I$7*B290/1000</f>
        <v>31.542280000000002</v>
      </c>
      <c r="O290" s="633">
        <f>CCBASE!$I$45*B290/1000</f>
        <v>9.9700000000000006</v>
      </c>
      <c r="P290" s="633"/>
      <c r="Q290" s="633">
        <f>CCBASE!$H$51</f>
        <v>5.16</v>
      </c>
      <c r="R290" s="633">
        <f>CCBASE!$I$4</f>
        <v>8.3986041999999994</v>
      </c>
      <c r="S290" s="633">
        <f>CCBASE!$I$8</f>
        <v>16.25526</v>
      </c>
      <c r="T290" s="633">
        <f>CCBASE!$I$44</f>
        <v>94.69</v>
      </c>
      <c r="U290" s="633">
        <f>CCBASE!$I$47</f>
        <v>14.41</v>
      </c>
      <c r="V290" s="633">
        <f>CCBASE!$I$46/2</f>
        <v>1.22</v>
      </c>
      <c r="W290" s="633">
        <f>CCBASE!$I$41*B290/1000</f>
        <v>59.051569999999998</v>
      </c>
      <c r="X290" s="633"/>
      <c r="Y290" s="633"/>
      <c r="Z290" s="633"/>
      <c r="AA290" s="633"/>
      <c r="AB290" s="633"/>
      <c r="AC290" s="633"/>
      <c r="AD290" s="633">
        <f>CCBASE!$I$37*2</f>
        <v>240.12910599999998</v>
      </c>
    </row>
    <row r="291" spans="1:30" x14ac:dyDescent="0.2">
      <c r="A291" s="631" t="s">
        <v>764</v>
      </c>
      <c r="B291" s="631">
        <v>1250</v>
      </c>
      <c r="C291" s="631">
        <v>1500</v>
      </c>
      <c r="D291" s="631" t="str">
        <f t="shared" ref="D291" si="115">A291&amp;B291&amp;C291</f>
        <v>CMWF12501500</v>
      </c>
      <c r="E291" s="1054">
        <f t="shared" si="104"/>
        <v>1851.363023075</v>
      </c>
      <c r="F291" s="632">
        <v>24.5</v>
      </c>
      <c r="G291" s="633">
        <f>F291*CCBASE!$B$51</f>
        <v>882</v>
      </c>
      <c r="H291" s="633">
        <f>CCBASE!$I$12*B291/1000</f>
        <v>149.56317162500002</v>
      </c>
      <c r="I291" s="633"/>
      <c r="J291" s="633"/>
      <c r="K291" s="633"/>
      <c r="L291" s="633">
        <f>CCBASE!$I$13*B291/1000</f>
        <v>299.42206874999999</v>
      </c>
      <c r="M291" s="633"/>
      <c r="N291" s="633">
        <f>CCBASE!$I$7*B291/1000</f>
        <v>39.427849999999999</v>
      </c>
      <c r="O291" s="633">
        <f>CCBASE!$I$45*B291/1000</f>
        <v>12.4625</v>
      </c>
      <c r="P291" s="633"/>
      <c r="Q291" s="633">
        <f>CCBASE!$H$51</f>
        <v>5.16</v>
      </c>
      <c r="R291" s="633">
        <f>CCBASE!$I$4</f>
        <v>8.3986041999999994</v>
      </c>
      <c r="S291" s="633">
        <f>CCBASE!$I$8</f>
        <v>16.25526</v>
      </c>
      <c r="T291" s="633">
        <f>CCBASE!$I$44</f>
        <v>94.69</v>
      </c>
      <c r="U291" s="633">
        <f>CCBASE!$I$47*2</f>
        <v>28.82</v>
      </c>
      <c r="V291" s="633">
        <f>CCBASE!$I$46/2</f>
        <v>1.22</v>
      </c>
      <c r="W291" s="633">
        <f>CCBASE!$I$41*B291/1000</f>
        <v>73.814462499999991</v>
      </c>
      <c r="X291" s="633"/>
      <c r="Y291" s="633"/>
      <c r="Z291" s="633"/>
      <c r="AA291" s="633"/>
      <c r="AB291" s="633"/>
      <c r="AC291" s="633"/>
      <c r="AD291" s="633">
        <f>CCBASE!$I$37*2</f>
        <v>240.12910599999998</v>
      </c>
    </row>
    <row r="292" spans="1:30" x14ac:dyDescent="0.2">
      <c r="A292" s="631" t="s">
        <v>764</v>
      </c>
      <c r="B292" s="631">
        <v>1500</v>
      </c>
      <c r="C292" s="631">
        <v>1500</v>
      </c>
      <c r="D292" s="631" t="str">
        <f t="shared" si="90"/>
        <v>CMWF15001500</v>
      </c>
      <c r="E292" s="1054">
        <f t="shared" si="104"/>
        <v>1966.3010336499997</v>
      </c>
      <c r="F292" s="632">
        <v>24.5</v>
      </c>
      <c r="G292" s="633">
        <f>F292*CCBASE!$B$51</f>
        <v>882</v>
      </c>
      <c r="H292" s="633">
        <f>CCBASE!$I$12*B292/1000</f>
        <v>179.47580595000002</v>
      </c>
      <c r="I292" s="633"/>
      <c r="J292" s="633"/>
      <c r="K292" s="633"/>
      <c r="L292" s="633">
        <f>CCBASE!$I$13*B292/1000</f>
        <v>359.30648249999996</v>
      </c>
      <c r="M292" s="633"/>
      <c r="N292" s="633">
        <f>CCBASE!$I$7*B292/1000</f>
        <v>47.313420000000008</v>
      </c>
      <c r="O292" s="633">
        <f>CCBASE!$I$45*B292/1000</f>
        <v>14.955000000000002</v>
      </c>
      <c r="P292" s="633"/>
      <c r="Q292" s="633">
        <f>CCBASE!$H$51</f>
        <v>5.16</v>
      </c>
      <c r="R292" s="633">
        <f>CCBASE!$I$4</f>
        <v>8.3986041999999994</v>
      </c>
      <c r="S292" s="633">
        <f>CCBASE!$I$8</f>
        <v>16.25526</v>
      </c>
      <c r="T292" s="633">
        <f>CCBASE!$I$44</f>
        <v>94.69</v>
      </c>
      <c r="U292" s="633">
        <f>CCBASE!$I$47*2</f>
        <v>28.82</v>
      </c>
      <c r="V292" s="633">
        <f>CCBASE!$I$46/2</f>
        <v>1.22</v>
      </c>
      <c r="W292" s="633">
        <f>CCBASE!$I$41*B292/1000</f>
        <v>88.577354999999997</v>
      </c>
      <c r="X292" s="633"/>
      <c r="Y292" s="633"/>
      <c r="Z292" s="633"/>
      <c r="AA292" s="633"/>
      <c r="AB292" s="633"/>
      <c r="AC292" s="633"/>
      <c r="AD292" s="633">
        <f>CCBASE!$I$37*2</f>
        <v>240.12910599999998</v>
      </c>
    </row>
    <row r="293" spans="1:30" x14ac:dyDescent="0.2">
      <c r="A293" s="631" t="s">
        <v>764</v>
      </c>
      <c r="B293" s="631">
        <v>1750</v>
      </c>
      <c r="C293" s="631">
        <v>1500</v>
      </c>
      <c r="D293" s="631" t="str">
        <f t="shared" ref="D293" si="116">A293&amp;B293&amp;C293</f>
        <v>CMWF17501500</v>
      </c>
      <c r="E293" s="1054">
        <f t="shared" si="104"/>
        <v>2082.4590442250001</v>
      </c>
      <c r="F293" s="632">
        <v>24.5</v>
      </c>
      <c r="G293" s="633">
        <f>F293*CCBASE!$B$51</f>
        <v>882</v>
      </c>
      <c r="H293" s="633">
        <f>CCBASE!$I$12*B293/1000</f>
        <v>209.38844027500002</v>
      </c>
      <c r="I293" s="633"/>
      <c r="J293" s="633"/>
      <c r="K293" s="633"/>
      <c r="L293" s="633">
        <f>CCBASE!$I$13*B293/1000</f>
        <v>419.19089624999998</v>
      </c>
      <c r="M293" s="633"/>
      <c r="N293" s="633">
        <f>CCBASE!$I$7*B293/1000</f>
        <v>55.198990000000002</v>
      </c>
      <c r="O293" s="633">
        <f>CCBASE!$I$45*B293/1000</f>
        <v>17.447500000000002</v>
      </c>
      <c r="P293" s="633"/>
      <c r="Q293" s="633">
        <f>CCBASE!$H$51</f>
        <v>5.16</v>
      </c>
      <c r="R293" s="633">
        <f>CCBASE!$I$4</f>
        <v>8.3986041999999994</v>
      </c>
      <c r="S293" s="633">
        <f>CCBASE!$I$8</f>
        <v>16.25526</v>
      </c>
      <c r="T293" s="633">
        <f>CCBASE!$I$44</f>
        <v>94.69</v>
      </c>
      <c r="U293" s="633">
        <f>CCBASE!$I$47*2</f>
        <v>28.82</v>
      </c>
      <c r="V293" s="633">
        <f>CCBASE!$I$46</f>
        <v>2.44</v>
      </c>
      <c r="W293" s="633">
        <f>CCBASE!$I$41*B293/1000</f>
        <v>103.3402475</v>
      </c>
      <c r="X293" s="633"/>
      <c r="Y293" s="633"/>
      <c r="Z293" s="633"/>
      <c r="AA293" s="633"/>
      <c r="AB293" s="633"/>
      <c r="AC293" s="633"/>
      <c r="AD293" s="633">
        <f>CCBASE!$I$37*2</f>
        <v>240.12910599999998</v>
      </c>
    </row>
    <row r="294" spans="1:30" x14ac:dyDescent="0.2">
      <c r="A294" s="631" t="s">
        <v>764</v>
      </c>
      <c r="B294" s="631">
        <v>2000</v>
      </c>
      <c r="C294" s="631">
        <v>1500</v>
      </c>
      <c r="D294" s="631" t="str">
        <f t="shared" si="90"/>
        <v>CMWF20001500</v>
      </c>
      <c r="E294" s="1054">
        <f t="shared" si="104"/>
        <v>2197.3970547999998</v>
      </c>
      <c r="F294" s="632">
        <v>24.5</v>
      </c>
      <c r="G294" s="633">
        <f>F294*CCBASE!$B$51</f>
        <v>882</v>
      </c>
      <c r="H294" s="633">
        <f>CCBASE!$I$12*B294/1000</f>
        <v>239.30107460000002</v>
      </c>
      <c r="I294" s="633"/>
      <c r="J294" s="633"/>
      <c r="K294" s="633"/>
      <c r="L294" s="633">
        <f>CCBASE!$I$13*B294/1000</f>
        <v>479.07531</v>
      </c>
      <c r="M294" s="633"/>
      <c r="N294" s="633">
        <f>CCBASE!$I$7*B294/1000</f>
        <v>63.084560000000003</v>
      </c>
      <c r="O294" s="633">
        <f>CCBASE!$I$45*B294/1000</f>
        <v>19.940000000000001</v>
      </c>
      <c r="P294" s="633"/>
      <c r="Q294" s="633">
        <f>CCBASE!$H$51</f>
        <v>5.16</v>
      </c>
      <c r="R294" s="633">
        <f>CCBASE!$I$4</f>
        <v>8.3986041999999994</v>
      </c>
      <c r="S294" s="633">
        <f>CCBASE!$I$8</f>
        <v>16.25526</v>
      </c>
      <c r="T294" s="633">
        <f>CCBASE!$I$44</f>
        <v>94.69</v>
      </c>
      <c r="U294" s="633">
        <f>CCBASE!$I$47*2</f>
        <v>28.82</v>
      </c>
      <c r="V294" s="633">
        <f>CCBASE!$I$46</f>
        <v>2.44</v>
      </c>
      <c r="W294" s="633">
        <f>CCBASE!$I$41*B294/1000</f>
        <v>118.10314</v>
      </c>
      <c r="X294" s="633"/>
      <c r="Y294" s="633"/>
      <c r="Z294" s="633"/>
      <c r="AA294" s="633"/>
      <c r="AB294" s="633"/>
      <c r="AC294" s="633"/>
      <c r="AD294" s="633">
        <f>CCBASE!$I$37*2</f>
        <v>240.12910599999998</v>
      </c>
    </row>
    <row r="295" spans="1:30" x14ac:dyDescent="0.2">
      <c r="A295" s="631" t="s">
        <v>764</v>
      </c>
      <c r="B295" s="631">
        <v>2250</v>
      </c>
      <c r="C295" s="631">
        <v>1500</v>
      </c>
      <c r="D295" s="631" t="str">
        <f t="shared" ref="D295" si="117">A295&amp;B295&amp;C295</f>
        <v>CMWF22501500</v>
      </c>
      <c r="E295" s="1054">
        <f t="shared" si="104"/>
        <v>2348.3350653749994</v>
      </c>
      <c r="F295" s="632">
        <v>25.5</v>
      </c>
      <c r="G295" s="633">
        <f>F295*CCBASE!$B$51</f>
        <v>918</v>
      </c>
      <c r="H295" s="633">
        <f>CCBASE!$I$12*B295/1000</f>
        <v>269.21370892500005</v>
      </c>
      <c r="I295" s="633"/>
      <c r="J295" s="633"/>
      <c r="K295" s="633"/>
      <c r="L295" s="633">
        <f>CCBASE!$I$13*B295/1000</f>
        <v>538.95972374999997</v>
      </c>
      <c r="M295" s="633"/>
      <c r="N295" s="633">
        <f>CCBASE!$I$7*B295/1000</f>
        <v>70.970130000000012</v>
      </c>
      <c r="O295" s="633">
        <f>CCBASE!$I$45*B295/1000</f>
        <v>22.432500000000001</v>
      </c>
      <c r="P295" s="633"/>
      <c r="Q295" s="633">
        <f>CCBASE!$H$51</f>
        <v>5.16</v>
      </c>
      <c r="R295" s="633">
        <f>CCBASE!$I$4</f>
        <v>8.3986041999999994</v>
      </c>
      <c r="S295" s="633">
        <f>CCBASE!$I$8</f>
        <v>16.25526</v>
      </c>
      <c r="T295" s="633">
        <f>CCBASE!$I$44</f>
        <v>94.69</v>
      </c>
      <c r="U295" s="633">
        <f>CCBASE!$I$47*2</f>
        <v>28.82</v>
      </c>
      <c r="V295" s="633">
        <f>CCBASE!$I$46</f>
        <v>2.44</v>
      </c>
      <c r="W295" s="633">
        <f>CCBASE!$I$41*B295/1000</f>
        <v>132.86603249999999</v>
      </c>
      <c r="X295" s="633"/>
      <c r="Y295" s="633"/>
      <c r="Z295" s="633"/>
      <c r="AA295" s="633"/>
      <c r="AB295" s="633"/>
      <c r="AC295" s="633"/>
      <c r="AD295" s="633">
        <f>CCBASE!$I$37*2</f>
        <v>240.12910599999998</v>
      </c>
    </row>
    <row r="296" spans="1:30" x14ac:dyDescent="0.2">
      <c r="A296" s="631" t="s">
        <v>764</v>
      </c>
      <c r="B296" s="631">
        <v>2500</v>
      </c>
      <c r="C296" s="631">
        <v>1500</v>
      </c>
      <c r="D296" s="631" t="str">
        <f t="shared" si="90"/>
        <v>CMWF25001500</v>
      </c>
      <c r="E296" s="1054">
        <f t="shared" si="104"/>
        <v>2463.27307595</v>
      </c>
      <c r="F296" s="632">
        <v>25.5</v>
      </c>
      <c r="G296" s="633">
        <f>F296*CCBASE!$B$51</f>
        <v>918</v>
      </c>
      <c r="H296" s="633">
        <f>CCBASE!$I$12*B296/1000</f>
        <v>299.12634325000005</v>
      </c>
      <c r="I296" s="633"/>
      <c r="J296" s="633"/>
      <c r="K296" s="633"/>
      <c r="L296" s="633">
        <f>CCBASE!$I$13*B296/1000</f>
        <v>598.84413749999999</v>
      </c>
      <c r="M296" s="633"/>
      <c r="N296" s="633">
        <f>CCBASE!$I$7*B296/1000</f>
        <v>78.855699999999999</v>
      </c>
      <c r="O296" s="633">
        <f>CCBASE!$I$45*B296/1000</f>
        <v>24.925000000000001</v>
      </c>
      <c r="P296" s="633"/>
      <c r="Q296" s="633">
        <f>CCBASE!$H$51</f>
        <v>5.16</v>
      </c>
      <c r="R296" s="633">
        <f>CCBASE!$I$4</f>
        <v>8.3986041999999994</v>
      </c>
      <c r="S296" s="633">
        <f>CCBASE!$I$8</f>
        <v>16.25526</v>
      </c>
      <c r="T296" s="633">
        <f>CCBASE!$I$44</f>
        <v>94.69</v>
      </c>
      <c r="U296" s="633">
        <f>CCBASE!$I$47*2</f>
        <v>28.82</v>
      </c>
      <c r="V296" s="633">
        <f>CCBASE!$I$46</f>
        <v>2.44</v>
      </c>
      <c r="W296" s="633">
        <f>CCBASE!$I$41*B296/1000</f>
        <v>147.62892499999998</v>
      </c>
      <c r="X296" s="633"/>
      <c r="Y296" s="633"/>
      <c r="Z296" s="633"/>
      <c r="AA296" s="633"/>
      <c r="AB296" s="633"/>
      <c r="AC296" s="633"/>
      <c r="AD296" s="633">
        <f>CCBASE!$I$37*2</f>
        <v>240.12910599999998</v>
      </c>
    </row>
    <row r="297" spans="1:30" x14ac:dyDescent="0.2">
      <c r="A297" s="631" t="s">
        <v>764</v>
      </c>
      <c r="B297" s="631">
        <v>2750</v>
      </c>
      <c r="C297" s="631">
        <v>1500</v>
      </c>
      <c r="D297" s="631" t="str">
        <f t="shared" ref="D297" si="118">A297&amp;B297&amp;C297</f>
        <v>CMWF27501500</v>
      </c>
      <c r="E297" s="1054">
        <f t="shared" si="104"/>
        <v>2578.2110865250002</v>
      </c>
      <c r="F297" s="632">
        <v>25.5</v>
      </c>
      <c r="G297" s="633">
        <f>F297*CCBASE!$B$51</f>
        <v>918</v>
      </c>
      <c r="H297" s="633">
        <f>CCBASE!$I$12*B297/1000</f>
        <v>329.03897757500005</v>
      </c>
      <c r="I297" s="633"/>
      <c r="J297" s="633"/>
      <c r="K297" s="633"/>
      <c r="L297" s="633">
        <f>CCBASE!$I$13*B297/1000</f>
        <v>658.72855125000001</v>
      </c>
      <c r="M297" s="633"/>
      <c r="N297" s="633">
        <f>CCBASE!$I$7*B297/1000</f>
        <v>86.74127</v>
      </c>
      <c r="O297" s="633">
        <f>CCBASE!$I$45*B297/1000</f>
        <v>27.4175</v>
      </c>
      <c r="P297" s="633"/>
      <c r="Q297" s="633">
        <f>CCBASE!$H$51</f>
        <v>5.16</v>
      </c>
      <c r="R297" s="633">
        <f>CCBASE!$I$4</f>
        <v>8.3986041999999994</v>
      </c>
      <c r="S297" s="633">
        <f>CCBASE!$I$8</f>
        <v>16.25526</v>
      </c>
      <c r="T297" s="633">
        <f>CCBASE!$I$44</f>
        <v>94.69</v>
      </c>
      <c r="U297" s="633">
        <f>CCBASE!$I$47*2</f>
        <v>28.82</v>
      </c>
      <c r="V297" s="633">
        <f>CCBASE!$I$46</f>
        <v>2.44</v>
      </c>
      <c r="W297" s="633">
        <f>CCBASE!$I$41*B297/1000</f>
        <v>162.3918175</v>
      </c>
      <c r="X297" s="633"/>
      <c r="Y297" s="633"/>
      <c r="Z297" s="633"/>
      <c r="AA297" s="633"/>
      <c r="AB297" s="633"/>
      <c r="AC297" s="633"/>
      <c r="AD297" s="633">
        <f>CCBASE!$I$37*2</f>
        <v>240.12910599999998</v>
      </c>
    </row>
    <row r="298" spans="1:30" x14ac:dyDescent="0.2">
      <c r="A298" s="631" t="s">
        <v>764</v>
      </c>
      <c r="B298" s="631">
        <v>3000</v>
      </c>
      <c r="C298" s="631">
        <v>1500</v>
      </c>
      <c r="D298" s="631" t="str">
        <f t="shared" si="90"/>
        <v>CMWF30001500</v>
      </c>
      <c r="E298" s="1054">
        <f t="shared" si="104"/>
        <v>2693.1490970999994</v>
      </c>
      <c r="F298" s="632">
        <v>25.5</v>
      </c>
      <c r="G298" s="633">
        <f>F298*CCBASE!$B$51</f>
        <v>918</v>
      </c>
      <c r="H298" s="633">
        <f>CCBASE!$I$12*B298/1000</f>
        <v>358.95161190000005</v>
      </c>
      <c r="I298" s="633"/>
      <c r="J298" s="633"/>
      <c r="K298" s="633"/>
      <c r="L298" s="633">
        <f>CCBASE!$I$13*B298/1000</f>
        <v>718.61296499999992</v>
      </c>
      <c r="M298" s="633"/>
      <c r="N298" s="633">
        <f>CCBASE!$I$7*B298/1000</f>
        <v>94.626840000000016</v>
      </c>
      <c r="O298" s="633">
        <f>CCBASE!$I$45*B298/1000</f>
        <v>29.910000000000004</v>
      </c>
      <c r="P298" s="633"/>
      <c r="Q298" s="633">
        <f>CCBASE!$H$51</f>
        <v>5.16</v>
      </c>
      <c r="R298" s="633">
        <f>CCBASE!$I$4</f>
        <v>8.3986041999999994</v>
      </c>
      <c r="S298" s="633">
        <f>CCBASE!$I$8</f>
        <v>16.25526</v>
      </c>
      <c r="T298" s="633">
        <f>CCBASE!$I$44</f>
        <v>94.69</v>
      </c>
      <c r="U298" s="633">
        <f>CCBASE!$I$47*2</f>
        <v>28.82</v>
      </c>
      <c r="V298" s="633">
        <f>CCBASE!$I$46</f>
        <v>2.44</v>
      </c>
      <c r="W298" s="633">
        <f>CCBASE!$I$41*B298/1000</f>
        <v>177.15470999999999</v>
      </c>
      <c r="X298" s="633"/>
      <c r="Y298" s="633"/>
      <c r="Z298" s="633"/>
      <c r="AA298" s="633"/>
      <c r="AB298" s="633"/>
      <c r="AC298" s="633"/>
      <c r="AD298" s="633">
        <f>CCBASE!$I$37*2</f>
        <v>240.12910599999998</v>
      </c>
    </row>
    <row r="299" spans="1:30" x14ac:dyDescent="0.2">
      <c r="A299" s="631" t="s">
        <v>764</v>
      </c>
      <c r="B299" s="631">
        <v>1000</v>
      </c>
      <c r="C299" s="631">
        <v>1750</v>
      </c>
      <c r="D299" s="631" t="str">
        <f t="shared" si="90"/>
        <v>CMWF10001750</v>
      </c>
      <c r="E299" s="1054">
        <f t="shared" si="104"/>
        <v>1765.7823865</v>
      </c>
      <c r="F299" s="632">
        <v>24.5</v>
      </c>
      <c r="G299" s="633">
        <f>F299*CCBASE!$B$51</f>
        <v>882</v>
      </c>
      <c r="H299" s="633">
        <f>CCBASE!$I$12*B299/1000</f>
        <v>119.65053730000001</v>
      </c>
      <c r="I299" s="633"/>
      <c r="J299" s="633"/>
      <c r="K299" s="633"/>
      <c r="L299" s="633">
        <f>CCBASE!$I$13*B299/1000</f>
        <v>239.537655</v>
      </c>
      <c r="M299" s="633"/>
      <c r="N299" s="633">
        <f>CCBASE!$I$7*B299/1000</f>
        <v>31.542280000000002</v>
      </c>
      <c r="O299" s="633">
        <f>CCBASE!$I$45*B299/1000</f>
        <v>9.9700000000000006</v>
      </c>
      <c r="P299" s="633"/>
      <c r="Q299" s="633">
        <f>CCBASE!$H$51</f>
        <v>5.16</v>
      </c>
      <c r="R299" s="633">
        <f>CCBASE!$I$4</f>
        <v>8.3986041999999994</v>
      </c>
      <c r="S299" s="633">
        <f>CCBASE!$I$8</f>
        <v>16.25526</v>
      </c>
      <c r="T299" s="633">
        <f>CCBASE!$I$44</f>
        <v>94.69</v>
      </c>
      <c r="U299" s="633">
        <f>CCBASE!$I$47</f>
        <v>14.41</v>
      </c>
      <c r="V299" s="633">
        <f>CCBASE!$I$46/2</f>
        <v>1.22</v>
      </c>
      <c r="W299" s="633">
        <f>CCBASE!$I$42*B299/1000</f>
        <v>70.880589999999998</v>
      </c>
      <c r="X299" s="633"/>
      <c r="Y299" s="633"/>
      <c r="Z299" s="633"/>
      <c r="AA299" s="633"/>
      <c r="AB299" s="633"/>
      <c r="AC299" s="633"/>
      <c r="AD299" s="633">
        <f>CCBASE!$I$38*2</f>
        <v>272.06745999999998</v>
      </c>
    </row>
    <row r="300" spans="1:30" x14ac:dyDescent="0.2">
      <c r="A300" s="631" t="s">
        <v>764</v>
      </c>
      <c r="B300" s="631">
        <v>1250</v>
      </c>
      <c r="C300" s="631">
        <v>1750</v>
      </c>
      <c r="D300" s="631" t="str">
        <f t="shared" ref="D300" si="119">A300&amp;B300&amp;C300</f>
        <v>CMWF12501750</v>
      </c>
      <c r="E300" s="1054">
        <f t="shared" si="104"/>
        <v>1898.0876520750001</v>
      </c>
      <c r="F300" s="632">
        <v>24.5</v>
      </c>
      <c r="G300" s="633">
        <f>F300*CCBASE!$B$51</f>
        <v>882</v>
      </c>
      <c r="H300" s="633">
        <f>CCBASE!$I$12*B300/1000</f>
        <v>149.56317162500002</v>
      </c>
      <c r="I300" s="633"/>
      <c r="J300" s="633"/>
      <c r="K300" s="633"/>
      <c r="L300" s="633">
        <f>CCBASE!$I$13*B300/1000</f>
        <v>299.42206874999999</v>
      </c>
      <c r="M300" s="633"/>
      <c r="N300" s="633">
        <f>CCBASE!$I$7*B300/1000</f>
        <v>39.427849999999999</v>
      </c>
      <c r="O300" s="633">
        <f>CCBASE!$I$45*B300/1000</f>
        <v>12.4625</v>
      </c>
      <c r="P300" s="633"/>
      <c r="Q300" s="633">
        <f>CCBASE!$H$51</f>
        <v>5.16</v>
      </c>
      <c r="R300" s="633">
        <f>CCBASE!$I$4</f>
        <v>8.3986041999999994</v>
      </c>
      <c r="S300" s="633">
        <f>CCBASE!$I$8</f>
        <v>16.25526</v>
      </c>
      <c r="T300" s="633">
        <f>CCBASE!$I$44</f>
        <v>94.69</v>
      </c>
      <c r="U300" s="633">
        <f>CCBASE!$I$47*2</f>
        <v>28.82</v>
      </c>
      <c r="V300" s="633">
        <f>CCBASE!$I$46/2</f>
        <v>1.22</v>
      </c>
      <c r="W300" s="633">
        <f>CCBASE!$I$42*B300/1000</f>
        <v>88.600737500000008</v>
      </c>
      <c r="X300" s="633"/>
      <c r="Y300" s="633"/>
      <c r="Z300" s="633"/>
      <c r="AA300" s="633"/>
      <c r="AB300" s="633"/>
      <c r="AC300" s="633"/>
      <c r="AD300" s="633">
        <f>CCBASE!$I$38*2</f>
        <v>272.06745999999998</v>
      </c>
    </row>
    <row r="301" spans="1:30" x14ac:dyDescent="0.2">
      <c r="A301" s="631" t="s">
        <v>764</v>
      </c>
      <c r="B301" s="631">
        <v>1500</v>
      </c>
      <c r="C301" s="631">
        <v>1750</v>
      </c>
      <c r="D301" s="631" t="str">
        <f t="shared" si="90"/>
        <v>CMWF15001750</v>
      </c>
      <c r="E301" s="1054">
        <f t="shared" si="104"/>
        <v>2015.9829176499998</v>
      </c>
      <c r="F301" s="632">
        <v>24.5</v>
      </c>
      <c r="G301" s="633">
        <f>F301*CCBASE!$B$51</f>
        <v>882</v>
      </c>
      <c r="H301" s="633">
        <f>CCBASE!$I$12*B301/1000</f>
        <v>179.47580595000002</v>
      </c>
      <c r="I301" s="633"/>
      <c r="J301" s="633"/>
      <c r="K301" s="633"/>
      <c r="L301" s="633">
        <f>CCBASE!$I$13*B301/1000</f>
        <v>359.30648249999996</v>
      </c>
      <c r="M301" s="633"/>
      <c r="N301" s="633">
        <f>CCBASE!$I$7*B301/1000</f>
        <v>47.313420000000008</v>
      </c>
      <c r="O301" s="633">
        <f>CCBASE!$I$45*B301/1000</f>
        <v>14.955000000000002</v>
      </c>
      <c r="P301" s="633"/>
      <c r="Q301" s="633">
        <f>CCBASE!$H$51</f>
        <v>5.16</v>
      </c>
      <c r="R301" s="633">
        <f>CCBASE!$I$4</f>
        <v>8.3986041999999994</v>
      </c>
      <c r="S301" s="633">
        <f>CCBASE!$I$8</f>
        <v>16.25526</v>
      </c>
      <c r="T301" s="633">
        <f>CCBASE!$I$44</f>
        <v>94.69</v>
      </c>
      <c r="U301" s="633">
        <f>CCBASE!$I$47*2</f>
        <v>28.82</v>
      </c>
      <c r="V301" s="633">
        <f>CCBASE!$I$46/2</f>
        <v>1.22</v>
      </c>
      <c r="W301" s="633">
        <f>CCBASE!$I$42*B301/1000</f>
        <v>106.32088499999999</v>
      </c>
      <c r="X301" s="633"/>
      <c r="Y301" s="633"/>
      <c r="Z301" s="633"/>
      <c r="AA301" s="633"/>
      <c r="AB301" s="633"/>
      <c r="AC301" s="633"/>
      <c r="AD301" s="633">
        <f>CCBASE!$I$38*2</f>
        <v>272.06745999999998</v>
      </c>
    </row>
    <row r="302" spans="1:30" x14ac:dyDescent="0.2">
      <c r="A302" s="631" t="s">
        <v>764</v>
      </c>
      <c r="B302" s="631">
        <v>1750</v>
      </c>
      <c r="C302" s="631">
        <v>1750</v>
      </c>
      <c r="D302" s="631" t="str">
        <f t="shared" ref="D302" si="120">A302&amp;B302&amp;C302</f>
        <v>CMWF17501750</v>
      </c>
      <c r="E302" s="1054">
        <f t="shared" si="104"/>
        <v>2135.098183225</v>
      </c>
      <c r="F302" s="632">
        <v>24.5</v>
      </c>
      <c r="G302" s="633">
        <f>F302*CCBASE!$B$51</f>
        <v>882</v>
      </c>
      <c r="H302" s="633">
        <f>CCBASE!$I$12*B302/1000</f>
        <v>209.38844027500002</v>
      </c>
      <c r="I302" s="633"/>
      <c r="J302" s="633"/>
      <c r="K302" s="633"/>
      <c r="L302" s="633">
        <f>CCBASE!$I$13*B302/1000</f>
        <v>419.19089624999998</v>
      </c>
      <c r="M302" s="633"/>
      <c r="N302" s="633">
        <f>CCBASE!$I$7*B302/1000</f>
        <v>55.198990000000002</v>
      </c>
      <c r="O302" s="633">
        <f>CCBASE!$I$45*B302/1000</f>
        <v>17.447500000000002</v>
      </c>
      <c r="P302" s="633"/>
      <c r="Q302" s="633">
        <f>CCBASE!$H$51</f>
        <v>5.16</v>
      </c>
      <c r="R302" s="633">
        <f>CCBASE!$I$4</f>
        <v>8.3986041999999994</v>
      </c>
      <c r="S302" s="633">
        <f>CCBASE!$I$8</f>
        <v>16.25526</v>
      </c>
      <c r="T302" s="633">
        <f>CCBASE!$I$44</f>
        <v>94.69</v>
      </c>
      <c r="U302" s="633">
        <f>CCBASE!$I$47*2</f>
        <v>28.82</v>
      </c>
      <c r="V302" s="633">
        <f>CCBASE!$I$46</f>
        <v>2.44</v>
      </c>
      <c r="W302" s="633">
        <f>CCBASE!$I$42*B302/1000</f>
        <v>124.0410325</v>
      </c>
      <c r="X302" s="633"/>
      <c r="Y302" s="633"/>
      <c r="Z302" s="633"/>
      <c r="AA302" s="633"/>
      <c r="AB302" s="633"/>
      <c r="AC302" s="633"/>
      <c r="AD302" s="633">
        <f>CCBASE!$I$38*2</f>
        <v>272.06745999999998</v>
      </c>
    </row>
    <row r="303" spans="1:30" x14ac:dyDescent="0.2">
      <c r="A303" s="631" t="s">
        <v>764</v>
      </c>
      <c r="B303" s="631">
        <v>2000</v>
      </c>
      <c r="C303" s="631">
        <v>1750</v>
      </c>
      <c r="D303" s="631" t="str">
        <f t="shared" si="90"/>
        <v>CMWF20001750</v>
      </c>
      <c r="E303" s="1054">
        <f t="shared" si="104"/>
        <v>2252.9934487999999</v>
      </c>
      <c r="F303" s="632">
        <v>24.5</v>
      </c>
      <c r="G303" s="633">
        <f>F303*CCBASE!$B$51</f>
        <v>882</v>
      </c>
      <c r="H303" s="633">
        <f>CCBASE!$I$12*B303/1000</f>
        <v>239.30107460000002</v>
      </c>
      <c r="I303" s="633"/>
      <c r="J303" s="633"/>
      <c r="K303" s="633"/>
      <c r="L303" s="633">
        <f>CCBASE!$I$13*B303/1000</f>
        <v>479.07531</v>
      </c>
      <c r="M303" s="633"/>
      <c r="N303" s="633">
        <f>CCBASE!$I$7*B303/1000</f>
        <v>63.084560000000003</v>
      </c>
      <c r="O303" s="633">
        <f>CCBASE!$I$45*B303/1000</f>
        <v>19.940000000000001</v>
      </c>
      <c r="P303" s="633"/>
      <c r="Q303" s="633">
        <f>CCBASE!$H$51</f>
        <v>5.16</v>
      </c>
      <c r="R303" s="633">
        <f>CCBASE!$I$4</f>
        <v>8.3986041999999994</v>
      </c>
      <c r="S303" s="633">
        <f>CCBASE!$I$8</f>
        <v>16.25526</v>
      </c>
      <c r="T303" s="633">
        <f>CCBASE!$I$44</f>
        <v>94.69</v>
      </c>
      <c r="U303" s="633">
        <f>CCBASE!$I$47*2</f>
        <v>28.82</v>
      </c>
      <c r="V303" s="633">
        <f>CCBASE!$I$46</f>
        <v>2.44</v>
      </c>
      <c r="W303" s="633">
        <f>CCBASE!$I$42*B303/1000</f>
        <v>141.76118</v>
      </c>
      <c r="X303" s="633"/>
      <c r="Y303" s="633"/>
      <c r="Z303" s="633"/>
      <c r="AA303" s="633"/>
      <c r="AB303" s="633"/>
      <c r="AC303" s="633"/>
      <c r="AD303" s="633">
        <f>CCBASE!$I$38*2</f>
        <v>272.06745999999998</v>
      </c>
    </row>
    <row r="304" spans="1:30" x14ac:dyDescent="0.2">
      <c r="A304" s="631" t="s">
        <v>764</v>
      </c>
      <c r="B304" s="631">
        <v>2250</v>
      </c>
      <c r="C304" s="631">
        <v>1750</v>
      </c>
      <c r="D304" s="631" t="str">
        <f t="shared" ref="D304" si="121">A304&amp;B304&amp;C304</f>
        <v>CMWF22501750</v>
      </c>
      <c r="E304" s="1054">
        <f t="shared" si="104"/>
        <v>2406.8887143749998</v>
      </c>
      <c r="F304" s="632">
        <v>25.5</v>
      </c>
      <c r="G304" s="633">
        <f>F304*CCBASE!$B$51</f>
        <v>918</v>
      </c>
      <c r="H304" s="633">
        <f>CCBASE!$I$12*B304/1000</f>
        <v>269.21370892500005</v>
      </c>
      <c r="I304" s="633"/>
      <c r="J304" s="633"/>
      <c r="K304" s="633"/>
      <c r="L304" s="633">
        <f>CCBASE!$I$13*B304/1000</f>
        <v>538.95972374999997</v>
      </c>
      <c r="M304" s="633"/>
      <c r="N304" s="633">
        <f>CCBASE!$I$7*B304/1000</f>
        <v>70.970130000000012</v>
      </c>
      <c r="O304" s="633">
        <f>CCBASE!$I$45*B304/1000</f>
        <v>22.432500000000001</v>
      </c>
      <c r="P304" s="633"/>
      <c r="Q304" s="633">
        <f>CCBASE!$H$51</f>
        <v>5.16</v>
      </c>
      <c r="R304" s="633">
        <f>CCBASE!$I$4</f>
        <v>8.3986041999999994</v>
      </c>
      <c r="S304" s="633">
        <f>CCBASE!$I$8</f>
        <v>16.25526</v>
      </c>
      <c r="T304" s="633">
        <f>CCBASE!$I$44</f>
        <v>94.69</v>
      </c>
      <c r="U304" s="633">
        <f>CCBASE!$I$47*2</f>
        <v>28.82</v>
      </c>
      <c r="V304" s="633">
        <f>CCBASE!$I$46</f>
        <v>2.44</v>
      </c>
      <c r="W304" s="633">
        <f>CCBASE!$I$42*B304/1000</f>
        <v>159.48132749999999</v>
      </c>
      <c r="X304" s="633"/>
      <c r="Y304" s="633"/>
      <c r="Z304" s="633"/>
      <c r="AA304" s="633"/>
      <c r="AB304" s="633"/>
      <c r="AC304" s="633"/>
      <c r="AD304" s="633">
        <f>CCBASE!$I$38*2</f>
        <v>272.06745999999998</v>
      </c>
    </row>
    <row r="305" spans="1:30" x14ac:dyDescent="0.2">
      <c r="A305" s="631" t="s">
        <v>764</v>
      </c>
      <c r="B305" s="631">
        <v>2500</v>
      </c>
      <c r="C305" s="631">
        <v>1750</v>
      </c>
      <c r="D305" s="631" t="str">
        <f t="shared" si="90"/>
        <v>CMWF25001750</v>
      </c>
      <c r="E305" s="1054">
        <f t="shared" si="104"/>
        <v>2524.7839799499998</v>
      </c>
      <c r="F305" s="632">
        <v>25.5</v>
      </c>
      <c r="G305" s="633">
        <f>F305*CCBASE!$B$51</f>
        <v>918</v>
      </c>
      <c r="H305" s="633">
        <f>CCBASE!$I$12*B305/1000</f>
        <v>299.12634325000005</v>
      </c>
      <c r="I305" s="633"/>
      <c r="J305" s="633"/>
      <c r="K305" s="633"/>
      <c r="L305" s="633">
        <f>CCBASE!$I$13*B305/1000</f>
        <v>598.84413749999999</v>
      </c>
      <c r="M305" s="633"/>
      <c r="N305" s="633">
        <f>CCBASE!$I$7*B305/1000</f>
        <v>78.855699999999999</v>
      </c>
      <c r="O305" s="633">
        <f>CCBASE!$I$45*B305/1000</f>
        <v>24.925000000000001</v>
      </c>
      <c r="P305" s="633"/>
      <c r="Q305" s="633">
        <f>CCBASE!$H$51</f>
        <v>5.16</v>
      </c>
      <c r="R305" s="633">
        <f>CCBASE!$I$4</f>
        <v>8.3986041999999994</v>
      </c>
      <c r="S305" s="633">
        <f>CCBASE!$I$8</f>
        <v>16.25526</v>
      </c>
      <c r="T305" s="633">
        <f>CCBASE!$I$44</f>
        <v>94.69</v>
      </c>
      <c r="U305" s="633">
        <f>CCBASE!$I$47*2</f>
        <v>28.82</v>
      </c>
      <c r="V305" s="633">
        <f>CCBASE!$I$46</f>
        <v>2.44</v>
      </c>
      <c r="W305" s="633">
        <f>CCBASE!$I$42*B305/1000</f>
        <v>177.20147500000002</v>
      </c>
      <c r="X305" s="633"/>
      <c r="Y305" s="633"/>
      <c r="Z305" s="633"/>
      <c r="AA305" s="633"/>
      <c r="AB305" s="633"/>
      <c r="AC305" s="633"/>
      <c r="AD305" s="633">
        <f>CCBASE!$I$38*2</f>
        <v>272.06745999999998</v>
      </c>
    </row>
    <row r="306" spans="1:30" x14ac:dyDescent="0.2">
      <c r="A306" s="631" t="s">
        <v>764</v>
      </c>
      <c r="B306" s="631">
        <v>2750</v>
      </c>
      <c r="C306" s="631">
        <v>1750</v>
      </c>
      <c r="D306" s="631" t="str">
        <f t="shared" ref="D306" si="122">A306&amp;B306&amp;C306</f>
        <v>CMWF27501750</v>
      </c>
      <c r="E306" s="1054">
        <f t="shared" si="104"/>
        <v>2642.6792455250006</v>
      </c>
      <c r="F306" s="632">
        <v>25.5</v>
      </c>
      <c r="G306" s="633">
        <f>F306*CCBASE!$B$51</f>
        <v>918</v>
      </c>
      <c r="H306" s="633">
        <f>CCBASE!$I$12*B306/1000</f>
        <v>329.03897757500005</v>
      </c>
      <c r="I306" s="633"/>
      <c r="J306" s="633"/>
      <c r="K306" s="633"/>
      <c r="L306" s="633">
        <f>CCBASE!$I$13*B306/1000</f>
        <v>658.72855125000001</v>
      </c>
      <c r="M306" s="633"/>
      <c r="N306" s="633">
        <f>CCBASE!$I$7*B306/1000</f>
        <v>86.74127</v>
      </c>
      <c r="O306" s="633">
        <f>CCBASE!$I$45*B306/1000</f>
        <v>27.4175</v>
      </c>
      <c r="P306" s="633"/>
      <c r="Q306" s="633">
        <f>CCBASE!$H$51</f>
        <v>5.16</v>
      </c>
      <c r="R306" s="633">
        <f>CCBASE!$I$4</f>
        <v>8.3986041999999994</v>
      </c>
      <c r="S306" s="633">
        <f>CCBASE!$I$8</f>
        <v>16.25526</v>
      </c>
      <c r="T306" s="633">
        <f>CCBASE!$I$44</f>
        <v>94.69</v>
      </c>
      <c r="U306" s="633">
        <f>CCBASE!$I$47*2</f>
        <v>28.82</v>
      </c>
      <c r="V306" s="633">
        <f>CCBASE!$I$46</f>
        <v>2.44</v>
      </c>
      <c r="W306" s="633">
        <f>CCBASE!$I$42*B306/1000</f>
        <v>194.92162249999998</v>
      </c>
      <c r="X306" s="633"/>
      <c r="Y306" s="633"/>
      <c r="Z306" s="633"/>
      <c r="AA306" s="633"/>
      <c r="AB306" s="633"/>
      <c r="AC306" s="633"/>
      <c r="AD306" s="633">
        <f>CCBASE!$I$38*2</f>
        <v>272.06745999999998</v>
      </c>
    </row>
    <row r="307" spans="1:30" x14ac:dyDescent="0.2">
      <c r="A307" s="631" t="s">
        <v>764</v>
      </c>
      <c r="B307" s="631">
        <v>3000</v>
      </c>
      <c r="C307" s="631">
        <v>1750</v>
      </c>
      <c r="D307" s="631" t="str">
        <f t="shared" si="90"/>
        <v>CMWF30001750</v>
      </c>
      <c r="E307" s="1054">
        <f t="shared" si="104"/>
        <v>2760.5745110999997</v>
      </c>
      <c r="F307" s="632">
        <v>25.5</v>
      </c>
      <c r="G307" s="633">
        <f>F307*CCBASE!$B$51</f>
        <v>918</v>
      </c>
      <c r="H307" s="633">
        <f>CCBASE!$I$12*B307/1000</f>
        <v>358.95161190000005</v>
      </c>
      <c r="I307" s="633"/>
      <c r="J307" s="633"/>
      <c r="K307" s="633"/>
      <c r="L307" s="633">
        <f>CCBASE!$I$13*B307/1000</f>
        <v>718.61296499999992</v>
      </c>
      <c r="M307" s="633"/>
      <c r="N307" s="633">
        <f>CCBASE!$I$7*B307/1000</f>
        <v>94.626840000000016</v>
      </c>
      <c r="O307" s="633">
        <f>CCBASE!$I$45*B307/1000</f>
        <v>29.910000000000004</v>
      </c>
      <c r="P307" s="633"/>
      <c r="Q307" s="633">
        <f>CCBASE!$H$51</f>
        <v>5.16</v>
      </c>
      <c r="R307" s="633">
        <f>CCBASE!$I$4</f>
        <v>8.3986041999999994</v>
      </c>
      <c r="S307" s="633">
        <f>CCBASE!$I$8</f>
        <v>16.25526</v>
      </c>
      <c r="T307" s="633">
        <f>CCBASE!$I$44</f>
        <v>94.69</v>
      </c>
      <c r="U307" s="633">
        <f>CCBASE!$I$47*2</f>
        <v>28.82</v>
      </c>
      <c r="V307" s="633">
        <f>CCBASE!$I$46</f>
        <v>2.44</v>
      </c>
      <c r="W307" s="633">
        <f>CCBASE!$I$42*B307/1000</f>
        <v>212.64176999999998</v>
      </c>
      <c r="X307" s="633"/>
      <c r="Y307" s="633"/>
      <c r="Z307" s="633"/>
      <c r="AA307" s="633"/>
      <c r="AB307" s="633"/>
      <c r="AC307" s="633"/>
      <c r="AD307" s="633">
        <f>CCBASE!$I$38*2</f>
        <v>272.06745999999998</v>
      </c>
    </row>
    <row r="308" spans="1:30" x14ac:dyDescent="0.2">
      <c r="A308" s="631" t="s">
        <v>764</v>
      </c>
      <c r="B308" s="631">
        <v>1000</v>
      </c>
      <c r="C308" s="631">
        <v>2000</v>
      </c>
      <c r="D308" s="631" t="str">
        <f t="shared" ref="D308:D316" si="123">A308&amp;B308&amp;C308</f>
        <v>CMWF10002000</v>
      </c>
      <c r="E308" s="1054">
        <f>SUM(G308:AD308)</f>
        <v>1783.5259165</v>
      </c>
      <c r="F308" s="632">
        <v>24.5</v>
      </c>
      <c r="G308" s="633">
        <f>F308*CCBASE!$B$51</f>
        <v>882</v>
      </c>
      <c r="H308" s="633">
        <f>CCBASE!$I$12*B308/1000</f>
        <v>119.65053730000001</v>
      </c>
      <c r="I308" s="633"/>
      <c r="J308" s="633"/>
      <c r="K308" s="633"/>
      <c r="L308" s="633">
        <f>CCBASE!$I$13*B308/1000</f>
        <v>239.537655</v>
      </c>
      <c r="M308" s="633"/>
      <c r="N308" s="633">
        <f>CCBASE!$I$7*B308/1000</f>
        <v>31.542280000000002</v>
      </c>
      <c r="O308" s="633">
        <f>CCBASE!$I$45*B308/1000</f>
        <v>9.9700000000000006</v>
      </c>
      <c r="P308" s="633"/>
      <c r="Q308" s="633">
        <f>CCBASE!$H$51</f>
        <v>5.16</v>
      </c>
      <c r="R308" s="633">
        <f>CCBASE!$I$4</f>
        <v>8.3986041999999994</v>
      </c>
      <c r="S308" s="633">
        <f>CCBASE!$I$8</f>
        <v>16.25526</v>
      </c>
      <c r="T308" s="633">
        <f>CCBASE!$I$44</f>
        <v>94.69</v>
      </c>
      <c r="U308" s="633">
        <f>CCBASE!$I$47</f>
        <v>14.41</v>
      </c>
      <c r="V308" s="633">
        <f>CCBASE!$I$46/2</f>
        <v>1.22</v>
      </c>
      <c r="W308" s="633">
        <f>CCBASE!$I$43*B308/1000</f>
        <v>88.624119999999991</v>
      </c>
      <c r="X308" s="633"/>
      <c r="Y308" s="633"/>
      <c r="Z308" s="633"/>
      <c r="AA308" s="633"/>
      <c r="AB308" s="633"/>
      <c r="AC308" s="633"/>
      <c r="AD308" s="633">
        <f>CCBASE!$I$38*2</f>
        <v>272.06745999999998</v>
      </c>
    </row>
    <row r="309" spans="1:30" x14ac:dyDescent="0.2">
      <c r="A309" s="631" t="s">
        <v>764</v>
      </c>
      <c r="B309" s="631">
        <v>1250</v>
      </c>
      <c r="C309" s="631">
        <v>2000</v>
      </c>
      <c r="D309" s="631" t="str">
        <f t="shared" si="123"/>
        <v>CMWF12502000</v>
      </c>
      <c r="E309" s="1054">
        <f t="shared" ref="E309:E316" si="124">SUM(G309:AD309)</f>
        <v>1920.2670645750002</v>
      </c>
      <c r="F309" s="632">
        <v>24.5</v>
      </c>
      <c r="G309" s="633">
        <f>F309*CCBASE!$B$51</f>
        <v>882</v>
      </c>
      <c r="H309" s="633">
        <f>CCBASE!$I$12*B309/1000</f>
        <v>149.56317162500002</v>
      </c>
      <c r="I309" s="633"/>
      <c r="J309" s="633"/>
      <c r="K309" s="633"/>
      <c r="L309" s="633">
        <f>CCBASE!$I$13*B309/1000</f>
        <v>299.42206874999999</v>
      </c>
      <c r="M309" s="633"/>
      <c r="N309" s="633">
        <f>CCBASE!$I$7*B309/1000</f>
        <v>39.427849999999999</v>
      </c>
      <c r="O309" s="633">
        <f>CCBASE!$I$45*B309/1000</f>
        <v>12.4625</v>
      </c>
      <c r="P309" s="633"/>
      <c r="Q309" s="633">
        <f>CCBASE!$H$51</f>
        <v>5.16</v>
      </c>
      <c r="R309" s="633">
        <f>CCBASE!$I$4</f>
        <v>8.3986041999999994</v>
      </c>
      <c r="S309" s="633">
        <f>CCBASE!$I$8</f>
        <v>16.25526</v>
      </c>
      <c r="T309" s="633">
        <f>CCBASE!$I$44</f>
        <v>94.69</v>
      </c>
      <c r="U309" s="633">
        <f>CCBASE!$I$47*2</f>
        <v>28.82</v>
      </c>
      <c r="V309" s="633">
        <f>CCBASE!$I$46/2</f>
        <v>1.22</v>
      </c>
      <c r="W309" s="633">
        <f>CCBASE!$I$43*B309/1000</f>
        <v>110.78014999999999</v>
      </c>
      <c r="X309" s="633"/>
      <c r="Y309" s="633"/>
      <c r="Z309" s="633"/>
      <c r="AA309" s="633"/>
      <c r="AB309" s="633"/>
      <c r="AC309" s="633"/>
      <c r="AD309" s="633">
        <f>CCBASE!$I$38*2</f>
        <v>272.06745999999998</v>
      </c>
    </row>
    <row r="310" spans="1:30" x14ac:dyDescent="0.2">
      <c r="A310" s="631" t="s">
        <v>764</v>
      </c>
      <c r="B310" s="631">
        <v>1500</v>
      </c>
      <c r="C310" s="631">
        <v>2000</v>
      </c>
      <c r="D310" s="631" t="str">
        <f t="shared" si="123"/>
        <v>CMWF15002000</v>
      </c>
      <c r="E310" s="1054">
        <f t="shared" si="124"/>
        <v>2042.5982126499996</v>
      </c>
      <c r="F310" s="632">
        <v>24.5</v>
      </c>
      <c r="G310" s="633">
        <f>F310*CCBASE!$B$51</f>
        <v>882</v>
      </c>
      <c r="H310" s="633">
        <f>CCBASE!$I$12*B310/1000</f>
        <v>179.47580595000002</v>
      </c>
      <c r="I310" s="633"/>
      <c r="J310" s="633"/>
      <c r="K310" s="633"/>
      <c r="L310" s="633">
        <f>CCBASE!$I$13*B310/1000</f>
        <v>359.30648249999996</v>
      </c>
      <c r="M310" s="633"/>
      <c r="N310" s="633">
        <f>CCBASE!$I$7*B310/1000</f>
        <v>47.313420000000008</v>
      </c>
      <c r="O310" s="633">
        <f>CCBASE!$I$45*B310/1000</f>
        <v>14.955000000000002</v>
      </c>
      <c r="P310" s="633"/>
      <c r="Q310" s="633">
        <f>CCBASE!$H$51</f>
        <v>5.16</v>
      </c>
      <c r="R310" s="633">
        <f>CCBASE!$I$4</f>
        <v>8.3986041999999994</v>
      </c>
      <c r="S310" s="633">
        <f>CCBASE!$I$8</f>
        <v>16.25526</v>
      </c>
      <c r="T310" s="633">
        <f>CCBASE!$I$44</f>
        <v>94.69</v>
      </c>
      <c r="U310" s="633">
        <f>CCBASE!$I$47*2</f>
        <v>28.82</v>
      </c>
      <c r="V310" s="633">
        <f>CCBASE!$I$46/2</f>
        <v>1.22</v>
      </c>
      <c r="W310" s="633">
        <f>CCBASE!$I$43*B310/1000</f>
        <v>132.93617999999998</v>
      </c>
      <c r="X310" s="633"/>
      <c r="Y310" s="633"/>
      <c r="Z310" s="633"/>
      <c r="AA310" s="633"/>
      <c r="AB310" s="633"/>
      <c r="AC310" s="633"/>
      <c r="AD310" s="633">
        <f>CCBASE!$I$38*2</f>
        <v>272.06745999999998</v>
      </c>
    </row>
    <row r="311" spans="1:30" x14ac:dyDescent="0.2">
      <c r="A311" s="631" t="s">
        <v>764</v>
      </c>
      <c r="B311" s="631">
        <v>1750</v>
      </c>
      <c r="C311" s="631">
        <v>2000</v>
      </c>
      <c r="D311" s="631" t="str">
        <f t="shared" si="123"/>
        <v>CMWF17502000</v>
      </c>
      <c r="E311" s="1054">
        <f t="shared" si="124"/>
        <v>2166.149360725</v>
      </c>
      <c r="F311" s="632">
        <v>24.5</v>
      </c>
      <c r="G311" s="633">
        <f>F311*CCBASE!$B$51</f>
        <v>882</v>
      </c>
      <c r="H311" s="633">
        <f>CCBASE!$I$12*B311/1000</f>
        <v>209.38844027500002</v>
      </c>
      <c r="I311" s="633"/>
      <c r="J311" s="633"/>
      <c r="K311" s="633"/>
      <c r="L311" s="633">
        <f>CCBASE!$I$13*B311/1000</f>
        <v>419.19089624999998</v>
      </c>
      <c r="M311" s="633"/>
      <c r="N311" s="633">
        <f>CCBASE!$I$7*B311/1000</f>
        <v>55.198990000000002</v>
      </c>
      <c r="O311" s="633">
        <f>CCBASE!$I$45*B311/1000</f>
        <v>17.447500000000002</v>
      </c>
      <c r="P311" s="633"/>
      <c r="Q311" s="633">
        <f>CCBASE!$H$51</f>
        <v>5.16</v>
      </c>
      <c r="R311" s="633">
        <f>CCBASE!$I$4</f>
        <v>8.3986041999999994</v>
      </c>
      <c r="S311" s="633">
        <f>CCBASE!$I$8</f>
        <v>16.25526</v>
      </c>
      <c r="T311" s="633">
        <f>CCBASE!$I$44</f>
        <v>94.69</v>
      </c>
      <c r="U311" s="633">
        <f>CCBASE!$I$47*2</f>
        <v>28.82</v>
      </c>
      <c r="V311" s="633">
        <f>CCBASE!$I$46</f>
        <v>2.44</v>
      </c>
      <c r="W311" s="633">
        <f>CCBASE!$I$43*B311/1000</f>
        <v>155.09220999999999</v>
      </c>
      <c r="X311" s="633"/>
      <c r="Y311" s="633"/>
      <c r="Z311" s="633"/>
      <c r="AA311" s="633"/>
      <c r="AB311" s="633"/>
      <c r="AC311" s="633"/>
      <c r="AD311" s="633">
        <f>CCBASE!$I$38*2</f>
        <v>272.06745999999998</v>
      </c>
    </row>
    <row r="312" spans="1:30" x14ac:dyDescent="0.2">
      <c r="A312" s="631" t="s">
        <v>764</v>
      </c>
      <c r="B312" s="631">
        <v>2000</v>
      </c>
      <c r="C312" s="631">
        <v>2000</v>
      </c>
      <c r="D312" s="631" t="str">
        <f t="shared" si="123"/>
        <v>CMWF20002000</v>
      </c>
      <c r="E312" s="1054">
        <f t="shared" si="124"/>
        <v>2288.4805087999998</v>
      </c>
      <c r="F312" s="632">
        <v>24.5</v>
      </c>
      <c r="G312" s="633">
        <f>F312*CCBASE!$B$51</f>
        <v>882</v>
      </c>
      <c r="H312" s="633">
        <f>CCBASE!$I$12*B312/1000</f>
        <v>239.30107460000002</v>
      </c>
      <c r="I312" s="633"/>
      <c r="J312" s="633"/>
      <c r="K312" s="633"/>
      <c r="L312" s="633">
        <f>CCBASE!$I$13*B312/1000</f>
        <v>479.07531</v>
      </c>
      <c r="M312" s="633"/>
      <c r="N312" s="633">
        <f>CCBASE!$I$7*B312/1000</f>
        <v>63.084560000000003</v>
      </c>
      <c r="O312" s="633">
        <f>CCBASE!$I$45*B312/1000</f>
        <v>19.940000000000001</v>
      </c>
      <c r="P312" s="633"/>
      <c r="Q312" s="633">
        <f>CCBASE!$H$51</f>
        <v>5.16</v>
      </c>
      <c r="R312" s="633">
        <f>CCBASE!$I$4</f>
        <v>8.3986041999999994</v>
      </c>
      <c r="S312" s="633">
        <f>CCBASE!$I$8</f>
        <v>16.25526</v>
      </c>
      <c r="T312" s="633">
        <f>CCBASE!$I$44</f>
        <v>94.69</v>
      </c>
      <c r="U312" s="633">
        <f>CCBASE!$I$47*2</f>
        <v>28.82</v>
      </c>
      <c r="V312" s="633">
        <f>CCBASE!$I$46</f>
        <v>2.44</v>
      </c>
      <c r="W312" s="633">
        <f>CCBASE!$I$43*B312/1000</f>
        <v>177.24823999999998</v>
      </c>
      <c r="X312" s="633"/>
      <c r="Y312" s="633"/>
      <c r="Z312" s="633"/>
      <c r="AA312" s="633"/>
      <c r="AB312" s="633"/>
      <c r="AC312" s="633"/>
      <c r="AD312" s="633">
        <f>CCBASE!$I$38*2</f>
        <v>272.06745999999998</v>
      </c>
    </row>
    <row r="313" spans="1:30" x14ac:dyDescent="0.2">
      <c r="A313" s="631" t="s">
        <v>764</v>
      </c>
      <c r="B313" s="631">
        <v>2250</v>
      </c>
      <c r="C313" s="631">
        <v>2000</v>
      </c>
      <c r="D313" s="631" t="str">
        <f t="shared" si="123"/>
        <v>CMWF22502000</v>
      </c>
      <c r="E313" s="1054">
        <f t="shared" si="124"/>
        <v>2446.8116568750002</v>
      </c>
      <c r="F313" s="632">
        <v>25.5</v>
      </c>
      <c r="G313" s="633">
        <f>F313*CCBASE!$B$51</f>
        <v>918</v>
      </c>
      <c r="H313" s="633">
        <f>CCBASE!$I$12*B313/1000</f>
        <v>269.21370892500005</v>
      </c>
      <c r="I313" s="633"/>
      <c r="J313" s="633"/>
      <c r="K313" s="633"/>
      <c r="L313" s="633">
        <f>CCBASE!$I$13*B313/1000</f>
        <v>538.95972374999997</v>
      </c>
      <c r="M313" s="633"/>
      <c r="N313" s="633">
        <f>CCBASE!$I$7*B313/1000</f>
        <v>70.970130000000012</v>
      </c>
      <c r="O313" s="633">
        <f>CCBASE!$I$45*B313/1000</f>
        <v>22.432500000000001</v>
      </c>
      <c r="P313" s="633"/>
      <c r="Q313" s="633">
        <f>CCBASE!$H$51</f>
        <v>5.16</v>
      </c>
      <c r="R313" s="633">
        <f>CCBASE!$I$4</f>
        <v>8.3986041999999994</v>
      </c>
      <c r="S313" s="633">
        <f>CCBASE!$I$8</f>
        <v>16.25526</v>
      </c>
      <c r="T313" s="633">
        <f>CCBASE!$I$44</f>
        <v>94.69</v>
      </c>
      <c r="U313" s="633">
        <f>CCBASE!$I$47*2</f>
        <v>28.82</v>
      </c>
      <c r="V313" s="633">
        <f>CCBASE!$I$46</f>
        <v>2.44</v>
      </c>
      <c r="W313" s="633">
        <f>CCBASE!$I$43*B313/1000</f>
        <v>199.40427</v>
      </c>
      <c r="X313" s="633"/>
      <c r="Y313" s="633"/>
      <c r="Z313" s="633"/>
      <c r="AA313" s="633"/>
      <c r="AB313" s="633"/>
      <c r="AC313" s="633"/>
      <c r="AD313" s="633">
        <f>CCBASE!$I$38*2</f>
        <v>272.06745999999998</v>
      </c>
    </row>
    <row r="314" spans="1:30" x14ac:dyDescent="0.2">
      <c r="A314" s="631" t="s">
        <v>764</v>
      </c>
      <c r="B314" s="631">
        <v>2500</v>
      </c>
      <c r="C314" s="631">
        <v>2000</v>
      </c>
      <c r="D314" s="631" t="str">
        <f t="shared" si="123"/>
        <v>CMWF25002000</v>
      </c>
      <c r="E314" s="1054">
        <f t="shared" si="124"/>
        <v>2569.14280495</v>
      </c>
      <c r="F314" s="632">
        <v>25.5</v>
      </c>
      <c r="G314" s="633">
        <f>F314*CCBASE!$B$51</f>
        <v>918</v>
      </c>
      <c r="H314" s="633">
        <f>CCBASE!$I$12*B314/1000</f>
        <v>299.12634325000005</v>
      </c>
      <c r="I314" s="633"/>
      <c r="J314" s="633"/>
      <c r="K314" s="633"/>
      <c r="L314" s="633">
        <f>CCBASE!$I$13*B314/1000</f>
        <v>598.84413749999999</v>
      </c>
      <c r="M314" s="633"/>
      <c r="N314" s="633">
        <f>CCBASE!$I$7*B314/1000</f>
        <v>78.855699999999999</v>
      </c>
      <c r="O314" s="633">
        <f>CCBASE!$I$45*B314/1000</f>
        <v>24.925000000000001</v>
      </c>
      <c r="P314" s="633"/>
      <c r="Q314" s="633">
        <f>CCBASE!$H$51</f>
        <v>5.16</v>
      </c>
      <c r="R314" s="633">
        <f>CCBASE!$I$4</f>
        <v>8.3986041999999994</v>
      </c>
      <c r="S314" s="633">
        <f>CCBASE!$I$8</f>
        <v>16.25526</v>
      </c>
      <c r="T314" s="633">
        <f>CCBASE!$I$44</f>
        <v>94.69</v>
      </c>
      <c r="U314" s="633">
        <f>CCBASE!$I$47*2</f>
        <v>28.82</v>
      </c>
      <c r="V314" s="633">
        <f>CCBASE!$I$46</f>
        <v>2.44</v>
      </c>
      <c r="W314" s="633">
        <f>CCBASE!$I$43*B314/1000</f>
        <v>221.56029999999998</v>
      </c>
      <c r="X314" s="633"/>
      <c r="Y314" s="633"/>
      <c r="Z314" s="633"/>
      <c r="AA314" s="633"/>
      <c r="AB314" s="633"/>
      <c r="AC314" s="633"/>
      <c r="AD314" s="633">
        <f>CCBASE!$I$38*2</f>
        <v>272.06745999999998</v>
      </c>
    </row>
    <row r="315" spans="1:30" x14ac:dyDescent="0.2">
      <c r="A315" s="631" t="s">
        <v>764</v>
      </c>
      <c r="B315" s="631">
        <v>2750</v>
      </c>
      <c r="C315" s="631">
        <v>2000</v>
      </c>
      <c r="D315" s="631" t="str">
        <f t="shared" si="123"/>
        <v>CMWF27502000</v>
      </c>
      <c r="E315" s="1054">
        <f t="shared" si="124"/>
        <v>2691.4739530250008</v>
      </c>
      <c r="F315" s="632">
        <v>25.5</v>
      </c>
      <c r="G315" s="633">
        <f>F315*CCBASE!$B$51</f>
        <v>918</v>
      </c>
      <c r="H315" s="633">
        <f>CCBASE!$I$12*B315/1000</f>
        <v>329.03897757500005</v>
      </c>
      <c r="I315" s="633"/>
      <c r="J315" s="633"/>
      <c r="K315" s="633"/>
      <c r="L315" s="633">
        <f>CCBASE!$I$13*B315/1000</f>
        <v>658.72855125000001</v>
      </c>
      <c r="M315" s="633"/>
      <c r="N315" s="633">
        <f>CCBASE!$I$7*B315/1000</f>
        <v>86.74127</v>
      </c>
      <c r="O315" s="633">
        <f>CCBASE!$I$45*B315/1000</f>
        <v>27.4175</v>
      </c>
      <c r="P315" s="633"/>
      <c r="Q315" s="633">
        <f>CCBASE!$H$51</f>
        <v>5.16</v>
      </c>
      <c r="R315" s="633">
        <f>CCBASE!$I$4</f>
        <v>8.3986041999999994</v>
      </c>
      <c r="S315" s="633">
        <f>CCBASE!$I$8</f>
        <v>16.25526</v>
      </c>
      <c r="T315" s="633">
        <f>CCBASE!$I$44</f>
        <v>94.69</v>
      </c>
      <c r="U315" s="633">
        <f>CCBASE!$I$47*2</f>
        <v>28.82</v>
      </c>
      <c r="V315" s="633">
        <f>CCBASE!$I$46</f>
        <v>2.44</v>
      </c>
      <c r="W315" s="633">
        <f>CCBASE!$I$43*B315/1000</f>
        <v>243.71633</v>
      </c>
      <c r="X315" s="633"/>
      <c r="Y315" s="633"/>
      <c r="Z315" s="633"/>
      <c r="AA315" s="633"/>
      <c r="AB315" s="633"/>
      <c r="AC315" s="633"/>
      <c r="AD315" s="633">
        <f>CCBASE!$I$38*2</f>
        <v>272.06745999999998</v>
      </c>
    </row>
    <row r="316" spans="1:30" x14ac:dyDescent="0.2">
      <c r="A316" s="631" t="s">
        <v>764</v>
      </c>
      <c r="B316" s="631">
        <v>3000</v>
      </c>
      <c r="C316" s="631">
        <v>2000</v>
      </c>
      <c r="D316" s="631" t="str">
        <f t="shared" si="123"/>
        <v>CMWF30002000</v>
      </c>
      <c r="E316" s="1054">
        <f t="shared" si="124"/>
        <v>2813.8051010999998</v>
      </c>
      <c r="F316" s="632">
        <v>25.5</v>
      </c>
      <c r="G316" s="633">
        <f>F316*CCBASE!$B$51</f>
        <v>918</v>
      </c>
      <c r="H316" s="633">
        <f>CCBASE!$I$12*B316/1000</f>
        <v>358.95161190000005</v>
      </c>
      <c r="I316" s="633"/>
      <c r="J316" s="633"/>
      <c r="K316" s="633"/>
      <c r="L316" s="633">
        <f>CCBASE!$I$13*B316/1000</f>
        <v>718.61296499999992</v>
      </c>
      <c r="M316" s="633"/>
      <c r="N316" s="633">
        <f>CCBASE!$I$7*B316/1000</f>
        <v>94.626840000000016</v>
      </c>
      <c r="O316" s="633">
        <f>CCBASE!$I$45*B316/1000</f>
        <v>29.910000000000004</v>
      </c>
      <c r="P316" s="633"/>
      <c r="Q316" s="633">
        <f>CCBASE!$H$51</f>
        <v>5.16</v>
      </c>
      <c r="R316" s="633">
        <f>CCBASE!$I$4</f>
        <v>8.3986041999999994</v>
      </c>
      <c r="S316" s="633">
        <f>CCBASE!$I$8</f>
        <v>16.25526</v>
      </c>
      <c r="T316" s="633">
        <f>CCBASE!$I$44</f>
        <v>94.69</v>
      </c>
      <c r="U316" s="633">
        <f>CCBASE!$I$47*2</f>
        <v>28.82</v>
      </c>
      <c r="V316" s="633">
        <f>CCBASE!$I$46</f>
        <v>2.44</v>
      </c>
      <c r="W316" s="633">
        <f>CCBASE!$I$43*B316/1000</f>
        <v>265.87235999999996</v>
      </c>
      <c r="X316" s="633"/>
      <c r="Y316" s="633"/>
      <c r="Z316" s="633"/>
      <c r="AA316" s="633"/>
      <c r="AB316" s="633"/>
      <c r="AC316" s="633"/>
      <c r="AD316" s="633">
        <f>CCBASE!$I$38*2</f>
        <v>272.06745999999998</v>
      </c>
    </row>
    <row r="317" spans="1:30" x14ac:dyDescent="0.2">
      <c r="A317" s="631" t="s">
        <v>765</v>
      </c>
      <c r="B317" s="631">
        <v>1000</v>
      </c>
      <c r="C317" s="631">
        <v>1000</v>
      </c>
      <c r="D317" s="631" t="str">
        <f t="shared" ref="D317:D361" si="125">A317&amp;B317&amp;C317</f>
        <v>CMWI10001000</v>
      </c>
      <c r="E317" s="1054">
        <f t="shared" si="104"/>
        <v>1416.4362194999999</v>
      </c>
      <c r="F317" s="632">
        <v>20</v>
      </c>
      <c r="G317" s="633">
        <f>F317*CCBASE!$B$51</f>
        <v>720</v>
      </c>
      <c r="H317" s="633">
        <f>CCBASE!$I$12*B317/1000</f>
        <v>119.65053730000001</v>
      </c>
      <c r="I317" s="633"/>
      <c r="J317" s="633"/>
      <c r="K317" s="633"/>
      <c r="L317" s="633">
        <f>CCBASE!$I$14*B317/1000</f>
        <v>209.37365399999999</v>
      </c>
      <c r="M317" s="633"/>
      <c r="N317" s="633"/>
      <c r="O317" s="633">
        <f>CCBASE!$I$45*B317/1000</f>
        <v>9.9700000000000006</v>
      </c>
      <c r="P317" s="633"/>
      <c r="Q317" s="633">
        <f>CCBASE!$H$51</f>
        <v>5.16</v>
      </c>
      <c r="R317" s="633">
        <f>CCBASE!$I$4</f>
        <v>8.3986041999999994</v>
      </c>
      <c r="S317" s="633">
        <f>CCBASE!$I$8</f>
        <v>16.25526</v>
      </c>
      <c r="T317" s="633">
        <f>CCBASE!$I$44</f>
        <v>94.69</v>
      </c>
      <c r="U317" s="633"/>
      <c r="V317" s="633"/>
      <c r="W317" s="633">
        <f>CCBASE!$I$40*B317/1000</f>
        <v>41.308039999999998</v>
      </c>
      <c r="X317" s="633"/>
      <c r="Y317" s="633"/>
      <c r="Z317" s="633"/>
      <c r="AA317" s="633"/>
      <c r="AB317" s="633"/>
      <c r="AC317" s="633"/>
      <c r="AD317" s="633">
        <f>CCBASE!$I$36*2</f>
        <v>191.630124</v>
      </c>
    </row>
    <row r="318" spans="1:30" x14ac:dyDescent="0.2">
      <c r="A318" s="631" t="s">
        <v>765</v>
      </c>
      <c r="B318" s="631">
        <v>1250</v>
      </c>
      <c r="C318" s="631">
        <v>1000</v>
      </c>
      <c r="D318" s="631" t="str">
        <f t="shared" ref="D318" si="126">A318&amp;B318&amp;C318</f>
        <v>CMWI12501000</v>
      </c>
      <c r="E318" s="1054">
        <f t="shared" si="104"/>
        <v>1511.5117773250001</v>
      </c>
      <c r="F318" s="632">
        <v>20</v>
      </c>
      <c r="G318" s="633">
        <f>F318*CCBASE!$B$51</f>
        <v>720</v>
      </c>
      <c r="H318" s="633">
        <f>CCBASE!$I$12*B318/1000</f>
        <v>149.56317162500002</v>
      </c>
      <c r="I318" s="633"/>
      <c r="J318" s="633"/>
      <c r="K318" s="633"/>
      <c r="L318" s="633">
        <f>CCBASE!$I$14*B318/1000</f>
        <v>261.71706749999998</v>
      </c>
      <c r="M318" s="633"/>
      <c r="N318" s="633"/>
      <c r="O318" s="633">
        <f>CCBASE!$I$45*B318/1000</f>
        <v>12.4625</v>
      </c>
      <c r="P318" s="633"/>
      <c r="Q318" s="633">
        <f>CCBASE!$H$51</f>
        <v>5.16</v>
      </c>
      <c r="R318" s="633">
        <f>CCBASE!$I$4</f>
        <v>8.3986041999999994</v>
      </c>
      <c r="S318" s="633">
        <f>CCBASE!$I$8</f>
        <v>16.25526</v>
      </c>
      <c r="T318" s="633">
        <f>CCBASE!$I$44</f>
        <v>94.69</v>
      </c>
      <c r="U318" s="633"/>
      <c r="V318" s="633"/>
      <c r="W318" s="633">
        <f>CCBASE!$I$40*B318/1000</f>
        <v>51.635049999999993</v>
      </c>
      <c r="X318" s="633"/>
      <c r="Y318" s="633"/>
      <c r="Z318" s="633"/>
      <c r="AA318" s="633"/>
      <c r="AB318" s="633"/>
      <c r="AC318" s="633"/>
      <c r="AD318" s="633">
        <f>CCBASE!$I$36*2</f>
        <v>191.630124</v>
      </c>
    </row>
    <row r="319" spans="1:30" x14ac:dyDescent="0.2">
      <c r="A319" s="631" t="s">
        <v>765</v>
      </c>
      <c r="B319" s="631">
        <v>1500</v>
      </c>
      <c r="C319" s="631">
        <v>1000</v>
      </c>
      <c r="D319" s="631" t="str">
        <f t="shared" si="125"/>
        <v>CMWI15001000</v>
      </c>
      <c r="E319" s="1054">
        <f t="shared" si="104"/>
        <v>1606.5873351499999</v>
      </c>
      <c r="F319" s="632">
        <v>20</v>
      </c>
      <c r="G319" s="633">
        <f>F319*CCBASE!$B$51</f>
        <v>720</v>
      </c>
      <c r="H319" s="633">
        <f>CCBASE!$I$12*B319/1000</f>
        <v>179.47580595000002</v>
      </c>
      <c r="I319" s="633"/>
      <c r="J319" s="633"/>
      <c r="K319" s="633"/>
      <c r="L319" s="633">
        <f>CCBASE!$I$14*B319/1000</f>
        <v>314.06048099999998</v>
      </c>
      <c r="M319" s="633"/>
      <c r="N319" s="633"/>
      <c r="O319" s="633">
        <f>CCBASE!$I$45*B319/1000</f>
        <v>14.955000000000002</v>
      </c>
      <c r="P319" s="633"/>
      <c r="Q319" s="633">
        <f>CCBASE!$H$51</f>
        <v>5.16</v>
      </c>
      <c r="R319" s="633">
        <f>CCBASE!$I$4</f>
        <v>8.3986041999999994</v>
      </c>
      <c r="S319" s="633">
        <f>CCBASE!$I$8</f>
        <v>16.25526</v>
      </c>
      <c r="T319" s="633">
        <f>CCBASE!$I$44</f>
        <v>94.69</v>
      </c>
      <c r="U319" s="633"/>
      <c r="V319" s="633"/>
      <c r="W319" s="633">
        <f>CCBASE!$I$40*B319/1000</f>
        <v>61.962060000000001</v>
      </c>
      <c r="X319" s="633"/>
      <c r="Y319" s="633"/>
      <c r="Z319" s="633"/>
      <c r="AA319" s="633"/>
      <c r="AB319" s="633"/>
      <c r="AC319" s="633"/>
      <c r="AD319" s="633">
        <f>CCBASE!$I$36*2</f>
        <v>191.630124</v>
      </c>
    </row>
    <row r="320" spans="1:30" x14ac:dyDescent="0.2">
      <c r="A320" s="631" t="s">
        <v>765</v>
      </c>
      <c r="B320" s="631">
        <v>1750</v>
      </c>
      <c r="C320" s="631">
        <v>1000</v>
      </c>
      <c r="D320" s="631" t="str">
        <f t="shared" ref="D320" si="127">A320&amp;B320&amp;C320</f>
        <v>CMWI17501000</v>
      </c>
      <c r="E320" s="1054">
        <f t="shared" si="104"/>
        <v>1701.662892975</v>
      </c>
      <c r="F320" s="632">
        <v>20</v>
      </c>
      <c r="G320" s="633">
        <f>F320*CCBASE!$B$51</f>
        <v>720</v>
      </c>
      <c r="H320" s="633">
        <f>CCBASE!$I$12*B320/1000</f>
        <v>209.38844027500002</v>
      </c>
      <c r="I320" s="633"/>
      <c r="J320" s="633"/>
      <c r="K320" s="633"/>
      <c r="L320" s="633">
        <f>CCBASE!$I$14*B320/1000</f>
        <v>366.40389449999998</v>
      </c>
      <c r="M320" s="633"/>
      <c r="N320" s="633"/>
      <c r="O320" s="633">
        <f>CCBASE!$I$45*B320/1000</f>
        <v>17.447500000000002</v>
      </c>
      <c r="P320" s="633"/>
      <c r="Q320" s="633">
        <f>CCBASE!$H$51</f>
        <v>5.16</v>
      </c>
      <c r="R320" s="633">
        <f>CCBASE!$I$4</f>
        <v>8.3986041999999994</v>
      </c>
      <c r="S320" s="633">
        <f>CCBASE!$I$8</f>
        <v>16.25526</v>
      </c>
      <c r="T320" s="633">
        <f>CCBASE!$I$44</f>
        <v>94.69</v>
      </c>
      <c r="U320" s="633"/>
      <c r="V320" s="633"/>
      <c r="W320" s="633">
        <f>CCBASE!$I$40*B320/1000</f>
        <v>72.289069999999995</v>
      </c>
      <c r="X320" s="633"/>
      <c r="Y320" s="633"/>
      <c r="Z320" s="633"/>
      <c r="AA320" s="633"/>
      <c r="AB320" s="633"/>
      <c r="AC320" s="633"/>
      <c r="AD320" s="633">
        <f>CCBASE!$I$36*2</f>
        <v>191.630124</v>
      </c>
    </row>
    <row r="321" spans="1:30" x14ac:dyDescent="0.2">
      <c r="A321" s="631" t="s">
        <v>765</v>
      </c>
      <c r="B321" s="631">
        <v>2000</v>
      </c>
      <c r="C321" s="631">
        <v>1000</v>
      </c>
      <c r="D321" s="631" t="str">
        <f t="shared" si="125"/>
        <v>CMWI20001000</v>
      </c>
      <c r="E321" s="1054">
        <f t="shared" si="104"/>
        <v>1796.7384508</v>
      </c>
      <c r="F321" s="632">
        <v>20</v>
      </c>
      <c r="G321" s="633">
        <f>F321*CCBASE!$B$51</f>
        <v>720</v>
      </c>
      <c r="H321" s="633">
        <f>CCBASE!$I$12*B321/1000</f>
        <v>239.30107460000002</v>
      </c>
      <c r="I321" s="633"/>
      <c r="J321" s="633"/>
      <c r="K321" s="633"/>
      <c r="L321" s="633">
        <f>CCBASE!$I$14*B321/1000</f>
        <v>418.74730799999998</v>
      </c>
      <c r="M321" s="633"/>
      <c r="N321" s="633"/>
      <c r="O321" s="633">
        <f>CCBASE!$I$45*B321/1000</f>
        <v>19.940000000000001</v>
      </c>
      <c r="P321" s="633"/>
      <c r="Q321" s="633">
        <f>CCBASE!$H$51</f>
        <v>5.16</v>
      </c>
      <c r="R321" s="633">
        <f>CCBASE!$I$4</f>
        <v>8.3986041999999994</v>
      </c>
      <c r="S321" s="633">
        <f>CCBASE!$I$8</f>
        <v>16.25526</v>
      </c>
      <c r="T321" s="633">
        <f>CCBASE!$I$44</f>
        <v>94.69</v>
      </c>
      <c r="U321" s="633"/>
      <c r="V321" s="633"/>
      <c r="W321" s="633">
        <f>CCBASE!$I$40*B321/1000</f>
        <v>82.616079999999997</v>
      </c>
      <c r="X321" s="633"/>
      <c r="Y321" s="633"/>
      <c r="Z321" s="633"/>
      <c r="AA321" s="633"/>
      <c r="AB321" s="633"/>
      <c r="AC321" s="633"/>
      <c r="AD321" s="633">
        <f>CCBASE!$I$36*2</f>
        <v>191.630124</v>
      </c>
    </row>
    <row r="322" spans="1:30" x14ac:dyDescent="0.2">
      <c r="A322" s="631" t="s">
        <v>765</v>
      </c>
      <c r="B322" s="631">
        <v>2250</v>
      </c>
      <c r="C322" s="631">
        <v>1000</v>
      </c>
      <c r="D322" s="631" t="str">
        <f t="shared" ref="D322" si="128">A322&amp;B322&amp;C322</f>
        <v>CMWI22501000</v>
      </c>
      <c r="E322" s="1054">
        <f t="shared" si="104"/>
        <v>1927.8140086249998</v>
      </c>
      <c r="F322" s="632">
        <v>21</v>
      </c>
      <c r="G322" s="633">
        <f>F322*CCBASE!$B$51</f>
        <v>756</v>
      </c>
      <c r="H322" s="633">
        <f>CCBASE!$I$12*B322/1000</f>
        <v>269.21370892500005</v>
      </c>
      <c r="I322" s="633"/>
      <c r="J322" s="633"/>
      <c r="K322" s="633"/>
      <c r="L322" s="633">
        <f>CCBASE!$I$14*B322/1000</f>
        <v>471.09072149999997</v>
      </c>
      <c r="M322" s="633"/>
      <c r="N322" s="633"/>
      <c r="O322" s="633">
        <f>CCBASE!$I$45*B322/1000</f>
        <v>22.432500000000001</v>
      </c>
      <c r="P322" s="633"/>
      <c r="Q322" s="633">
        <f>CCBASE!$H$51</f>
        <v>5.16</v>
      </c>
      <c r="R322" s="633">
        <f>CCBASE!$I$4</f>
        <v>8.3986041999999994</v>
      </c>
      <c r="S322" s="633">
        <f>CCBASE!$I$8</f>
        <v>16.25526</v>
      </c>
      <c r="T322" s="633">
        <f>CCBASE!$I$44</f>
        <v>94.69</v>
      </c>
      <c r="U322" s="633"/>
      <c r="V322" s="633"/>
      <c r="W322" s="633">
        <f>CCBASE!$I$40*B322/1000</f>
        <v>92.943089999999998</v>
      </c>
      <c r="X322" s="633"/>
      <c r="Y322" s="633"/>
      <c r="Z322" s="633"/>
      <c r="AA322" s="633"/>
      <c r="AB322" s="633"/>
      <c r="AC322" s="633"/>
      <c r="AD322" s="633">
        <f>CCBASE!$I$36*2</f>
        <v>191.630124</v>
      </c>
    </row>
    <row r="323" spans="1:30" x14ac:dyDescent="0.2">
      <c r="A323" s="631" t="s">
        <v>765</v>
      </c>
      <c r="B323" s="631">
        <v>2500</v>
      </c>
      <c r="C323" s="631">
        <v>1000</v>
      </c>
      <c r="D323" s="631" t="str">
        <f t="shared" si="125"/>
        <v>CMWI25001000</v>
      </c>
      <c r="E323" s="1054">
        <f t="shared" si="104"/>
        <v>2022.8895664499998</v>
      </c>
      <c r="F323" s="632">
        <v>21</v>
      </c>
      <c r="G323" s="633">
        <f>F323*CCBASE!$B$51</f>
        <v>756</v>
      </c>
      <c r="H323" s="633">
        <f>CCBASE!$I$12*B323/1000</f>
        <v>299.12634325000005</v>
      </c>
      <c r="I323" s="633"/>
      <c r="J323" s="633"/>
      <c r="K323" s="633"/>
      <c r="L323" s="633">
        <f>CCBASE!$I$14*B323/1000</f>
        <v>523.43413499999997</v>
      </c>
      <c r="M323" s="633"/>
      <c r="N323" s="633"/>
      <c r="O323" s="633">
        <f>CCBASE!$I$45*B323/1000</f>
        <v>24.925000000000001</v>
      </c>
      <c r="P323" s="633"/>
      <c r="Q323" s="633">
        <f>CCBASE!$H$51</f>
        <v>5.16</v>
      </c>
      <c r="R323" s="633">
        <f>CCBASE!$I$4</f>
        <v>8.3986041999999994</v>
      </c>
      <c r="S323" s="633">
        <f>CCBASE!$I$8</f>
        <v>16.25526</v>
      </c>
      <c r="T323" s="633">
        <f>CCBASE!$I$44</f>
        <v>94.69</v>
      </c>
      <c r="U323" s="633"/>
      <c r="V323" s="633"/>
      <c r="W323" s="633">
        <f>CCBASE!$I$40*B323/1000</f>
        <v>103.27009999999999</v>
      </c>
      <c r="X323" s="633"/>
      <c r="Y323" s="633"/>
      <c r="Z323" s="633"/>
      <c r="AA323" s="633"/>
      <c r="AB323" s="633"/>
      <c r="AC323" s="633"/>
      <c r="AD323" s="633">
        <f>CCBASE!$I$36*2</f>
        <v>191.630124</v>
      </c>
    </row>
    <row r="324" spans="1:30" x14ac:dyDescent="0.2">
      <c r="A324" s="631" t="s">
        <v>765</v>
      </c>
      <c r="B324" s="631">
        <v>2750</v>
      </c>
      <c r="C324" s="631">
        <v>1000</v>
      </c>
      <c r="D324" s="631" t="str">
        <f t="shared" ref="D324" si="129">A324&amp;B324&amp;C324</f>
        <v>CMWI27501000</v>
      </c>
      <c r="E324" s="1054">
        <f t="shared" si="104"/>
        <v>2117.9651242749997</v>
      </c>
      <c r="F324" s="632">
        <v>21</v>
      </c>
      <c r="G324" s="633">
        <f>F324*CCBASE!$B$51</f>
        <v>756</v>
      </c>
      <c r="H324" s="633">
        <f>CCBASE!$I$12*B324/1000</f>
        <v>329.03897757500005</v>
      </c>
      <c r="I324" s="633"/>
      <c r="J324" s="633"/>
      <c r="K324" s="633"/>
      <c r="L324" s="633">
        <f>CCBASE!$I$14*B324/1000</f>
        <v>575.77754849999997</v>
      </c>
      <c r="M324" s="633"/>
      <c r="N324" s="633"/>
      <c r="O324" s="633">
        <f>CCBASE!$I$45*B324/1000</f>
        <v>27.4175</v>
      </c>
      <c r="P324" s="633"/>
      <c r="Q324" s="633">
        <f>CCBASE!$H$51</f>
        <v>5.16</v>
      </c>
      <c r="R324" s="633">
        <f>CCBASE!$I$4</f>
        <v>8.3986041999999994</v>
      </c>
      <c r="S324" s="633">
        <f>CCBASE!$I$8</f>
        <v>16.25526</v>
      </c>
      <c r="T324" s="633">
        <f>CCBASE!$I$44</f>
        <v>94.69</v>
      </c>
      <c r="U324" s="633"/>
      <c r="V324" s="633"/>
      <c r="W324" s="633">
        <f>CCBASE!$I$40*B324/1000</f>
        <v>113.59711</v>
      </c>
      <c r="X324" s="633"/>
      <c r="Y324" s="633"/>
      <c r="Z324" s="633"/>
      <c r="AA324" s="633"/>
      <c r="AB324" s="633"/>
      <c r="AC324" s="633"/>
      <c r="AD324" s="633">
        <f>CCBASE!$I$36*2</f>
        <v>191.630124</v>
      </c>
    </row>
    <row r="325" spans="1:30" x14ac:dyDescent="0.2">
      <c r="A325" s="631" t="s">
        <v>765</v>
      </c>
      <c r="B325" s="631">
        <v>3000</v>
      </c>
      <c r="C325" s="631">
        <v>1000</v>
      </c>
      <c r="D325" s="631" t="str">
        <f t="shared" si="125"/>
        <v>CMWI30001000</v>
      </c>
      <c r="E325" s="1054">
        <f t="shared" si="104"/>
        <v>2213.0406820999997</v>
      </c>
      <c r="F325" s="632">
        <v>21</v>
      </c>
      <c r="G325" s="633">
        <f>F325*CCBASE!$B$51</f>
        <v>756</v>
      </c>
      <c r="H325" s="633">
        <f>CCBASE!$I$12*B325/1000</f>
        <v>358.95161190000005</v>
      </c>
      <c r="I325" s="633"/>
      <c r="J325" s="633"/>
      <c r="K325" s="633"/>
      <c r="L325" s="633">
        <f>CCBASE!$I$14*B325/1000</f>
        <v>628.12096199999996</v>
      </c>
      <c r="M325" s="633"/>
      <c r="N325" s="633"/>
      <c r="O325" s="633">
        <f>CCBASE!$I$45*B325/1000</f>
        <v>29.910000000000004</v>
      </c>
      <c r="P325" s="633"/>
      <c r="Q325" s="633">
        <f>CCBASE!$H$51</f>
        <v>5.16</v>
      </c>
      <c r="R325" s="633">
        <f>CCBASE!$I$4</f>
        <v>8.3986041999999994</v>
      </c>
      <c r="S325" s="633">
        <f>CCBASE!$I$8</f>
        <v>16.25526</v>
      </c>
      <c r="T325" s="633">
        <f>CCBASE!$I$44</f>
        <v>94.69</v>
      </c>
      <c r="U325" s="633"/>
      <c r="V325" s="633"/>
      <c r="W325" s="633">
        <f>CCBASE!$I$40*B325/1000</f>
        <v>123.92412</v>
      </c>
      <c r="X325" s="633"/>
      <c r="Y325" s="633"/>
      <c r="Z325" s="633"/>
      <c r="AA325" s="633"/>
      <c r="AB325" s="633"/>
      <c r="AC325" s="633"/>
      <c r="AD325" s="633">
        <f>CCBASE!$I$36*2</f>
        <v>191.630124</v>
      </c>
    </row>
    <row r="326" spans="1:30" x14ac:dyDescent="0.2">
      <c r="A326" s="631" t="s">
        <v>765</v>
      </c>
      <c r="B326" s="631">
        <v>1000</v>
      </c>
      <c r="C326" s="631">
        <v>1250</v>
      </c>
      <c r="D326" s="631" t="str">
        <f t="shared" si="125"/>
        <v>CMWI10001250</v>
      </c>
      <c r="E326" s="1054">
        <f t="shared" si="104"/>
        <v>1416.4362194999999</v>
      </c>
      <c r="F326" s="632">
        <v>20</v>
      </c>
      <c r="G326" s="633">
        <f>F326*CCBASE!$B$51</f>
        <v>720</v>
      </c>
      <c r="H326" s="633">
        <f>CCBASE!$I$12*B326/1000</f>
        <v>119.65053730000001</v>
      </c>
      <c r="I326" s="633"/>
      <c r="J326" s="633"/>
      <c r="K326" s="633"/>
      <c r="L326" s="633">
        <f>CCBASE!$I$14*B326/1000</f>
        <v>209.37365399999999</v>
      </c>
      <c r="M326" s="633"/>
      <c r="N326" s="633"/>
      <c r="O326" s="633">
        <f>CCBASE!$I$45*B326/1000</f>
        <v>9.9700000000000006</v>
      </c>
      <c r="P326" s="633"/>
      <c r="Q326" s="633">
        <f>CCBASE!$H$51</f>
        <v>5.16</v>
      </c>
      <c r="R326" s="633">
        <f>CCBASE!$I$4</f>
        <v>8.3986041999999994</v>
      </c>
      <c r="S326" s="633">
        <f>CCBASE!$I$8</f>
        <v>16.25526</v>
      </c>
      <c r="T326" s="633">
        <f>CCBASE!$I$44</f>
        <v>94.69</v>
      </c>
      <c r="U326" s="633"/>
      <c r="V326" s="633"/>
      <c r="W326" s="633">
        <f>CCBASE!$I$40*B326/1000</f>
        <v>41.308039999999998</v>
      </c>
      <c r="X326" s="633"/>
      <c r="Y326" s="633"/>
      <c r="Z326" s="633"/>
      <c r="AA326" s="633"/>
      <c r="AB326" s="633"/>
      <c r="AC326" s="633"/>
      <c r="AD326" s="633">
        <f>CCBASE!$I$36*2</f>
        <v>191.630124</v>
      </c>
    </row>
    <row r="327" spans="1:30" x14ac:dyDescent="0.2">
      <c r="A327" s="631" t="s">
        <v>765</v>
      </c>
      <c r="B327" s="631">
        <v>1250</v>
      </c>
      <c r="C327" s="631">
        <v>1250</v>
      </c>
      <c r="D327" s="631" t="str">
        <f t="shared" ref="D327" si="130">A327&amp;B327&amp;C327</f>
        <v>CMWI12501250</v>
      </c>
      <c r="E327" s="1054">
        <f t="shared" si="104"/>
        <v>1511.5117773250001</v>
      </c>
      <c r="F327" s="632">
        <v>20</v>
      </c>
      <c r="G327" s="633">
        <f>F327*CCBASE!$B$51</f>
        <v>720</v>
      </c>
      <c r="H327" s="633">
        <f>CCBASE!$I$12*B327/1000</f>
        <v>149.56317162500002</v>
      </c>
      <c r="I327" s="633"/>
      <c r="J327" s="633"/>
      <c r="K327" s="633"/>
      <c r="L327" s="633">
        <f>CCBASE!$I$14*B327/1000</f>
        <v>261.71706749999998</v>
      </c>
      <c r="M327" s="633"/>
      <c r="N327" s="633"/>
      <c r="O327" s="633">
        <f>CCBASE!$I$45*B327/1000</f>
        <v>12.4625</v>
      </c>
      <c r="P327" s="633"/>
      <c r="Q327" s="633">
        <f>CCBASE!$H$51</f>
        <v>5.16</v>
      </c>
      <c r="R327" s="633">
        <f>CCBASE!$I$4</f>
        <v>8.3986041999999994</v>
      </c>
      <c r="S327" s="633">
        <f>CCBASE!$I$8</f>
        <v>16.25526</v>
      </c>
      <c r="T327" s="633">
        <f>CCBASE!$I$44</f>
        <v>94.69</v>
      </c>
      <c r="U327" s="633"/>
      <c r="V327" s="633"/>
      <c r="W327" s="633">
        <f>CCBASE!$I$40*B327/1000</f>
        <v>51.635049999999993</v>
      </c>
      <c r="X327" s="633"/>
      <c r="Y327" s="633"/>
      <c r="Z327" s="633"/>
      <c r="AA327" s="633"/>
      <c r="AB327" s="633"/>
      <c r="AC327" s="633"/>
      <c r="AD327" s="633">
        <f>CCBASE!$I$36*2</f>
        <v>191.630124</v>
      </c>
    </row>
    <row r="328" spans="1:30" x14ac:dyDescent="0.2">
      <c r="A328" s="631" t="s">
        <v>765</v>
      </c>
      <c r="B328" s="631">
        <v>1500</v>
      </c>
      <c r="C328" s="631">
        <v>1250</v>
      </c>
      <c r="D328" s="631" t="str">
        <f t="shared" si="125"/>
        <v>CMWI15001250</v>
      </c>
      <c r="E328" s="1054">
        <f t="shared" si="104"/>
        <v>1606.5873351499999</v>
      </c>
      <c r="F328" s="632">
        <v>20</v>
      </c>
      <c r="G328" s="633">
        <f>F328*CCBASE!$B$51</f>
        <v>720</v>
      </c>
      <c r="H328" s="633">
        <f>CCBASE!$I$12*B328/1000</f>
        <v>179.47580595000002</v>
      </c>
      <c r="I328" s="633"/>
      <c r="J328" s="633"/>
      <c r="K328" s="633"/>
      <c r="L328" s="633">
        <f>CCBASE!$I$14*B328/1000</f>
        <v>314.06048099999998</v>
      </c>
      <c r="M328" s="633"/>
      <c r="N328" s="633"/>
      <c r="O328" s="633">
        <f>CCBASE!$I$45*B328/1000</f>
        <v>14.955000000000002</v>
      </c>
      <c r="P328" s="633"/>
      <c r="Q328" s="633">
        <f>CCBASE!$H$51</f>
        <v>5.16</v>
      </c>
      <c r="R328" s="633">
        <f>CCBASE!$I$4</f>
        <v>8.3986041999999994</v>
      </c>
      <c r="S328" s="633">
        <f>CCBASE!$I$8</f>
        <v>16.25526</v>
      </c>
      <c r="T328" s="633">
        <f>CCBASE!$I$44</f>
        <v>94.69</v>
      </c>
      <c r="U328" s="633"/>
      <c r="V328" s="633"/>
      <c r="W328" s="633">
        <f>CCBASE!$I$40*B328/1000</f>
        <v>61.962060000000001</v>
      </c>
      <c r="X328" s="633"/>
      <c r="Y328" s="633"/>
      <c r="Z328" s="633"/>
      <c r="AA328" s="633"/>
      <c r="AB328" s="633"/>
      <c r="AC328" s="633"/>
      <c r="AD328" s="633">
        <f>CCBASE!$I$36*2</f>
        <v>191.630124</v>
      </c>
    </row>
    <row r="329" spans="1:30" x14ac:dyDescent="0.2">
      <c r="A329" s="631" t="s">
        <v>765</v>
      </c>
      <c r="B329" s="631">
        <v>1750</v>
      </c>
      <c r="C329" s="631">
        <v>1250</v>
      </c>
      <c r="D329" s="631" t="str">
        <f t="shared" ref="D329" si="131">A329&amp;B329&amp;C329</f>
        <v>CMWI17501250</v>
      </c>
      <c r="E329" s="1054">
        <f t="shared" si="104"/>
        <v>1701.662892975</v>
      </c>
      <c r="F329" s="632">
        <v>20</v>
      </c>
      <c r="G329" s="633">
        <f>F329*CCBASE!$B$51</f>
        <v>720</v>
      </c>
      <c r="H329" s="633">
        <f>CCBASE!$I$12*B329/1000</f>
        <v>209.38844027500002</v>
      </c>
      <c r="I329" s="633"/>
      <c r="J329" s="633"/>
      <c r="K329" s="633"/>
      <c r="L329" s="633">
        <f>CCBASE!$I$14*B329/1000</f>
        <v>366.40389449999998</v>
      </c>
      <c r="M329" s="633"/>
      <c r="N329" s="633"/>
      <c r="O329" s="633">
        <f>CCBASE!$I$45*B329/1000</f>
        <v>17.447500000000002</v>
      </c>
      <c r="P329" s="633"/>
      <c r="Q329" s="633">
        <f>CCBASE!$H$51</f>
        <v>5.16</v>
      </c>
      <c r="R329" s="633">
        <f>CCBASE!$I$4</f>
        <v>8.3986041999999994</v>
      </c>
      <c r="S329" s="633">
        <f>CCBASE!$I$8</f>
        <v>16.25526</v>
      </c>
      <c r="T329" s="633">
        <f>CCBASE!$I$44</f>
        <v>94.69</v>
      </c>
      <c r="U329" s="633"/>
      <c r="V329" s="633"/>
      <c r="W329" s="633">
        <f>CCBASE!$I$40*B329/1000</f>
        <v>72.289069999999995</v>
      </c>
      <c r="X329" s="633"/>
      <c r="Y329" s="633"/>
      <c r="Z329" s="633"/>
      <c r="AA329" s="633"/>
      <c r="AB329" s="633"/>
      <c r="AC329" s="633"/>
      <c r="AD329" s="633">
        <f>CCBASE!$I$36*2</f>
        <v>191.630124</v>
      </c>
    </row>
    <row r="330" spans="1:30" x14ac:dyDescent="0.2">
      <c r="A330" s="631" t="s">
        <v>765</v>
      </c>
      <c r="B330" s="631">
        <v>2000</v>
      </c>
      <c r="C330" s="631">
        <v>1250</v>
      </c>
      <c r="D330" s="631" t="str">
        <f t="shared" si="125"/>
        <v>CMWI20001250</v>
      </c>
      <c r="E330" s="1054">
        <f t="shared" si="104"/>
        <v>1796.7384508</v>
      </c>
      <c r="F330" s="632">
        <v>20</v>
      </c>
      <c r="G330" s="633">
        <f>F330*CCBASE!$B$51</f>
        <v>720</v>
      </c>
      <c r="H330" s="633">
        <f>CCBASE!$I$12*B330/1000</f>
        <v>239.30107460000002</v>
      </c>
      <c r="I330" s="633"/>
      <c r="J330" s="633"/>
      <c r="K330" s="633"/>
      <c r="L330" s="633">
        <f>CCBASE!$I$14*B330/1000</f>
        <v>418.74730799999998</v>
      </c>
      <c r="M330" s="633"/>
      <c r="N330" s="633"/>
      <c r="O330" s="633">
        <f>CCBASE!$I$45*B330/1000</f>
        <v>19.940000000000001</v>
      </c>
      <c r="P330" s="633"/>
      <c r="Q330" s="633">
        <f>CCBASE!$H$51</f>
        <v>5.16</v>
      </c>
      <c r="R330" s="633">
        <f>CCBASE!$I$4</f>
        <v>8.3986041999999994</v>
      </c>
      <c r="S330" s="633">
        <f>CCBASE!$I$8</f>
        <v>16.25526</v>
      </c>
      <c r="T330" s="633">
        <f>CCBASE!$I$44</f>
        <v>94.69</v>
      </c>
      <c r="U330" s="633"/>
      <c r="V330" s="633"/>
      <c r="W330" s="633">
        <f>CCBASE!$I$40*B330/1000</f>
        <v>82.616079999999997</v>
      </c>
      <c r="X330" s="633"/>
      <c r="Y330" s="633"/>
      <c r="Z330" s="633"/>
      <c r="AA330" s="633"/>
      <c r="AB330" s="633"/>
      <c r="AC330" s="633"/>
      <c r="AD330" s="633">
        <f>CCBASE!$I$36*2</f>
        <v>191.630124</v>
      </c>
    </row>
    <row r="331" spans="1:30" x14ac:dyDescent="0.2">
      <c r="A331" s="631" t="s">
        <v>765</v>
      </c>
      <c r="B331" s="631">
        <v>2250</v>
      </c>
      <c r="C331" s="631">
        <v>1250</v>
      </c>
      <c r="D331" s="631" t="str">
        <f t="shared" ref="D331" si="132">A331&amp;B331&amp;C331</f>
        <v>CMWI22501250</v>
      </c>
      <c r="E331" s="1054">
        <f t="shared" si="104"/>
        <v>1927.8140086249998</v>
      </c>
      <c r="F331" s="632">
        <v>21</v>
      </c>
      <c r="G331" s="633">
        <f>F331*CCBASE!$B$51</f>
        <v>756</v>
      </c>
      <c r="H331" s="633">
        <f>CCBASE!$I$12*B331/1000</f>
        <v>269.21370892500005</v>
      </c>
      <c r="I331" s="633"/>
      <c r="J331" s="633"/>
      <c r="K331" s="633"/>
      <c r="L331" s="633">
        <f>CCBASE!$I$14*B331/1000</f>
        <v>471.09072149999997</v>
      </c>
      <c r="M331" s="633"/>
      <c r="N331" s="633"/>
      <c r="O331" s="633">
        <f>CCBASE!$I$45*B331/1000</f>
        <v>22.432500000000001</v>
      </c>
      <c r="P331" s="633"/>
      <c r="Q331" s="633">
        <f>CCBASE!$H$51</f>
        <v>5.16</v>
      </c>
      <c r="R331" s="633">
        <f>CCBASE!$I$4</f>
        <v>8.3986041999999994</v>
      </c>
      <c r="S331" s="633">
        <f>CCBASE!$I$8</f>
        <v>16.25526</v>
      </c>
      <c r="T331" s="633">
        <f>CCBASE!$I$44</f>
        <v>94.69</v>
      </c>
      <c r="U331" s="633"/>
      <c r="V331" s="633"/>
      <c r="W331" s="633">
        <f>CCBASE!$I$40*B331/1000</f>
        <v>92.943089999999998</v>
      </c>
      <c r="X331" s="633"/>
      <c r="Y331" s="633"/>
      <c r="Z331" s="633"/>
      <c r="AA331" s="633"/>
      <c r="AB331" s="633"/>
      <c r="AC331" s="633"/>
      <c r="AD331" s="633">
        <f>CCBASE!$I$36*2</f>
        <v>191.630124</v>
      </c>
    </row>
    <row r="332" spans="1:30" x14ac:dyDescent="0.2">
      <c r="A332" s="631" t="s">
        <v>765</v>
      </c>
      <c r="B332" s="631">
        <v>2500</v>
      </c>
      <c r="C332" s="631">
        <v>1250</v>
      </c>
      <c r="D332" s="631" t="str">
        <f t="shared" si="125"/>
        <v>CMWI25001250</v>
      </c>
      <c r="E332" s="1054">
        <f t="shared" ref="E332:E404" si="133">SUM(G332:AD332)</f>
        <v>2022.8895664499998</v>
      </c>
      <c r="F332" s="632">
        <v>21</v>
      </c>
      <c r="G332" s="633">
        <f>F332*CCBASE!$B$51</f>
        <v>756</v>
      </c>
      <c r="H332" s="633">
        <f>CCBASE!$I$12*B332/1000</f>
        <v>299.12634325000005</v>
      </c>
      <c r="I332" s="633"/>
      <c r="J332" s="633"/>
      <c r="K332" s="633"/>
      <c r="L332" s="633">
        <f>CCBASE!$I$14*B332/1000</f>
        <v>523.43413499999997</v>
      </c>
      <c r="M332" s="633"/>
      <c r="N332" s="633"/>
      <c r="O332" s="633">
        <f>CCBASE!$I$45*B332/1000</f>
        <v>24.925000000000001</v>
      </c>
      <c r="P332" s="633"/>
      <c r="Q332" s="633">
        <f>CCBASE!$H$51</f>
        <v>5.16</v>
      </c>
      <c r="R332" s="633">
        <f>CCBASE!$I$4</f>
        <v>8.3986041999999994</v>
      </c>
      <c r="S332" s="633">
        <f>CCBASE!$I$8</f>
        <v>16.25526</v>
      </c>
      <c r="T332" s="633">
        <f>CCBASE!$I$44</f>
        <v>94.69</v>
      </c>
      <c r="U332" s="633"/>
      <c r="V332" s="633"/>
      <c r="W332" s="633">
        <f>CCBASE!$I$40*B332/1000</f>
        <v>103.27009999999999</v>
      </c>
      <c r="X332" s="633"/>
      <c r="Y332" s="633"/>
      <c r="Z332" s="633"/>
      <c r="AA332" s="633"/>
      <c r="AB332" s="633"/>
      <c r="AC332" s="633"/>
      <c r="AD332" s="633">
        <f>CCBASE!$I$36*2</f>
        <v>191.630124</v>
      </c>
    </row>
    <row r="333" spans="1:30" x14ac:dyDescent="0.2">
      <c r="A333" s="631" t="s">
        <v>765</v>
      </c>
      <c r="B333" s="631">
        <v>2750</v>
      </c>
      <c r="C333" s="631">
        <v>1250</v>
      </c>
      <c r="D333" s="631" t="str">
        <f t="shared" ref="D333" si="134">A333&amp;B333&amp;C333</f>
        <v>CMWI27501250</v>
      </c>
      <c r="E333" s="1054">
        <f t="shared" si="133"/>
        <v>2117.9651242749997</v>
      </c>
      <c r="F333" s="632">
        <v>21</v>
      </c>
      <c r="G333" s="633">
        <f>F333*CCBASE!$B$51</f>
        <v>756</v>
      </c>
      <c r="H333" s="633">
        <f>CCBASE!$I$12*B333/1000</f>
        <v>329.03897757500005</v>
      </c>
      <c r="I333" s="633"/>
      <c r="J333" s="633"/>
      <c r="K333" s="633"/>
      <c r="L333" s="633">
        <f>CCBASE!$I$14*B333/1000</f>
        <v>575.77754849999997</v>
      </c>
      <c r="M333" s="633"/>
      <c r="N333" s="633"/>
      <c r="O333" s="633">
        <f>CCBASE!$I$45*B333/1000</f>
        <v>27.4175</v>
      </c>
      <c r="P333" s="633"/>
      <c r="Q333" s="633">
        <f>CCBASE!$H$51</f>
        <v>5.16</v>
      </c>
      <c r="R333" s="633">
        <f>CCBASE!$I$4</f>
        <v>8.3986041999999994</v>
      </c>
      <c r="S333" s="633">
        <f>CCBASE!$I$8</f>
        <v>16.25526</v>
      </c>
      <c r="T333" s="633">
        <f>CCBASE!$I$44</f>
        <v>94.69</v>
      </c>
      <c r="U333" s="633"/>
      <c r="V333" s="633"/>
      <c r="W333" s="633">
        <f>CCBASE!$I$40*B333/1000</f>
        <v>113.59711</v>
      </c>
      <c r="X333" s="633"/>
      <c r="Y333" s="633"/>
      <c r="Z333" s="633"/>
      <c r="AA333" s="633"/>
      <c r="AB333" s="633"/>
      <c r="AC333" s="633"/>
      <c r="AD333" s="633">
        <f>CCBASE!$I$36*2</f>
        <v>191.630124</v>
      </c>
    </row>
    <row r="334" spans="1:30" x14ac:dyDescent="0.2">
      <c r="A334" s="631" t="s">
        <v>765</v>
      </c>
      <c r="B334" s="631">
        <v>3000</v>
      </c>
      <c r="C334" s="631">
        <v>1250</v>
      </c>
      <c r="D334" s="631" t="str">
        <f t="shared" si="125"/>
        <v>CMWI30001250</v>
      </c>
      <c r="E334" s="1054">
        <f t="shared" si="133"/>
        <v>2213.0406820999997</v>
      </c>
      <c r="F334" s="632">
        <v>21</v>
      </c>
      <c r="G334" s="633">
        <f>F334*CCBASE!$B$51</f>
        <v>756</v>
      </c>
      <c r="H334" s="633">
        <f>CCBASE!$I$12*B334/1000</f>
        <v>358.95161190000005</v>
      </c>
      <c r="I334" s="633"/>
      <c r="J334" s="633"/>
      <c r="K334" s="633"/>
      <c r="L334" s="633">
        <f>CCBASE!$I$14*B334/1000</f>
        <v>628.12096199999996</v>
      </c>
      <c r="M334" s="633"/>
      <c r="N334" s="633"/>
      <c r="O334" s="633">
        <f>CCBASE!$I$45*B334/1000</f>
        <v>29.910000000000004</v>
      </c>
      <c r="P334" s="633"/>
      <c r="Q334" s="633">
        <f>CCBASE!$H$51</f>
        <v>5.16</v>
      </c>
      <c r="R334" s="633">
        <f>CCBASE!$I$4</f>
        <v>8.3986041999999994</v>
      </c>
      <c r="S334" s="633">
        <f>CCBASE!$I$8</f>
        <v>16.25526</v>
      </c>
      <c r="T334" s="633">
        <f>CCBASE!$I$44</f>
        <v>94.69</v>
      </c>
      <c r="U334" s="633"/>
      <c r="V334" s="633"/>
      <c r="W334" s="633">
        <f>CCBASE!$I$40*B334/1000</f>
        <v>123.92412</v>
      </c>
      <c r="X334" s="633"/>
      <c r="Y334" s="633"/>
      <c r="Z334" s="633"/>
      <c r="AA334" s="633"/>
      <c r="AB334" s="633"/>
      <c r="AC334" s="633"/>
      <c r="AD334" s="633">
        <f>CCBASE!$I$36*2</f>
        <v>191.630124</v>
      </c>
    </row>
    <row r="335" spans="1:30" x14ac:dyDescent="0.2">
      <c r="A335" s="631" t="s">
        <v>765</v>
      </c>
      <c r="B335" s="631">
        <v>1000</v>
      </c>
      <c r="C335" s="631">
        <v>1500</v>
      </c>
      <c r="D335" s="631" t="str">
        <f t="shared" si="125"/>
        <v>CMWI10001500</v>
      </c>
      <c r="E335" s="1054">
        <f t="shared" si="133"/>
        <v>1482.6787315000001</v>
      </c>
      <c r="F335" s="632">
        <v>20</v>
      </c>
      <c r="G335" s="633">
        <f>F335*CCBASE!$B$51</f>
        <v>720</v>
      </c>
      <c r="H335" s="633">
        <f>CCBASE!$I$12*B335/1000</f>
        <v>119.65053730000001</v>
      </c>
      <c r="I335" s="633"/>
      <c r="J335" s="633"/>
      <c r="K335" s="633"/>
      <c r="L335" s="633">
        <f>CCBASE!$I$14*B335/1000</f>
        <v>209.37365399999999</v>
      </c>
      <c r="M335" s="633"/>
      <c r="N335" s="633"/>
      <c r="O335" s="633">
        <f>CCBASE!$I$45*B335/1000</f>
        <v>9.9700000000000006</v>
      </c>
      <c r="P335" s="633"/>
      <c r="Q335" s="633">
        <f>CCBASE!$H$51</f>
        <v>5.16</v>
      </c>
      <c r="R335" s="633">
        <f>CCBASE!$I$4</f>
        <v>8.3986041999999994</v>
      </c>
      <c r="S335" s="633">
        <f>CCBASE!$I$8</f>
        <v>16.25526</v>
      </c>
      <c r="T335" s="633">
        <f>CCBASE!$I$44</f>
        <v>94.69</v>
      </c>
      <c r="U335" s="633"/>
      <c r="V335" s="633"/>
      <c r="W335" s="633">
        <f>CCBASE!$I$41*B335/1000</f>
        <v>59.051569999999998</v>
      </c>
      <c r="X335" s="633"/>
      <c r="Y335" s="633"/>
      <c r="Z335" s="633"/>
      <c r="AA335" s="633"/>
      <c r="AB335" s="633"/>
      <c r="AC335" s="633"/>
      <c r="AD335" s="633">
        <f>CCBASE!$I$37*2</f>
        <v>240.12910599999998</v>
      </c>
    </row>
    <row r="336" spans="1:30" x14ac:dyDescent="0.2">
      <c r="A336" s="631" t="s">
        <v>765</v>
      </c>
      <c r="B336" s="631">
        <v>1250</v>
      </c>
      <c r="C336" s="631">
        <v>1500</v>
      </c>
      <c r="D336" s="631" t="str">
        <f t="shared" ref="D336" si="135">A336&amp;B336&amp;C336</f>
        <v>CMWI12501500</v>
      </c>
      <c r="E336" s="1054">
        <f t="shared" si="133"/>
        <v>1582.1901718250001</v>
      </c>
      <c r="F336" s="632">
        <v>20</v>
      </c>
      <c r="G336" s="633">
        <f>F336*CCBASE!$B$51</f>
        <v>720</v>
      </c>
      <c r="H336" s="633">
        <f>CCBASE!$I$12*B336/1000</f>
        <v>149.56317162500002</v>
      </c>
      <c r="I336" s="633"/>
      <c r="J336" s="633"/>
      <c r="K336" s="633"/>
      <c r="L336" s="633">
        <f>CCBASE!$I$14*B336/1000</f>
        <v>261.71706749999998</v>
      </c>
      <c r="M336" s="633"/>
      <c r="N336" s="633"/>
      <c r="O336" s="633">
        <f>CCBASE!$I$45*B336/1000</f>
        <v>12.4625</v>
      </c>
      <c r="P336" s="633"/>
      <c r="Q336" s="633">
        <f>CCBASE!$H$51</f>
        <v>5.16</v>
      </c>
      <c r="R336" s="633">
        <f>CCBASE!$I$4</f>
        <v>8.3986041999999994</v>
      </c>
      <c r="S336" s="633">
        <f>CCBASE!$I$8</f>
        <v>16.25526</v>
      </c>
      <c r="T336" s="633">
        <f>CCBASE!$I$44</f>
        <v>94.69</v>
      </c>
      <c r="U336" s="633"/>
      <c r="V336" s="633"/>
      <c r="W336" s="633">
        <f>CCBASE!$I$41*B336/1000</f>
        <v>73.814462499999991</v>
      </c>
      <c r="X336" s="633"/>
      <c r="Y336" s="633"/>
      <c r="Z336" s="633"/>
      <c r="AA336" s="633"/>
      <c r="AB336" s="633"/>
      <c r="AC336" s="633"/>
      <c r="AD336" s="633">
        <f>CCBASE!$I$37*2</f>
        <v>240.12910599999998</v>
      </c>
    </row>
    <row r="337" spans="1:30" x14ac:dyDescent="0.2">
      <c r="A337" s="631" t="s">
        <v>765</v>
      </c>
      <c r="B337" s="631">
        <v>1500</v>
      </c>
      <c r="C337" s="631">
        <v>1500</v>
      </c>
      <c r="D337" s="631" t="str">
        <f t="shared" si="125"/>
        <v>CMWI15001500</v>
      </c>
      <c r="E337" s="1054">
        <f t="shared" si="133"/>
        <v>1681.7016121499996</v>
      </c>
      <c r="F337" s="632">
        <v>20</v>
      </c>
      <c r="G337" s="633">
        <f>F337*CCBASE!$B$51</f>
        <v>720</v>
      </c>
      <c r="H337" s="633">
        <f>CCBASE!$I$12*B337/1000</f>
        <v>179.47580595000002</v>
      </c>
      <c r="I337" s="633"/>
      <c r="J337" s="633"/>
      <c r="K337" s="633"/>
      <c r="L337" s="633">
        <f>CCBASE!$I$14*B337/1000</f>
        <v>314.06048099999998</v>
      </c>
      <c r="M337" s="633"/>
      <c r="N337" s="633"/>
      <c r="O337" s="633">
        <f>CCBASE!$I$45*B337/1000</f>
        <v>14.955000000000002</v>
      </c>
      <c r="P337" s="633"/>
      <c r="Q337" s="633">
        <f>CCBASE!$H$51</f>
        <v>5.16</v>
      </c>
      <c r="R337" s="633">
        <f>CCBASE!$I$4</f>
        <v>8.3986041999999994</v>
      </c>
      <c r="S337" s="633">
        <f>CCBASE!$I$8</f>
        <v>16.25526</v>
      </c>
      <c r="T337" s="633">
        <f>CCBASE!$I$44</f>
        <v>94.69</v>
      </c>
      <c r="U337" s="633"/>
      <c r="V337" s="633"/>
      <c r="W337" s="633">
        <f>CCBASE!$I$41*B337/1000</f>
        <v>88.577354999999997</v>
      </c>
      <c r="X337" s="633"/>
      <c r="Y337" s="633"/>
      <c r="Z337" s="633"/>
      <c r="AA337" s="633"/>
      <c r="AB337" s="633"/>
      <c r="AC337" s="633"/>
      <c r="AD337" s="633">
        <f>CCBASE!$I$37*2</f>
        <v>240.12910599999998</v>
      </c>
    </row>
    <row r="338" spans="1:30" x14ac:dyDescent="0.2">
      <c r="A338" s="631" t="s">
        <v>765</v>
      </c>
      <c r="B338" s="631">
        <v>1750</v>
      </c>
      <c r="C338" s="631">
        <v>1500</v>
      </c>
      <c r="D338" s="631" t="str">
        <f t="shared" ref="D338" si="136">A338&amp;B338&amp;C338</f>
        <v>CMWI17501500</v>
      </c>
      <c r="E338" s="1054">
        <f t="shared" si="133"/>
        <v>1781.213052475</v>
      </c>
      <c r="F338" s="632">
        <v>20</v>
      </c>
      <c r="G338" s="633">
        <f>F338*CCBASE!$B$51</f>
        <v>720</v>
      </c>
      <c r="H338" s="633">
        <f>CCBASE!$I$12*B338/1000</f>
        <v>209.38844027500002</v>
      </c>
      <c r="I338" s="633"/>
      <c r="J338" s="633"/>
      <c r="K338" s="633"/>
      <c r="L338" s="633">
        <f>CCBASE!$I$14*B338/1000</f>
        <v>366.40389449999998</v>
      </c>
      <c r="M338" s="633"/>
      <c r="N338" s="633"/>
      <c r="O338" s="633">
        <f>CCBASE!$I$45*B338/1000</f>
        <v>17.447500000000002</v>
      </c>
      <c r="P338" s="633"/>
      <c r="Q338" s="633">
        <f>CCBASE!$H$51</f>
        <v>5.16</v>
      </c>
      <c r="R338" s="633">
        <f>CCBASE!$I$4</f>
        <v>8.3986041999999994</v>
      </c>
      <c r="S338" s="633">
        <f>CCBASE!$I$8</f>
        <v>16.25526</v>
      </c>
      <c r="T338" s="633">
        <f>CCBASE!$I$44</f>
        <v>94.69</v>
      </c>
      <c r="U338" s="633"/>
      <c r="V338" s="633"/>
      <c r="W338" s="633">
        <f>CCBASE!$I$41*B338/1000</f>
        <v>103.3402475</v>
      </c>
      <c r="X338" s="633"/>
      <c r="Y338" s="633"/>
      <c r="Z338" s="633"/>
      <c r="AA338" s="633"/>
      <c r="AB338" s="633"/>
      <c r="AC338" s="633"/>
      <c r="AD338" s="633">
        <f>CCBASE!$I$37*2</f>
        <v>240.12910599999998</v>
      </c>
    </row>
    <row r="339" spans="1:30" x14ac:dyDescent="0.2">
      <c r="A339" s="631" t="s">
        <v>765</v>
      </c>
      <c r="B339" s="631">
        <v>2000</v>
      </c>
      <c r="C339" s="631">
        <v>1500</v>
      </c>
      <c r="D339" s="631" t="str">
        <f t="shared" si="125"/>
        <v>CMWI20001500</v>
      </c>
      <c r="E339" s="1054">
        <f t="shared" si="133"/>
        <v>1880.7244928</v>
      </c>
      <c r="F339" s="632">
        <v>20</v>
      </c>
      <c r="G339" s="633">
        <f>F339*CCBASE!$B$51</f>
        <v>720</v>
      </c>
      <c r="H339" s="633">
        <f>CCBASE!$I$12*B339/1000</f>
        <v>239.30107460000002</v>
      </c>
      <c r="I339" s="633"/>
      <c r="J339" s="633"/>
      <c r="K339" s="633"/>
      <c r="L339" s="633">
        <f>CCBASE!$I$14*B339/1000</f>
        <v>418.74730799999998</v>
      </c>
      <c r="M339" s="633"/>
      <c r="N339" s="633"/>
      <c r="O339" s="633">
        <f>CCBASE!$I$45*B339/1000</f>
        <v>19.940000000000001</v>
      </c>
      <c r="P339" s="633"/>
      <c r="Q339" s="633">
        <f>CCBASE!$H$51</f>
        <v>5.16</v>
      </c>
      <c r="R339" s="633">
        <f>CCBASE!$I$4</f>
        <v>8.3986041999999994</v>
      </c>
      <c r="S339" s="633">
        <f>CCBASE!$I$8</f>
        <v>16.25526</v>
      </c>
      <c r="T339" s="633">
        <f>CCBASE!$I$44</f>
        <v>94.69</v>
      </c>
      <c r="U339" s="633"/>
      <c r="V339" s="633"/>
      <c r="W339" s="633">
        <f>CCBASE!$I$41*B339/1000</f>
        <v>118.10314</v>
      </c>
      <c r="X339" s="633"/>
      <c r="Y339" s="633"/>
      <c r="Z339" s="633"/>
      <c r="AA339" s="633"/>
      <c r="AB339" s="633"/>
      <c r="AC339" s="633"/>
      <c r="AD339" s="633">
        <f>CCBASE!$I$37*2</f>
        <v>240.12910599999998</v>
      </c>
    </row>
    <row r="340" spans="1:30" x14ac:dyDescent="0.2">
      <c r="A340" s="631" t="s">
        <v>765</v>
      </c>
      <c r="B340" s="631">
        <v>2250</v>
      </c>
      <c r="C340" s="631">
        <v>1500</v>
      </c>
      <c r="D340" s="631" t="str">
        <f t="shared" ref="D340" si="137">A340&amp;B340&amp;C340</f>
        <v>CMWI22501500</v>
      </c>
      <c r="E340" s="1054">
        <f t="shared" si="133"/>
        <v>2016.235933125</v>
      </c>
      <c r="F340" s="632">
        <v>21</v>
      </c>
      <c r="G340" s="633">
        <f>F340*CCBASE!$B$51</f>
        <v>756</v>
      </c>
      <c r="H340" s="633">
        <f>CCBASE!$I$12*B340/1000</f>
        <v>269.21370892500005</v>
      </c>
      <c r="I340" s="633"/>
      <c r="J340" s="633"/>
      <c r="K340" s="633"/>
      <c r="L340" s="633">
        <f>CCBASE!$I$14*B340/1000</f>
        <v>471.09072149999997</v>
      </c>
      <c r="M340" s="633"/>
      <c r="N340" s="633"/>
      <c r="O340" s="633">
        <f>CCBASE!$I$45*B340/1000</f>
        <v>22.432500000000001</v>
      </c>
      <c r="P340" s="633"/>
      <c r="Q340" s="633">
        <f>CCBASE!$H$51</f>
        <v>5.16</v>
      </c>
      <c r="R340" s="633">
        <f>CCBASE!$I$4</f>
        <v>8.3986041999999994</v>
      </c>
      <c r="S340" s="633">
        <f>CCBASE!$I$8</f>
        <v>16.25526</v>
      </c>
      <c r="T340" s="633">
        <f>CCBASE!$I$44</f>
        <v>94.69</v>
      </c>
      <c r="U340" s="633"/>
      <c r="V340" s="633"/>
      <c r="W340" s="633">
        <f>CCBASE!$I$41*B340/1000</f>
        <v>132.86603249999999</v>
      </c>
      <c r="X340" s="633"/>
      <c r="Y340" s="633"/>
      <c r="Z340" s="633"/>
      <c r="AA340" s="633"/>
      <c r="AB340" s="633"/>
      <c r="AC340" s="633"/>
      <c r="AD340" s="633">
        <f>CCBASE!$I$37*2</f>
        <v>240.12910599999998</v>
      </c>
    </row>
    <row r="341" spans="1:30" x14ac:dyDescent="0.2">
      <c r="A341" s="631" t="s">
        <v>765</v>
      </c>
      <c r="B341" s="631">
        <v>2500</v>
      </c>
      <c r="C341" s="631">
        <v>1500</v>
      </c>
      <c r="D341" s="631" t="str">
        <f t="shared" si="125"/>
        <v>CMWI25001500</v>
      </c>
      <c r="E341" s="1054">
        <f t="shared" si="133"/>
        <v>2115.7473734499999</v>
      </c>
      <c r="F341" s="632">
        <v>21</v>
      </c>
      <c r="G341" s="633">
        <f>F341*CCBASE!$B$51</f>
        <v>756</v>
      </c>
      <c r="H341" s="633">
        <f>CCBASE!$I$12*B341/1000</f>
        <v>299.12634325000005</v>
      </c>
      <c r="I341" s="633"/>
      <c r="J341" s="633"/>
      <c r="K341" s="633"/>
      <c r="L341" s="633">
        <f>CCBASE!$I$14*B341/1000</f>
        <v>523.43413499999997</v>
      </c>
      <c r="M341" s="633"/>
      <c r="N341" s="633"/>
      <c r="O341" s="633">
        <f>CCBASE!$I$45*B341/1000</f>
        <v>24.925000000000001</v>
      </c>
      <c r="P341" s="633"/>
      <c r="Q341" s="633">
        <f>CCBASE!$H$51</f>
        <v>5.16</v>
      </c>
      <c r="R341" s="633">
        <f>CCBASE!$I$4</f>
        <v>8.3986041999999994</v>
      </c>
      <c r="S341" s="633">
        <f>CCBASE!$I$8</f>
        <v>16.25526</v>
      </c>
      <c r="T341" s="633">
        <f>CCBASE!$I$44</f>
        <v>94.69</v>
      </c>
      <c r="U341" s="633"/>
      <c r="V341" s="633"/>
      <c r="W341" s="633">
        <f>CCBASE!$I$41*B341/1000</f>
        <v>147.62892499999998</v>
      </c>
      <c r="X341" s="633"/>
      <c r="Y341" s="633"/>
      <c r="Z341" s="633"/>
      <c r="AA341" s="633"/>
      <c r="AB341" s="633"/>
      <c r="AC341" s="633"/>
      <c r="AD341" s="633">
        <f>CCBASE!$I$37*2</f>
        <v>240.12910599999998</v>
      </c>
    </row>
    <row r="342" spans="1:30" x14ac:dyDescent="0.2">
      <c r="A342" s="631" t="s">
        <v>765</v>
      </c>
      <c r="B342" s="631">
        <v>2750</v>
      </c>
      <c r="C342" s="631">
        <v>1500</v>
      </c>
      <c r="D342" s="631" t="str">
        <f t="shared" ref="D342" si="138">A342&amp;B342&amp;C342</f>
        <v>CMWI27501500</v>
      </c>
      <c r="E342" s="1054">
        <f t="shared" si="133"/>
        <v>2215.2588137749999</v>
      </c>
      <c r="F342" s="632">
        <v>21</v>
      </c>
      <c r="G342" s="633">
        <f>F342*CCBASE!$B$51</f>
        <v>756</v>
      </c>
      <c r="H342" s="633">
        <f>CCBASE!$I$12*B342/1000</f>
        <v>329.03897757500005</v>
      </c>
      <c r="I342" s="633"/>
      <c r="J342" s="633"/>
      <c r="K342" s="633"/>
      <c r="L342" s="633">
        <f>CCBASE!$I$14*B342/1000</f>
        <v>575.77754849999997</v>
      </c>
      <c r="M342" s="633"/>
      <c r="N342" s="633"/>
      <c r="O342" s="633">
        <f>CCBASE!$I$45*B342/1000</f>
        <v>27.4175</v>
      </c>
      <c r="P342" s="633"/>
      <c r="Q342" s="633">
        <f>CCBASE!$H$51</f>
        <v>5.16</v>
      </c>
      <c r="R342" s="633">
        <f>CCBASE!$I$4</f>
        <v>8.3986041999999994</v>
      </c>
      <c r="S342" s="633">
        <f>CCBASE!$I$8</f>
        <v>16.25526</v>
      </c>
      <c r="T342" s="633">
        <f>CCBASE!$I$44</f>
        <v>94.69</v>
      </c>
      <c r="U342" s="633"/>
      <c r="V342" s="633"/>
      <c r="W342" s="633">
        <f>CCBASE!$I$41*B342/1000</f>
        <v>162.3918175</v>
      </c>
      <c r="X342" s="633"/>
      <c r="Y342" s="633"/>
      <c r="Z342" s="633"/>
      <c r="AA342" s="633"/>
      <c r="AB342" s="633"/>
      <c r="AC342" s="633"/>
      <c r="AD342" s="633">
        <f>CCBASE!$I$37*2</f>
        <v>240.12910599999998</v>
      </c>
    </row>
    <row r="343" spans="1:30" x14ac:dyDescent="0.2">
      <c r="A343" s="631" t="s">
        <v>765</v>
      </c>
      <c r="B343" s="631">
        <v>3000</v>
      </c>
      <c r="C343" s="631">
        <v>1500</v>
      </c>
      <c r="D343" s="631" t="str">
        <f t="shared" si="125"/>
        <v>CMWI30001500</v>
      </c>
      <c r="E343" s="1054">
        <f t="shared" si="133"/>
        <v>2314.7702540999999</v>
      </c>
      <c r="F343" s="632">
        <v>21</v>
      </c>
      <c r="G343" s="633">
        <f>F343*CCBASE!$B$51</f>
        <v>756</v>
      </c>
      <c r="H343" s="633">
        <f>CCBASE!$I$12*B343/1000</f>
        <v>358.95161190000005</v>
      </c>
      <c r="I343" s="633"/>
      <c r="J343" s="633"/>
      <c r="K343" s="633"/>
      <c r="L343" s="633">
        <f>CCBASE!$I$14*B343/1000</f>
        <v>628.12096199999996</v>
      </c>
      <c r="M343" s="633"/>
      <c r="N343" s="633"/>
      <c r="O343" s="633">
        <f>CCBASE!$I$45*B343/1000</f>
        <v>29.910000000000004</v>
      </c>
      <c r="P343" s="633"/>
      <c r="Q343" s="633">
        <f>CCBASE!$H$51</f>
        <v>5.16</v>
      </c>
      <c r="R343" s="633">
        <f>CCBASE!$I$4</f>
        <v>8.3986041999999994</v>
      </c>
      <c r="S343" s="633">
        <f>CCBASE!$I$8</f>
        <v>16.25526</v>
      </c>
      <c r="T343" s="633">
        <f>CCBASE!$I$44</f>
        <v>94.69</v>
      </c>
      <c r="U343" s="633"/>
      <c r="V343" s="633"/>
      <c r="W343" s="633">
        <f>CCBASE!$I$41*B343/1000</f>
        <v>177.15470999999999</v>
      </c>
      <c r="X343" s="633"/>
      <c r="Y343" s="633"/>
      <c r="Z343" s="633"/>
      <c r="AA343" s="633"/>
      <c r="AB343" s="633"/>
      <c r="AC343" s="633"/>
      <c r="AD343" s="633">
        <f>CCBASE!$I$37*2</f>
        <v>240.12910599999998</v>
      </c>
    </row>
    <row r="344" spans="1:30" x14ac:dyDescent="0.2">
      <c r="A344" s="631" t="s">
        <v>765</v>
      </c>
      <c r="B344" s="631">
        <v>1000</v>
      </c>
      <c r="C344" s="631">
        <v>1750</v>
      </c>
      <c r="D344" s="631" t="str">
        <f t="shared" ref="D344:D352" si="139">A344&amp;B344&amp;C344</f>
        <v>CMWI10001750</v>
      </c>
      <c r="E344" s="1054">
        <f t="shared" ref="E344:E352" si="140">SUM(G344:AD344)</f>
        <v>1526.4461054999999</v>
      </c>
      <c r="F344" s="632">
        <v>20</v>
      </c>
      <c r="G344" s="633">
        <f>F344*CCBASE!$B$51</f>
        <v>720</v>
      </c>
      <c r="H344" s="633">
        <f>CCBASE!$I$12*B344/1000</f>
        <v>119.65053730000001</v>
      </c>
      <c r="I344" s="633"/>
      <c r="J344" s="633"/>
      <c r="K344" s="633"/>
      <c r="L344" s="633">
        <f>CCBASE!$I$14*B344/1000</f>
        <v>209.37365399999999</v>
      </c>
      <c r="M344" s="633"/>
      <c r="N344" s="633"/>
      <c r="O344" s="633">
        <f>CCBASE!$I$45*B344/1000</f>
        <v>9.9700000000000006</v>
      </c>
      <c r="P344" s="633"/>
      <c r="Q344" s="633">
        <f>CCBASE!$H$51</f>
        <v>5.16</v>
      </c>
      <c r="R344" s="633">
        <f>CCBASE!$I$4</f>
        <v>8.3986041999999994</v>
      </c>
      <c r="S344" s="633">
        <f>CCBASE!$I$8</f>
        <v>16.25526</v>
      </c>
      <c r="T344" s="633">
        <f>CCBASE!$I$44</f>
        <v>94.69</v>
      </c>
      <c r="U344" s="632"/>
      <c r="V344" s="632"/>
      <c r="W344" s="633">
        <f>CCBASE!$I$42*B344/1000</f>
        <v>70.880589999999998</v>
      </c>
      <c r="X344" s="633"/>
      <c r="Y344" s="633"/>
      <c r="Z344" s="633"/>
      <c r="AA344" s="633"/>
      <c r="AB344" s="633"/>
      <c r="AC344" s="633"/>
      <c r="AD344" s="633">
        <f>CCBASE!$I$38*2</f>
        <v>272.06745999999998</v>
      </c>
    </row>
    <row r="345" spans="1:30" x14ac:dyDescent="0.2">
      <c r="A345" s="631" t="s">
        <v>765</v>
      </c>
      <c r="B345" s="631">
        <v>1250</v>
      </c>
      <c r="C345" s="631">
        <v>1750</v>
      </c>
      <c r="D345" s="631" t="str">
        <f t="shared" si="139"/>
        <v>CMWI12501750</v>
      </c>
      <c r="E345" s="1054">
        <f t="shared" si="140"/>
        <v>1628.9148008249999</v>
      </c>
      <c r="F345" s="632">
        <v>20</v>
      </c>
      <c r="G345" s="633">
        <f>F345*CCBASE!$B$51</f>
        <v>720</v>
      </c>
      <c r="H345" s="633">
        <f>CCBASE!$I$12*B345/1000</f>
        <v>149.56317162500002</v>
      </c>
      <c r="I345" s="633"/>
      <c r="J345" s="633"/>
      <c r="K345" s="633"/>
      <c r="L345" s="633">
        <f>CCBASE!$I$14*B345/1000</f>
        <v>261.71706749999998</v>
      </c>
      <c r="M345" s="633"/>
      <c r="N345" s="633"/>
      <c r="O345" s="633">
        <f>CCBASE!$I$45*B345/1000</f>
        <v>12.4625</v>
      </c>
      <c r="P345" s="633"/>
      <c r="Q345" s="633">
        <f>CCBASE!$H$51</f>
        <v>5.16</v>
      </c>
      <c r="R345" s="633">
        <f>CCBASE!$I$4</f>
        <v>8.3986041999999994</v>
      </c>
      <c r="S345" s="633">
        <f>CCBASE!$I$8</f>
        <v>16.25526</v>
      </c>
      <c r="T345" s="633">
        <f>CCBASE!$I$44</f>
        <v>94.69</v>
      </c>
      <c r="U345" s="632"/>
      <c r="V345" s="632"/>
      <c r="W345" s="633">
        <f>CCBASE!$I$42*B345/1000</f>
        <v>88.600737500000008</v>
      </c>
      <c r="X345" s="633"/>
      <c r="Y345" s="633"/>
      <c r="Z345" s="633"/>
      <c r="AA345" s="633"/>
      <c r="AB345" s="633"/>
      <c r="AC345" s="633"/>
      <c r="AD345" s="633">
        <f>CCBASE!$I$38*2</f>
        <v>272.06745999999998</v>
      </c>
    </row>
    <row r="346" spans="1:30" x14ac:dyDescent="0.2">
      <c r="A346" s="631" t="s">
        <v>765</v>
      </c>
      <c r="B346" s="631">
        <v>1500</v>
      </c>
      <c r="C346" s="631">
        <v>1750</v>
      </c>
      <c r="D346" s="631" t="str">
        <f t="shared" si="139"/>
        <v>CMWI15001750</v>
      </c>
      <c r="E346" s="1054">
        <f t="shared" si="140"/>
        <v>1731.3834961499999</v>
      </c>
      <c r="F346" s="632">
        <v>20</v>
      </c>
      <c r="G346" s="633">
        <f>F346*CCBASE!$B$51</f>
        <v>720</v>
      </c>
      <c r="H346" s="633">
        <f>CCBASE!$I$12*B346/1000</f>
        <v>179.47580595000002</v>
      </c>
      <c r="I346" s="633"/>
      <c r="J346" s="633"/>
      <c r="K346" s="633"/>
      <c r="L346" s="633">
        <f>CCBASE!$I$14*B346/1000</f>
        <v>314.06048099999998</v>
      </c>
      <c r="M346" s="633"/>
      <c r="N346" s="633"/>
      <c r="O346" s="633">
        <f>CCBASE!$I$45*B346/1000</f>
        <v>14.955000000000002</v>
      </c>
      <c r="P346" s="633"/>
      <c r="Q346" s="633">
        <f>CCBASE!$H$51</f>
        <v>5.16</v>
      </c>
      <c r="R346" s="633">
        <f>CCBASE!$I$4</f>
        <v>8.3986041999999994</v>
      </c>
      <c r="S346" s="633">
        <f>CCBASE!$I$8</f>
        <v>16.25526</v>
      </c>
      <c r="T346" s="633">
        <f>CCBASE!$I$44</f>
        <v>94.69</v>
      </c>
      <c r="U346" s="632"/>
      <c r="V346" s="632"/>
      <c r="W346" s="633">
        <f>CCBASE!$I$42*B346/1000</f>
        <v>106.32088499999999</v>
      </c>
      <c r="X346" s="633"/>
      <c r="Y346" s="633"/>
      <c r="Z346" s="633"/>
      <c r="AA346" s="633"/>
      <c r="AB346" s="633"/>
      <c r="AC346" s="633"/>
      <c r="AD346" s="633">
        <f>CCBASE!$I$38*2</f>
        <v>272.06745999999998</v>
      </c>
    </row>
    <row r="347" spans="1:30" x14ac:dyDescent="0.2">
      <c r="A347" s="631" t="s">
        <v>765</v>
      </c>
      <c r="B347" s="631">
        <v>1750</v>
      </c>
      <c r="C347" s="631">
        <v>1750</v>
      </c>
      <c r="D347" s="631" t="str">
        <f t="shared" si="139"/>
        <v>CMWI17501750</v>
      </c>
      <c r="E347" s="1054">
        <f t="shared" si="140"/>
        <v>1833.8521914749999</v>
      </c>
      <c r="F347" s="632">
        <v>20</v>
      </c>
      <c r="G347" s="633">
        <f>F347*CCBASE!$B$51</f>
        <v>720</v>
      </c>
      <c r="H347" s="633">
        <f>CCBASE!$I$12*B347/1000</f>
        <v>209.38844027500002</v>
      </c>
      <c r="I347" s="633"/>
      <c r="J347" s="633"/>
      <c r="K347" s="633"/>
      <c r="L347" s="633">
        <f>CCBASE!$I$14*B347/1000</f>
        <v>366.40389449999998</v>
      </c>
      <c r="M347" s="633"/>
      <c r="N347" s="633"/>
      <c r="O347" s="633">
        <f>CCBASE!$I$45*B347/1000</f>
        <v>17.447500000000002</v>
      </c>
      <c r="P347" s="633"/>
      <c r="Q347" s="633">
        <f>CCBASE!$H$51</f>
        <v>5.16</v>
      </c>
      <c r="R347" s="633">
        <f>CCBASE!$I$4</f>
        <v>8.3986041999999994</v>
      </c>
      <c r="S347" s="633">
        <f>CCBASE!$I$8</f>
        <v>16.25526</v>
      </c>
      <c r="T347" s="633">
        <f>CCBASE!$I$44</f>
        <v>94.69</v>
      </c>
      <c r="U347" s="632"/>
      <c r="V347" s="632"/>
      <c r="W347" s="633">
        <f>CCBASE!$I$42*B347/1000</f>
        <v>124.0410325</v>
      </c>
      <c r="X347" s="633"/>
      <c r="Y347" s="633"/>
      <c r="Z347" s="633"/>
      <c r="AA347" s="633"/>
      <c r="AB347" s="633"/>
      <c r="AC347" s="633"/>
      <c r="AD347" s="633">
        <f>CCBASE!$I$38*2</f>
        <v>272.06745999999998</v>
      </c>
    </row>
    <row r="348" spans="1:30" x14ac:dyDescent="0.2">
      <c r="A348" s="631" t="s">
        <v>765</v>
      </c>
      <c r="B348" s="631">
        <v>2000</v>
      </c>
      <c r="C348" s="631">
        <v>1750</v>
      </c>
      <c r="D348" s="631" t="str">
        <f t="shared" si="139"/>
        <v>CMWI20001750</v>
      </c>
      <c r="E348" s="1054">
        <f t="shared" si="140"/>
        <v>1936.3208867999999</v>
      </c>
      <c r="F348" s="632">
        <v>20</v>
      </c>
      <c r="G348" s="633">
        <f>F348*CCBASE!$B$51</f>
        <v>720</v>
      </c>
      <c r="H348" s="633">
        <f>CCBASE!$I$12*B348/1000</f>
        <v>239.30107460000002</v>
      </c>
      <c r="I348" s="633"/>
      <c r="J348" s="633"/>
      <c r="K348" s="633"/>
      <c r="L348" s="633">
        <f>CCBASE!$I$14*B348/1000</f>
        <v>418.74730799999998</v>
      </c>
      <c r="M348" s="633"/>
      <c r="N348" s="633"/>
      <c r="O348" s="633">
        <f>CCBASE!$I$45*B348/1000</f>
        <v>19.940000000000001</v>
      </c>
      <c r="P348" s="633"/>
      <c r="Q348" s="633">
        <f>CCBASE!$H$51</f>
        <v>5.16</v>
      </c>
      <c r="R348" s="633">
        <f>CCBASE!$I$4</f>
        <v>8.3986041999999994</v>
      </c>
      <c r="S348" s="633">
        <f>CCBASE!$I$8</f>
        <v>16.25526</v>
      </c>
      <c r="T348" s="633">
        <f>CCBASE!$I$44</f>
        <v>94.69</v>
      </c>
      <c r="U348" s="632"/>
      <c r="V348" s="632"/>
      <c r="W348" s="633">
        <f>CCBASE!$I$42*B348/1000</f>
        <v>141.76118</v>
      </c>
      <c r="X348" s="633"/>
      <c r="Y348" s="633"/>
      <c r="Z348" s="633"/>
      <c r="AA348" s="633"/>
      <c r="AB348" s="633"/>
      <c r="AC348" s="633"/>
      <c r="AD348" s="633">
        <f>CCBASE!$I$38*2</f>
        <v>272.06745999999998</v>
      </c>
    </row>
    <row r="349" spans="1:30" x14ac:dyDescent="0.2">
      <c r="A349" s="631" t="s">
        <v>765</v>
      </c>
      <c r="B349" s="631">
        <v>2250</v>
      </c>
      <c r="C349" s="631">
        <v>1750</v>
      </c>
      <c r="D349" s="631" t="str">
        <f t="shared" si="139"/>
        <v>CMWI22501750</v>
      </c>
      <c r="E349" s="1054">
        <f t="shared" si="140"/>
        <v>2074.7895821249995</v>
      </c>
      <c r="F349" s="632">
        <v>21</v>
      </c>
      <c r="G349" s="633">
        <f>F349*CCBASE!$B$51</f>
        <v>756</v>
      </c>
      <c r="H349" s="633">
        <f>CCBASE!$I$12*B349/1000</f>
        <v>269.21370892500005</v>
      </c>
      <c r="I349" s="633"/>
      <c r="J349" s="633"/>
      <c r="K349" s="633"/>
      <c r="L349" s="633">
        <f>CCBASE!$I$14*B349/1000</f>
        <v>471.09072149999997</v>
      </c>
      <c r="M349" s="633"/>
      <c r="N349" s="633"/>
      <c r="O349" s="633">
        <f>CCBASE!$I$45*B349/1000</f>
        <v>22.432500000000001</v>
      </c>
      <c r="P349" s="633"/>
      <c r="Q349" s="633">
        <f>CCBASE!$H$51</f>
        <v>5.16</v>
      </c>
      <c r="R349" s="633">
        <f>CCBASE!$I$4</f>
        <v>8.3986041999999994</v>
      </c>
      <c r="S349" s="633">
        <f>CCBASE!$I$8</f>
        <v>16.25526</v>
      </c>
      <c r="T349" s="633">
        <f>CCBASE!$I$44</f>
        <v>94.69</v>
      </c>
      <c r="U349" s="632"/>
      <c r="V349" s="632"/>
      <c r="W349" s="633">
        <f>CCBASE!$I$42*B349/1000</f>
        <v>159.48132749999999</v>
      </c>
      <c r="X349" s="633"/>
      <c r="Y349" s="633"/>
      <c r="Z349" s="633"/>
      <c r="AA349" s="633"/>
      <c r="AB349" s="633"/>
      <c r="AC349" s="633"/>
      <c r="AD349" s="633">
        <f>CCBASE!$I$38*2</f>
        <v>272.06745999999998</v>
      </c>
    </row>
    <row r="350" spans="1:30" x14ac:dyDescent="0.2">
      <c r="A350" s="631" t="s">
        <v>765</v>
      </c>
      <c r="B350" s="631">
        <v>2500</v>
      </c>
      <c r="C350" s="631">
        <v>1750</v>
      </c>
      <c r="D350" s="631" t="str">
        <f t="shared" si="139"/>
        <v>CMWI25001750</v>
      </c>
      <c r="E350" s="1054">
        <f t="shared" si="140"/>
        <v>2177.2582774499997</v>
      </c>
      <c r="F350" s="632">
        <v>21</v>
      </c>
      <c r="G350" s="633">
        <f>F350*CCBASE!$B$51</f>
        <v>756</v>
      </c>
      <c r="H350" s="633">
        <f>CCBASE!$I$12*B350/1000</f>
        <v>299.12634325000005</v>
      </c>
      <c r="I350" s="633"/>
      <c r="J350" s="633"/>
      <c r="K350" s="633"/>
      <c r="L350" s="633">
        <f>CCBASE!$I$14*B350/1000</f>
        <v>523.43413499999997</v>
      </c>
      <c r="M350" s="633"/>
      <c r="N350" s="633"/>
      <c r="O350" s="633">
        <f>CCBASE!$I$45*B350/1000</f>
        <v>24.925000000000001</v>
      </c>
      <c r="P350" s="633"/>
      <c r="Q350" s="633">
        <f>CCBASE!$H$51</f>
        <v>5.16</v>
      </c>
      <c r="R350" s="633">
        <f>CCBASE!$I$4</f>
        <v>8.3986041999999994</v>
      </c>
      <c r="S350" s="633">
        <f>CCBASE!$I$8</f>
        <v>16.25526</v>
      </c>
      <c r="T350" s="633">
        <f>CCBASE!$I$44</f>
        <v>94.69</v>
      </c>
      <c r="U350" s="632"/>
      <c r="V350" s="632"/>
      <c r="W350" s="633">
        <f>CCBASE!$I$42*B350/1000</f>
        <v>177.20147500000002</v>
      </c>
      <c r="X350" s="633"/>
      <c r="Y350" s="633"/>
      <c r="Z350" s="633"/>
      <c r="AA350" s="633"/>
      <c r="AB350" s="633"/>
      <c r="AC350" s="633"/>
      <c r="AD350" s="633">
        <f>CCBASE!$I$38*2</f>
        <v>272.06745999999998</v>
      </c>
    </row>
    <row r="351" spans="1:30" x14ac:dyDescent="0.2">
      <c r="A351" s="631" t="s">
        <v>765</v>
      </c>
      <c r="B351" s="631">
        <v>2750</v>
      </c>
      <c r="C351" s="631">
        <v>1750</v>
      </c>
      <c r="D351" s="631" t="str">
        <f t="shared" si="139"/>
        <v>CMWI27501750</v>
      </c>
      <c r="E351" s="1054">
        <f t="shared" si="140"/>
        <v>2279.7269727749999</v>
      </c>
      <c r="F351" s="632">
        <v>21</v>
      </c>
      <c r="G351" s="633">
        <f>F351*CCBASE!$B$51</f>
        <v>756</v>
      </c>
      <c r="H351" s="633">
        <f>CCBASE!$I$12*B351/1000</f>
        <v>329.03897757500005</v>
      </c>
      <c r="I351" s="633"/>
      <c r="J351" s="633"/>
      <c r="K351" s="633"/>
      <c r="L351" s="633">
        <f>CCBASE!$I$14*B351/1000</f>
        <v>575.77754849999997</v>
      </c>
      <c r="M351" s="633"/>
      <c r="N351" s="633"/>
      <c r="O351" s="633">
        <f>CCBASE!$I$45*B351/1000</f>
        <v>27.4175</v>
      </c>
      <c r="P351" s="633"/>
      <c r="Q351" s="633">
        <f>CCBASE!$H$51</f>
        <v>5.16</v>
      </c>
      <c r="R351" s="633">
        <f>CCBASE!$I$4</f>
        <v>8.3986041999999994</v>
      </c>
      <c r="S351" s="633">
        <f>CCBASE!$I$8</f>
        <v>16.25526</v>
      </c>
      <c r="T351" s="633">
        <f>CCBASE!$I$44</f>
        <v>94.69</v>
      </c>
      <c r="U351" s="632"/>
      <c r="V351" s="632"/>
      <c r="W351" s="633">
        <f>CCBASE!$I$42*B351/1000</f>
        <v>194.92162249999998</v>
      </c>
      <c r="X351" s="633"/>
      <c r="Y351" s="633"/>
      <c r="Z351" s="633"/>
      <c r="AA351" s="633"/>
      <c r="AB351" s="633"/>
      <c r="AC351" s="633"/>
      <c r="AD351" s="633">
        <f>CCBASE!$I$38*2</f>
        <v>272.06745999999998</v>
      </c>
    </row>
    <row r="352" spans="1:30" x14ac:dyDescent="0.2">
      <c r="A352" s="631" t="s">
        <v>765</v>
      </c>
      <c r="B352" s="631">
        <v>3000</v>
      </c>
      <c r="C352" s="631">
        <v>1750</v>
      </c>
      <c r="D352" s="631" t="str">
        <f t="shared" si="139"/>
        <v>CMWI30001750</v>
      </c>
      <c r="E352" s="1054">
        <f t="shared" si="140"/>
        <v>2382.1956681000001</v>
      </c>
      <c r="F352" s="632">
        <v>21</v>
      </c>
      <c r="G352" s="633">
        <f>F352*CCBASE!$B$51</f>
        <v>756</v>
      </c>
      <c r="H352" s="633">
        <f>CCBASE!$I$12*B352/1000</f>
        <v>358.95161190000005</v>
      </c>
      <c r="I352" s="633"/>
      <c r="J352" s="633"/>
      <c r="K352" s="633"/>
      <c r="L352" s="633">
        <f>CCBASE!$I$14*B352/1000</f>
        <v>628.12096199999996</v>
      </c>
      <c r="M352" s="633"/>
      <c r="N352" s="633"/>
      <c r="O352" s="633">
        <f>CCBASE!$I$45*B352/1000</f>
        <v>29.910000000000004</v>
      </c>
      <c r="P352" s="633"/>
      <c r="Q352" s="633">
        <f>CCBASE!$H$51</f>
        <v>5.16</v>
      </c>
      <c r="R352" s="633">
        <f>CCBASE!$I$4</f>
        <v>8.3986041999999994</v>
      </c>
      <c r="S352" s="633">
        <f>CCBASE!$I$8</f>
        <v>16.25526</v>
      </c>
      <c r="T352" s="633">
        <f>CCBASE!$I$44</f>
        <v>94.69</v>
      </c>
      <c r="U352" s="632"/>
      <c r="V352" s="632"/>
      <c r="W352" s="633">
        <f>CCBASE!$I$42*B352/1000</f>
        <v>212.64176999999998</v>
      </c>
      <c r="X352" s="633"/>
      <c r="Y352" s="633"/>
      <c r="Z352" s="633"/>
      <c r="AA352" s="633"/>
      <c r="AB352" s="633"/>
      <c r="AC352" s="633"/>
      <c r="AD352" s="633">
        <f>CCBASE!$I$38*2</f>
        <v>272.06745999999998</v>
      </c>
    </row>
    <row r="353" spans="1:30" x14ac:dyDescent="0.2">
      <c r="A353" s="631" t="s">
        <v>765</v>
      </c>
      <c r="B353" s="631">
        <v>1000</v>
      </c>
      <c r="C353" s="631">
        <v>2000</v>
      </c>
      <c r="D353" s="631" t="str">
        <f t="shared" si="125"/>
        <v>CMWI10002000</v>
      </c>
      <c r="E353" s="1054">
        <f t="shared" si="133"/>
        <v>1544.1896354999999</v>
      </c>
      <c r="F353" s="632">
        <v>20</v>
      </c>
      <c r="G353" s="633">
        <f>F353*CCBASE!$B$51</f>
        <v>720</v>
      </c>
      <c r="H353" s="633">
        <f>CCBASE!$I$12*B353/1000</f>
        <v>119.65053730000001</v>
      </c>
      <c r="I353" s="633"/>
      <c r="J353" s="633"/>
      <c r="K353" s="633"/>
      <c r="L353" s="633">
        <f>CCBASE!$I$14*B353/1000</f>
        <v>209.37365399999999</v>
      </c>
      <c r="M353" s="633"/>
      <c r="N353" s="633"/>
      <c r="O353" s="633">
        <f>CCBASE!$I$45*B353/1000</f>
        <v>9.9700000000000006</v>
      </c>
      <c r="P353" s="633"/>
      <c r="Q353" s="633">
        <f>CCBASE!$H$51</f>
        <v>5.16</v>
      </c>
      <c r="R353" s="633">
        <f>CCBASE!$I$4</f>
        <v>8.3986041999999994</v>
      </c>
      <c r="S353" s="633">
        <f>CCBASE!$I$8</f>
        <v>16.25526</v>
      </c>
      <c r="T353" s="633">
        <f>CCBASE!$I$44</f>
        <v>94.69</v>
      </c>
      <c r="U353" s="632"/>
      <c r="V353" s="632"/>
      <c r="W353" s="633">
        <f>CCBASE!$I$43*B353/1000</f>
        <v>88.624119999999991</v>
      </c>
      <c r="X353" s="633"/>
      <c r="Y353" s="633"/>
      <c r="Z353" s="633"/>
      <c r="AA353" s="633"/>
      <c r="AB353" s="633"/>
      <c r="AC353" s="633"/>
      <c r="AD353" s="633">
        <f>CCBASE!$I$38*2</f>
        <v>272.06745999999998</v>
      </c>
    </row>
    <row r="354" spans="1:30" x14ac:dyDescent="0.2">
      <c r="A354" s="631" t="s">
        <v>765</v>
      </c>
      <c r="B354" s="631">
        <v>1250</v>
      </c>
      <c r="C354" s="631">
        <v>2000</v>
      </c>
      <c r="D354" s="631" t="str">
        <f t="shared" ref="D354" si="141">A354&amp;B354&amp;C354</f>
        <v>CMWI12502000</v>
      </c>
      <c r="E354" s="1054">
        <f t="shared" si="133"/>
        <v>1651.0942133250001</v>
      </c>
      <c r="F354" s="632">
        <v>20</v>
      </c>
      <c r="G354" s="633">
        <f>F354*CCBASE!$B$51</f>
        <v>720</v>
      </c>
      <c r="H354" s="633">
        <f>CCBASE!$I$12*B354/1000</f>
        <v>149.56317162500002</v>
      </c>
      <c r="I354" s="633"/>
      <c r="J354" s="633"/>
      <c r="K354" s="633"/>
      <c r="L354" s="633">
        <f>CCBASE!$I$14*B354/1000</f>
        <v>261.71706749999998</v>
      </c>
      <c r="M354" s="633"/>
      <c r="N354" s="633"/>
      <c r="O354" s="633">
        <f>CCBASE!$I$45*B354/1000</f>
        <v>12.4625</v>
      </c>
      <c r="P354" s="633"/>
      <c r="Q354" s="633">
        <f>CCBASE!$H$51</f>
        <v>5.16</v>
      </c>
      <c r="R354" s="633">
        <f>CCBASE!$I$4</f>
        <v>8.3986041999999994</v>
      </c>
      <c r="S354" s="633">
        <f>CCBASE!$I$8</f>
        <v>16.25526</v>
      </c>
      <c r="T354" s="633">
        <f>CCBASE!$I$44</f>
        <v>94.69</v>
      </c>
      <c r="U354" s="632"/>
      <c r="V354" s="632"/>
      <c r="W354" s="633">
        <f>CCBASE!$I$43*B354/1000</f>
        <v>110.78014999999999</v>
      </c>
      <c r="X354" s="633"/>
      <c r="Y354" s="633"/>
      <c r="Z354" s="633"/>
      <c r="AA354" s="633"/>
      <c r="AB354" s="633"/>
      <c r="AC354" s="633"/>
      <c r="AD354" s="633">
        <f>CCBASE!$I$38*2</f>
        <v>272.06745999999998</v>
      </c>
    </row>
    <row r="355" spans="1:30" x14ac:dyDescent="0.2">
      <c r="A355" s="631" t="s">
        <v>765</v>
      </c>
      <c r="B355" s="631">
        <v>1500</v>
      </c>
      <c r="C355" s="631">
        <v>2000</v>
      </c>
      <c r="D355" s="631" t="str">
        <f t="shared" si="125"/>
        <v>CMWI15002000</v>
      </c>
      <c r="E355" s="1054">
        <f t="shared" si="133"/>
        <v>1757.9987911499998</v>
      </c>
      <c r="F355" s="632">
        <v>20</v>
      </c>
      <c r="G355" s="633">
        <f>F355*CCBASE!$B$51</f>
        <v>720</v>
      </c>
      <c r="H355" s="633">
        <f>CCBASE!$I$12*B355/1000</f>
        <v>179.47580595000002</v>
      </c>
      <c r="I355" s="633"/>
      <c r="J355" s="633"/>
      <c r="K355" s="633"/>
      <c r="L355" s="633">
        <f>CCBASE!$I$14*B355/1000</f>
        <v>314.06048099999998</v>
      </c>
      <c r="M355" s="633"/>
      <c r="N355" s="633"/>
      <c r="O355" s="633">
        <f>CCBASE!$I$45*B355/1000</f>
        <v>14.955000000000002</v>
      </c>
      <c r="P355" s="633"/>
      <c r="Q355" s="633">
        <f>CCBASE!$H$51</f>
        <v>5.16</v>
      </c>
      <c r="R355" s="633">
        <f>CCBASE!$I$4</f>
        <v>8.3986041999999994</v>
      </c>
      <c r="S355" s="633">
        <f>CCBASE!$I$8</f>
        <v>16.25526</v>
      </c>
      <c r="T355" s="633">
        <f>CCBASE!$I$44</f>
        <v>94.69</v>
      </c>
      <c r="U355" s="632"/>
      <c r="V355" s="632"/>
      <c r="W355" s="633">
        <f>CCBASE!$I$43*B355/1000</f>
        <v>132.93617999999998</v>
      </c>
      <c r="X355" s="633"/>
      <c r="Y355" s="633"/>
      <c r="Z355" s="633"/>
      <c r="AA355" s="633"/>
      <c r="AB355" s="633"/>
      <c r="AC355" s="633"/>
      <c r="AD355" s="633">
        <f>CCBASE!$I$38*2</f>
        <v>272.06745999999998</v>
      </c>
    </row>
    <row r="356" spans="1:30" x14ac:dyDescent="0.2">
      <c r="A356" s="631" t="s">
        <v>765</v>
      </c>
      <c r="B356" s="631">
        <v>1750</v>
      </c>
      <c r="C356" s="631">
        <v>2000</v>
      </c>
      <c r="D356" s="631" t="str">
        <f t="shared" ref="D356" si="142">A356&amp;B356&amp;C356</f>
        <v>CMWI17502000</v>
      </c>
      <c r="E356" s="1054">
        <f t="shared" si="133"/>
        <v>1864.9033689749999</v>
      </c>
      <c r="F356" s="632">
        <v>20</v>
      </c>
      <c r="G356" s="633">
        <f>F356*CCBASE!$B$51</f>
        <v>720</v>
      </c>
      <c r="H356" s="633">
        <f>CCBASE!$I$12*B356/1000</f>
        <v>209.38844027500002</v>
      </c>
      <c r="I356" s="633"/>
      <c r="J356" s="633"/>
      <c r="K356" s="633"/>
      <c r="L356" s="633">
        <f>CCBASE!$I$14*B356/1000</f>
        <v>366.40389449999998</v>
      </c>
      <c r="M356" s="633"/>
      <c r="N356" s="633"/>
      <c r="O356" s="633">
        <f>CCBASE!$I$45*B356/1000</f>
        <v>17.447500000000002</v>
      </c>
      <c r="P356" s="633"/>
      <c r="Q356" s="633">
        <f>CCBASE!$H$51</f>
        <v>5.16</v>
      </c>
      <c r="R356" s="633">
        <f>CCBASE!$I$4</f>
        <v>8.3986041999999994</v>
      </c>
      <c r="S356" s="633">
        <f>CCBASE!$I$8</f>
        <v>16.25526</v>
      </c>
      <c r="T356" s="633">
        <f>CCBASE!$I$44</f>
        <v>94.69</v>
      </c>
      <c r="U356" s="632"/>
      <c r="V356" s="632"/>
      <c r="W356" s="633">
        <f>CCBASE!$I$43*B356/1000</f>
        <v>155.09220999999999</v>
      </c>
      <c r="X356" s="633"/>
      <c r="Y356" s="633"/>
      <c r="Z356" s="633"/>
      <c r="AA356" s="633"/>
      <c r="AB356" s="633"/>
      <c r="AC356" s="633"/>
      <c r="AD356" s="633">
        <f>CCBASE!$I$38*2</f>
        <v>272.06745999999998</v>
      </c>
    </row>
    <row r="357" spans="1:30" x14ac:dyDescent="0.2">
      <c r="A357" s="631" t="s">
        <v>765</v>
      </c>
      <c r="B357" s="631">
        <v>2000</v>
      </c>
      <c r="C357" s="631">
        <v>2000</v>
      </c>
      <c r="D357" s="631" t="str">
        <f t="shared" si="125"/>
        <v>CMWI20002000</v>
      </c>
      <c r="E357" s="1054">
        <f t="shared" si="133"/>
        <v>1971.8079467999999</v>
      </c>
      <c r="F357" s="632">
        <v>20</v>
      </c>
      <c r="G357" s="633">
        <f>F357*CCBASE!$B$51</f>
        <v>720</v>
      </c>
      <c r="H357" s="633">
        <f>CCBASE!$I$12*B357/1000</f>
        <v>239.30107460000002</v>
      </c>
      <c r="I357" s="633"/>
      <c r="J357" s="633"/>
      <c r="K357" s="633"/>
      <c r="L357" s="633">
        <f>CCBASE!$I$14*B357/1000</f>
        <v>418.74730799999998</v>
      </c>
      <c r="M357" s="633"/>
      <c r="N357" s="633"/>
      <c r="O357" s="633">
        <f>CCBASE!$I$45*B357/1000</f>
        <v>19.940000000000001</v>
      </c>
      <c r="P357" s="633"/>
      <c r="Q357" s="633">
        <f>CCBASE!$H$51</f>
        <v>5.16</v>
      </c>
      <c r="R357" s="633">
        <f>CCBASE!$I$4</f>
        <v>8.3986041999999994</v>
      </c>
      <c r="S357" s="633">
        <f>CCBASE!$I$8</f>
        <v>16.25526</v>
      </c>
      <c r="T357" s="633">
        <f>CCBASE!$I$44</f>
        <v>94.69</v>
      </c>
      <c r="U357" s="632"/>
      <c r="V357" s="632"/>
      <c r="W357" s="633">
        <f>CCBASE!$I$43*B357/1000</f>
        <v>177.24823999999998</v>
      </c>
      <c r="X357" s="633"/>
      <c r="Y357" s="633"/>
      <c r="Z357" s="633"/>
      <c r="AA357" s="633"/>
      <c r="AB357" s="633"/>
      <c r="AC357" s="633"/>
      <c r="AD357" s="633">
        <f>CCBASE!$I$38*2</f>
        <v>272.06745999999998</v>
      </c>
    </row>
    <row r="358" spans="1:30" x14ac:dyDescent="0.2">
      <c r="A358" s="631" t="s">
        <v>765</v>
      </c>
      <c r="B358" s="631">
        <v>2250</v>
      </c>
      <c r="C358" s="631">
        <v>2000</v>
      </c>
      <c r="D358" s="631" t="str">
        <f t="shared" ref="D358" si="143">A358&amp;B358&amp;C358</f>
        <v>CMWI22502000</v>
      </c>
      <c r="E358" s="1054">
        <f t="shared" si="133"/>
        <v>2114.7125246249998</v>
      </c>
      <c r="F358" s="632">
        <v>21</v>
      </c>
      <c r="G358" s="633">
        <f>F358*CCBASE!$B$51</f>
        <v>756</v>
      </c>
      <c r="H358" s="633">
        <f>CCBASE!$I$12*B358/1000</f>
        <v>269.21370892500005</v>
      </c>
      <c r="I358" s="633"/>
      <c r="J358" s="633"/>
      <c r="K358" s="633"/>
      <c r="L358" s="633">
        <f>CCBASE!$I$14*B358/1000</f>
        <v>471.09072149999997</v>
      </c>
      <c r="M358" s="633"/>
      <c r="N358" s="633"/>
      <c r="O358" s="633">
        <f>CCBASE!$I$45*B358/1000</f>
        <v>22.432500000000001</v>
      </c>
      <c r="P358" s="633"/>
      <c r="Q358" s="633">
        <f>CCBASE!$H$51</f>
        <v>5.16</v>
      </c>
      <c r="R358" s="633">
        <f>CCBASE!$I$4</f>
        <v>8.3986041999999994</v>
      </c>
      <c r="S358" s="633">
        <f>CCBASE!$I$8</f>
        <v>16.25526</v>
      </c>
      <c r="T358" s="633">
        <f>CCBASE!$I$44</f>
        <v>94.69</v>
      </c>
      <c r="U358" s="632"/>
      <c r="V358" s="632"/>
      <c r="W358" s="633">
        <f>CCBASE!$I$43*B358/1000</f>
        <v>199.40427</v>
      </c>
      <c r="X358" s="633"/>
      <c r="Y358" s="633"/>
      <c r="Z358" s="633"/>
      <c r="AA358" s="633"/>
      <c r="AB358" s="633"/>
      <c r="AC358" s="633"/>
      <c r="AD358" s="633">
        <f>CCBASE!$I$38*2</f>
        <v>272.06745999999998</v>
      </c>
    </row>
    <row r="359" spans="1:30" x14ac:dyDescent="0.2">
      <c r="A359" s="631" t="s">
        <v>765</v>
      </c>
      <c r="B359" s="631">
        <v>2500</v>
      </c>
      <c r="C359" s="631">
        <v>2000</v>
      </c>
      <c r="D359" s="631" t="str">
        <f t="shared" si="125"/>
        <v>CMWI25002000</v>
      </c>
      <c r="E359" s="1054">
        <f t="shared" si="133"/>
        <v>2221.6171024499999</v>
      </c>
      <c r="F359" s="632">
        <v>21</v>
      </c>
      <c r="G359" s="633">
        <f>F359*CCBASE!$B$51</f>
        <v>756</v>
      </c>
      <c r="H359" s="633">
        <f>CCBASE!$I$12*B359/1000</f>
        <v>299.12634325000005</v>
      </c>
      <c r="I359" s="633"/>
      <c r="J359" s="633"/>
      <c r="K359" s="633"/>
      <c r="L359" s="633">
        <f>CCBASE!$I$14*B359/1000</f>
        <v>523.43413499999997</v>
      </c>
      <c r="M359" s="633"/>
      <c r="N359" s="633"/>
      <c r="O359" s="633">
        <f>CCBASE!$I$45*B359/1000</f>
        <v>24.925000000000001</v>
      </c>
      <c r="P359" s="633"/>
      <c r="Q359" s="633">
        <f>CCBASE!$H$51</f>
        <v>5.16</v>
      </c>
      <c r="R359" s="633">
        <f>CCBASE!$I$4</f>
        <v>8.3986041999999994</v>
      </c>
      <c r="S359" s="633">
        <f>CCBASE!$I$8</f>
        <v>16.25526</v>
      </c>
      <c r="T359" s="633">
        <f>CCBASE!$I$44</f>
        <v>94.69</v>
      </c>
      <c r="U359" s="632"/>
      <c r="V359" s="632"/>
      <c r="W359" s="633">
        <f>CCBASE!$I$43*B359/1000</f>
        <v>221.56029999999998</v>
      </c>
      <c r="X359" s="633"/>
      <c r="Y359" s="633"/>
      <c r="Z359" s="633"/>
      <c r="AA359" s="633"/>
      <c r="AB359" s="633"/>
      <c r="AC359" s="633"/>
      <c r="AD359" s="633">
        <f>CCBASE!$I$38*2</f>
        <v>272.06745999999998</v>
      </c>
    </row>
    <row r="360" spans="1:30" x14ac:dyDescent="0.2">
      <c r="A360" s="631" t="s">
        <v>765</v>
      </c>
      <c r="B360" s="631">
        <v>2750</v>
      </c>
      <c r="C360" s="631">
        <v>2000</v>
      </c>
      <c r="D360" s="631" t="str">
        <f t="shared" ref="D360" si="144">A360&amp;B360&amp;C360</f>
        <v>CMWI27502000</v>
      </c>
      <c r="E360" s="1054">
        <f t="shared" si="133"/>
        <v>2328.5216802750001</v>
      </c>
      <c r="F360" s="632">
        <v>21</v>
      </c>
      <c r="G360" s="633">
        <f>F360*CCBASE!$B$51</f>
        <v>756</v>
      </c>
      <c r="H360" s="633">
        <f>CCBASE!$I$12*B360/1000</f>
        <v>329.03897757500005</v>
      </c>
      <c r="I360" s="633"/>
      <c r="J360" s="633"/>
      <c r="K360" s="633"/>
      <c r="L360" s="633">
        <f>CCBASE!$I$14*B360/1000</f>
        <v>575.77754849999997</v>
      </c>
      <c r="M360" s="633"/>
      <c r="N360" s="633"/>
      <c r="O360" s="633">
        <f>CCBASE!$I$45*B360/1000</f>
        <v>27.4175</v>
      </c>
      <c r="P360" s="633"/>
      <c r="Q360" s="633">
        <f>CCBASE!$H$51</f>
        <v>5.16</v>
      </c>
      <c r="R360" s="633">
        <f>CCBASE!$I$4</f>
        <v>8.3986041999999994</v>
      </c>
      <c r="S360" s="633">
        <f>CCBASE!$I$8</f>
        <v>16.25526</v>
      </c>
      <c r="T360" s="633">
        <f>CCBASE!$I$44</f>
        <v>94.69</v>
      </c>
      <c r="U360" s="632"/>
      <c r="V360" s="632"/>
      <c r="W360" s="633">
        <f>CCBASE!$I$43*B360/1000</f>
        <v>243.71633</v>
      </c>
      <c r="X360" s="633"/>
      <c r="Y360" s="633"/>
      <c r="Z360" s="633"/>
      <c r="AA360" s="633"/>
      <c r="AB360" s="633"/>
      <c r="AC360" s="633"/>
      <c r="AD360" s="633">
        <f>CCBASE!$I$38*2</f>
        <v>272.06745999999998</v>
      </c>
    </row>
    <row r="361" spans="1:30" x14ac:dyDescent="0.2">
      <c r="A361" s="631" t="s">
        <v>765</v>
      </c>
      <c r="B361" s="631">
        <v>3000</v>
      </c>
      <c r="C361" s="631">
        <v>2000</v>
      </c>
      <c r="D361" s="631" t="str">
        <f t="shared" si="125"/>
        <v>CMWI30002000</v>
      </c>
      <c r="E361" s="1054">
        <f t="shared" si="133"/>
        <v>2435.4262581000003</v>
      </c>
      <c r="F361" s="632">
        <v>21</v>
      </c>
      <c r="G361" s="633">
        <f>F361*CCBASE!$B$51</f>
        <v>756</v>
      </c>
      <c r="H361" s="633">
        <f>CCBASE!$I$12*B361/1000</f>
        <v>358.95161190000005</v>
      </c>
      <c r="I361" s="633"/>
      <c r="J361" s="633"/>
      <c r="K361" s="633"/>
      <c r="L361" s="633">
        <f>CCBASE!$I$14*B361/1000</f>
        <v>628.12096199999996</v>
      </c>
      <c r="M361" s="633"/>
      <c r="N361" s="633"/>
      <c r="O361" s="633">
        <f>CCBASE!$I$45*B361/1000</f>
        <v>29.910000000000004</v>
      </c>
      <c r="P361" s="633"/>
      <c r="Q361" s="633">
        <f>CCBASE!$H$51</f>
        <v>5.16</v>
      </c>
      <c r="R361" s="633">
        <f>CCBASE!$I$4</f>
        <v>8.3986041999999994</v>
      </c>
      <c r="S361" s="633">
        <f>CCBASE!$I$8</f>
        <v>16.25526</v>
      </c>
      <c r="T361" s="633">
        <f>CCBASE!$I$44</f>
        <v>94.69</v>
      </c>
      <c r="U361" s="632"/>
      <c r="V361" s="632"/>
      <c r="W361" s="633">
        <f>CCBASE!$I$43*B361/1000</f>
        <v>265.87235999999996</v>
      </c>
      <c r="X361" s="633"/>
      <c r="Y361" s="633"/>
      <c r="Z361" s="633"/>
      <c r="AA361" s="633"/>
      <c r="AB361" s="633"/>
      <c r="AC361" s="633"/>
      <c r="AD361" s="633">
        <f>CCBASE!$I$38*2</f>
        <v>272.06745999999998</v>
      </c>
    </row>
    <row r="362" spans="1:30" x14ac:dyDescent="0.2">
      <c r="A362" s="631" t="s">
        <v>193</v>
      </c>
      <c r="B362" s="631">
        <v>1000</v>
      </c>
      <c r="C362" s="631">
        <v>1000</v>
      </c>
      <c r="D362" s="631" t="str">
        <f t="shared" ref="D362:D397" si="145">A362&amp;B362&amp;C362</f>
        <v>CV-W-MUAP10001000</v>
      </c>
      <c r="E362" s="1054">
        <f t="shared" si="133"/>
        <v>1583.2254014999999</v>
      </c>
      <c r="F362" s="632">
        <v>20</v>
      </c>
      <c r="G362" s="633">
        <f>F362*CCBASE!$B$51</f>
        <v>720</v>
      </c>
      <c r="H362" s="633">
        <f>CCBASE!$I$12*B362/1000</f>
        <v>119.65053730000001</v>
      </c>
      <c r="I362" s="633"/>
      <c r="J362" s="633"/>
      <c r="K362" s="633"/>
      <c r="L362" s="633">
        <f>CCBASE!$I$14*B362/1000</f>
        <v>209.37365399999999</v>
      </c>
      <c r="M362" s="633"/>
      <c r="N362" s="633"/>
      <c r="O362" s="633">
        <f>CCBASE!$I$45*B362/1000</f>
        <v>9.9700000000000006</v>
      </c>
      <c r="P362" s="633"/>
      <c r="Q362" s="633">
        <f>CCBASE!$H$51</f>
        <v>5.16</v>
      </c>
      <c r="R362" s="633">
        <f>CCBASE!$I$4</f>
        <v>8.3986041999999994</v>
      </c>
      <c r="S362" s="633">
        <f>CCBASE!$I$8</f>
        <v>16.25526</v>
      </c>
      <c r="T362" s="633">
        <f>CCBASE!$I$44</f>
        <v>94.69</v>
      </c>
      <c r="U362" s="632"/>
      <c r="V362" s="632"/>
      <c r="W362" s="633">
        <f>CCBASE!$I$43*B362/1000</f>
        <v>88.624119999999991</v>
      </c>
      <c r="X362" s="633"/>
      <c r="Y362" s="633"/>
      <c r="Z362" s="633"/>
      <c r="AA362" s="633"/>
      <c r="AB362" s="633"/>
      <c r="AC362" s="633"/>
      <c r="AD362" s="633">
        <f>CCBASE!$I$39*2</f>
        <v>311.10322599999995</v>
      </c>
    </row>
    <row r="363" spans="1:30" x14ac:dyDescent="0.2">
      <c r="A363" s="631" t="s">
        <v>193</v>
      </c>
      <c r="B363" s="631">
        <v>1250</v>
      </c>
      <c r="C363" s="631">
        <v>1000</v>
      </c>
      <c r="D363" s="631" t="str">
        <f t="shared" ref="D363" si="146">A363&amp;B363&amp;C363</f>
        <v>CV-W-MUAP12501000</v>
      </c>
      <c r="E363" s="1054">
        <f t="shared" si="133"/>
        <v>1667.9505668249999</v>
      </c>
      <c r="F363" s="632">
        <v>20</v>
      </c>
      <c r="G363" s="633">
        <f>F363*CCBASE!$B$51</f>
        <v>720</v>
      </c>
      <c r="H363" s="633">
        <f>CCBASE!$I$12*B363/1000</f>
        <v>149.56317162500002</v>
      </c>
      <c r="I363" s="633"/>
      <c r="J363" s="633"/>
      <c r="K363" s="633"/>
      <c r="L363" s="633">
        <f>CCBASE!$I$14*B363/1000</f>
        <v>261.71706749999998</v>
      </c>
      <c r="M363" s="633"/>
      <c r="N363" s="633"/>
      <c r="O363" s="633">
        <f>CCBASE!$I$45*B363/1000</f>
        <v>12.4625</v>
      </c>
      <c r="P363" s="633"/>
      <c r="Q363" s="633">
        <f>CCBASE!$H$51</f>
        <v>5.16</v>
      </c>
      <c r="R363" s="633">
        <f>CCBASE!$I$4</f>
        <v>8.3986041999999994</v>
      </c>
      <c r="S363" s="633">
        <f>CCBASE!$I$8</f>
        <v>16.25526</v>
      </c>
      <c r="T363" s="633">
        <f>CCBASE!$I$44</f>
        <v>94.69</v>
      </c>
      <c r="U363" s="632"/>
      <c r="V363" s="632"/>
      <c r="W363" s="633">
        <f>CCBASE!$I$42*B363/1000</f>
        <v>88.600737500000008</v>
      </c>
      <c r="X363" s="633"/>
      <c r="Y363" s="633"/>
      <c r="Z363" s="633"/>
      <c r="AA363" s="633"/>
      <c r="AB363" s="633"/>
      <c r="AC363" s="633"/>
      <c r="AD363" s="633">
        <f>CCBASE!$I$39*2</f>
        <v>311.10322599999995</v>
      </c>
    </row>
    <row r="364" spans="1:30" x14ac:dyDescent="0.2">
      <c r="A364" s="631" t="s">
        <v>193</v>
      </c>
      <c r="B364" s="631">
        <v>1500</v>
      </c>
      <c r="C364" s="631">
        <v>1000</v>
      </c>
      <c r="D364" s="631" t="str">
        <f t="shared" si="145"/>
        <v>CV-W-MUAP15001000</v>
      </c>
      <c r="E364" s="1054">
        <f t="shared" si="133"/>
        <v>1770.4192621499999</v>
      </c>
      <c r="F364" s="632">
        <v>20</v>
      </c>
      <c r="G364" s="633">
        <f>F364*CCBASE!$B$51</f>
        <v>720</v>
      </c>
      <c r="H364" s="633">
        <f>CCBASE!$I$12*B364/1000</f>
        <v>179.47580595000002</v>
      </c>
      <c r="I364" s="633"/>
      <c r="J364" s="633"/>
      <c r="K364" s="633"/>
      <c r="L364" s="633">
        <f>CCBASE!$I$14*B364/1000</f>
        <v>314.06048099999998</v>
      </c>
      <c r="M364" s="633"/>
      <c r="N364" s="633"/>
      <c r="O364" s="633">
        <f>CCBASE!$I$45*B364/1000</f>
        <v>14.955000000000002</v>
      </c>
      <c r="P364" s="633"/>
      <c r="Q364" s="633">
        <f>CCBASE!$H$51</f>
        <v>5.16</v>
      </c>
      <c r="R364" s="633">
        <f>CCBASE!$I$4</f>
        <v>8.3986041999999994</v>
      </c>
      <c r="S364" s="633">
        <f>CCBASE!$I$8</f>
        <v>16.25526</v>
      </c>
      <c r="T364" s="633">
        <f>CCBASE!$I$44</f>
        <v>94.69</v>
      </c>
      <c r="U364" s="632"/>
      <c r="V364" s="632"/>
      <c r="W364" s="633">
        <f>CCBASE!$I$42*B364/1000</f>
        <v>106.32088499999999</v>
      </c>
      <c r="X364" s="633"/>
      <c r="Y364" s="633"/>
      <c r="Z364" s="633"/>
      <c r="AA364" s="633"/>
      <c r="AB364" s="633"/>
      <c r="AC364" s="633"/>
      <c r="AD364" s="633">
        <f>CCBASE!$I$39*2</f>
        <v>311.10322599999995</v>
      </c>
    </row>
    <row r="365" spans="1:30" x14ac:dyDescent="0.2">
      <c r="A365" s="631" t="s">
        <v>193</v>
      </c>
      <c r="B365" s="631">
        <v>1750</v>
      </c>
      <c r="C365" s="631">
        <v>1000</v>
      </c>
      <c r="D365" s="631" t="str">
        <f t="shared" ref="D365" si="147">A365&amp;B365&amp;C365</f>
        <v>CV-W-MUAP17501000</v>
      </c>
      <c r="E365" s="1054">
        <f t="shared" si="133"/>
        <v>1872.8879574749999</v>
      </c>
      <c r="F365" s="632">
        <v>20</v>
      </c>
      <c r="G365" s="633">
        <f>F365*CCBASE!$B$51</f>
        <v>720</v>
      </c>
      <c r="H365" s="633">
        <f>CCBASE!$I$12*B365/1000</f>
        <v>209.38844027500002</v>
      </c>
      <c r="I365" s="633"/>
      <c r="J365" s="633"/>
      <c r="K365" s="633"/>
      <c r="L365" s="633">
        <f>CCBASE!$I$14*B365/1000</f>
        <v>366.40389449999998</v>
      </c>
      <c r="M365" s="633"/>
      <c r="N365" s="633"/>
      <c r="O365" s="633">
        <f>CCBASE!$I$45*B365/1000</f>
        <v>17.447500000000002</v>
      </c>
      <c r="P365" s="633"/>
      <c r="Q365" s="633">
        <f>CCBASE!$H$51</f>
        <v>5.16</v>
      </c>
      <c r="R365" s="633">
        <f>CCBASE!$I$4</f>
        <v>8.3986041999999994</v>
      </c>
      <c r="S365" s="633">
        <f>CCBASE!$I$8</f>
        <v>16.25526</v>
      </c>
      <c r="T365" s="633">
        <f>CCBASE!$I$44</f>
        <v>94.69</v>
      </c>
      <c r="U365" s="632"/>
      <c r="V365" s="632"/>
      <c r="W365" s="633">
        <f>CCBASE!$I$42*B365/1000</f>
        <v>124.0410325</v>
      </c>
      <c r="X365" s="633"/>
      <c r="Y365" s="633"/>
      <c r="Z365" s="633"/>
      <c r="AA365" s="633"/>
      <c r="AB365" s="633"/>
      <c r="AC365" s="633"/>
      <c r="AD365" s="633">
        <f>CCBASE!$I$39*2</f>
        <v>311.10322599999995</v>
      </c>
    </row>
    <row r="366" spans="1:30" x14ac:dyDescent="0.2">
      <c r="A366" s="631" t="s">
        <v>193</v>
      </c>
      <c r="B366" s="631">
        <v>2000</v>
      </c>
      <c r="C366" s="631">
        <v>1000</v>
      </c>
      <c r="D366" s="631" t="str">
        <f t="shared" si="145"/>
        <v>CV-W-MUAP20001000</v>
      </c>
      <c r="E366" s="1054">
        <f t="shared" si="133"/>
        <v>1975.3566527999999</v>
      </c>
      <c r="F366" s="632">
        <v>20</v>
      </c>
      <c r="G366" s="633">
        <f>F366*CCBASE!$B$51</f>
        <v>720</v>
      </c>
      <c r="H366" s="633">
        <f>CCBASE!$I$12*B366/1000</f>
        <v>239.30107460000002</v>
      </c>
      <c r="I366" s="633"/>
      <c r="J366" s="633"/>
      <c r="K366" s="633"/>
      <c r="L366" s="633">
        <f>CCBASE!$I$14*B366/1000</f>
        <v>418.74730799999998</v>
      </c>
      <c r="M366" s="633"/>
      <c r="N366" s="633"/>
      <c r="O366" s="633">
        <f>CCBASE!$I$45*B366/1000</f>
        <v>19.940000000000001</v>
      </c>
      <c r="P366" s="633"/>
      <c r="Q366" s="633">
        <f>CCBASE!$H$51</f>
        <v>5.16</v>
      </c>
      <c r="R366" s="633">
        <f>CCBASE!$I$4</f>
        <v>8.3986041999999994</v>
      </c>
      <c r="S366" s="633">
        <f>CCBASE!$I$8</f>
        <v>16.25526</v>
      </c>
      <c r="T366" s="633">
        <f>CCBASE!$I$44</f>
        <v>94.69</v>
      </c>
      <c r="U366" s="632"/>
      <c r="V366" s="632"/>
      <c r="W366" s="633">
        <f>CCBASE!$I$42*B366/1000</f>
        <v>141.76118</v>
      </c>
      <c r="X366" s="633"/>
      <c r="Y366" s="633"/>
      <c r="Z366" s="633"/>
      <c r="AA366" s="633"/>
      <c r="AB366" s="633"/>
      <c r="AC366" s="633"/>
      <c r="AD366" s="633">
        <f>CCBASE!$I$39*2</f>
        <v>311.10322599999995</v>
      </c>
    </row>
    <row r="367" spans="1:30" x14ac:dyDescent="0.2">
      <c r="A367" s="631" t="s">
        <v>193</v>
      </c>
      <c r="B367" s="631">
        <v>2250</v>
      </c>
      <c r="C367" s="631">
        <v>1000</v>
      </c>
      <c r="D367" s="631" t="str">
        <f t="shared" ref="D367" si="148">A367&amp;B367&amp;C367</f>
        <v>CV-W-MUAP22501000</v>
      </c>
      <c r="E367" s="1054">
        <f t="shared" si="133"/>
        <v>2113.8253481249994</v>
      </c>
      <c r="F367" s="632">
        <v>21</v>
      </c>
      <c r="G367" s="633">
        <f>F367*CCBASE!$B$51</f>
        <v>756</v>
      </c>
      <c r="H367" s="633">
        <f>CCBASE!$I$12*B367/1000</f>
        <v>269.21370892500005</v>
      </c>
      <c r="I367" s="633"/>
      <c r="J367" s="633"/>
      <c r="K367" s="633"/>
      <c r="L367" s="633">
        <f>CCBASE!$I$14*B367/1000</f>
        <v>471.09072149999997</v>
      </c>
      <c r="M367" s="633"/>
      <c r="N367" s="633"/>
      <c r="O367" s="633">
        <f>CCBASE!$I$45*B367/1000</f>
        <v>22.432500000000001</v>
      </c>
      <c r="P367" s="633"/>
      <c r="Q367" s="633">
        <f>CCBASE!$H$51</f>
        <v>5.16</v>
      </c>
      <c r="R367" s="633">
        <f>CCBASE!$I$4</f>
        <v>8.3986041999999994</v>
      </c>
      <c r="S367" s="633">
        <f>CCBASE!$I$8</f>
        <v>16.25526</v>
      </c>
      <c r="T367" s="633">
        <f>CCBASE!$I$44</f>
        <v>94.69</v>
      </c>
      <c r="U367" s="632"/>
      <c r="V367" s="632"/>
      <c r="W367" s="633">
        <f>CCBASE!$I$42*B367/1000</f>
        <v>159.48132749999999</v>
      </c>
      <c r="X367" s="633"/>
      <c r="Y367" s="633"/>
      <c r="Z367" s="633"/>
      <c r="AA367" s="633"/>
      <c r="AB367" s="633"/>
      <c r="AC367" s="633"/>
      <c r="AD367" s="633">
        <f>CCBASE!$I$39*2</f>
        <v>311.10322599999995</v>
      </c>
    </row>
    <row r="368" spans="1:30" x14ac:dyDescent="0.2">
      <c r="A368" s="631" t="s">
        <v>193</v>
      </c>
      <c r="B368" s="631">
        <v>2500</v>
      </c>
      <c r="C368" s="631">
        <v>1000</v>
      </c>
      <c r="D368" s="631" t="str">
        <f t="shared" si="145"/>
        <v>CV-W-MUAP25001000</v>
      </c>
      <c r="E368" s="1054">
        <f t="shared" si="133"/>
        <v>2216.2940434499997</v>
      </c>
      <c r="F368" s="632">
        <v>21</v>
      </c>
      <c r="G368" s="633">
        <f>F368*CCBASE!$B$51</f>
        <v>756</v>
      </c>
      <c r="H368" s="633">
        <f>CCBASE!$I$12*B368/1000</f>
        <v>299.12634325000005</v>
      </c>
      <c r="I368" s="633"/>
      <c r="J368" s="633"/>
      <c r="K368" s="633"/>
      <c r="L368" s="633">
        <f>CCBASE!$I$14*B368/1000</f>
        <v>523.43413499999997</v>
      </c>
      <c r="M368" s="633"/>
      <c r="N368" s="633"/>
      <c r="O368" s="633">
        <f>CCBASE!$I$45*B368/1000</f>
        <v>24.925000000000001</v>
      </c>
      <c r="P368" s="633"/>
      <c r="Q368" s="633">
        <f>CCBASE!$H$51</f>
        <v>5.16</v>
      </c>
      <c r="R368" s="633">
        <f>CCBASE!$I$4</f>
        <v>8.3986041999999994</v>
      </c>
      <c r="S368" s="633">
        <f>CCBASE!$I$8</f>
        <v>16.25526</v>
      </c>
      <c r="T368" s="633">
        <f>CCBASE!$I$44</f>
        <v>94.69</v>
      </c>
      <c r="U368" s="632"/>
      <c r="V368" s="632"/>
      <c r="W368" s="633">
        <f>CCBASE!$I$42*B368/1000</f>
        <v>177.20147500000002</v>
      </c>
      <c r="X368" s="633"/>
      <c r="Y368" s="633"/>
      <c r="Z368" s="633"/>
      <c r="AA368" s="633"/>
      <c r="AB368" s="633"/>
      <c r="AC368" s="633"/>
      <c r="AD368" s="633">
        <f>CCBASE!$I$39*2</f>
        <v>311.10322599999995</v>
      </c>
    </row>
    <row r="369" spans="1:30" x14ac:dyDescent="0.2">
      <c r="A369" s="631" t="s">
        <v>193</v>
      </c>
      <c r="B369" s="631">
        <v>2750</v>
      </c>
      <c r="C369" s="631">
        <v>1000</v>
      </c>
      <c r="D369" s="631" t="str">
        <f t="shared" ref="D369" si="149">A369&amp;B369&amp;C369</f>
        <v>CV-W-MUAP27501000</v>
      </c>
      <c r="E369" s="1054">
        <f t="shared" si="133"/>
        <v>2318.7627387749999</v>
      </c>
      <c r="F369" s="632">
        <v>21</v>
      </c>
      <c r="G369" s="633">
        <f>F369*CCBASE!$B$51</f>
        <v>756</v>
      </c>
      <c r="H369" s="633">
        <f>CCBASE!$I$12*B369/1000</f>
        <v>329.03897757500005</v>
      </c>
      <c r="I369" s="633"/>
      <c r="J369" s="633"/>
      <c r="K369" s="633"/>
      <c r="L369" s="633">
        <f>CCBASE!$I$14*B369/1000</f>
        <v>575.77754849999997</v>
      </c>
      <c r="M369" s="633"/>
      <c r="N369" s="633"/>
      <c r="O369" s="633">
        <f>CCBASE!$I$45*B369/1000</f>
        <v>27.4175</v>
      </c>
      <c r="P369" s="633"/>
      <c r="Q369" s="633">
        <f>CCBASE!$H$51</f>
        <v>5.16</v>
      </c>
      <c r="R369" s="633">
        <f>CCBASE!$I$4</f>
        <v>8.3986041999999994</v>
      </c>
      <c r="S369" s="633">
        <f>CCBASE!$I$8</f>
        <v>16.25526</v>
      </c>
      <c r="T369" s="633">
        <f>CCBASE!$I$44</f>
        <v>94.69</v>
      </c>
      <c r="U369" s="632"/>
      <c r="V369" s="632"/>
      <c r="W369" s="633">
        <f>CCBASE!$I$42*B369/1000</f>
        <v>194.92162249999998</v>
      </c>
      <c r="X369" s="633"/>
      <c r="Y369" s="633"/>
      <c r="Z369" s="633"/>
      <c r="AA369" s="633"/>
      <c r="AB369" s="633"/>
      <c r="AC369" s="633"/>
      <c r="AD369" s="633">
        <f>CCBASE!$I$39*2</f>
        <v>311.10322599999995</v>
      </c>
    </row>
    <row r="370" spans="1:30" x14ac:dyDescent="0.2">
      <c r="A370" s="631" t="s">
        <v>193</v>
      </c>
      <c r="B370" s="631">
        <v>3000</v>
      </c>
      <c r="C370" s="631">
        <v>1000</v>
      </c>
      <c r="D370" s="631" t="str">
        <f t="shared" si="145"/>
        <v>CV-W-MUAP30001000</v>
      </c>
      <c r="E370" s="1054">
        <f t="shared" si="133"/>
        <v>2421.2314341000001</v>
      </c>
      <c r="F370" s="632">
        <v>21</v>
      </c>
      <c r="G370" s="633">
        <f>F370*CCBASE!$B$51</f>
        <v>756</v>
      </c>
      <c r="H370" s="633">
        <f>CCBASE!$I$12*B370/1000</f>
        <v>358.95161190000005</v>
      </c>
      <c r="I370" s="633"/>
      <c r="J370" s="633"/>
      <c r="K370" s="633"/>
      <c r="L370" s="633">
        <f>CCBASE!$I$14*B370/1000</f>
        <v>628.12096199999996</v>
      </c>
      <c r="M370" s="633"/>
      <c r="N370" s="633"/>
      <c r="O370" s="633">
        <f>CCBASE!$I$45*B370/1000</f>
        <v>29.910000000000004</v>
      </c>
      <c r="P370" s="633"/>
      <c r="Q370" s="633">
        <f>CCBASE!$H$51</f>
        <v>5.16</v>
      </c>
      <c r="R370" s="633">
        <f>CCBASE!$I$4</f>
        <v>8.3986041999999994</v>
      </c>
      <c r="S370" s="633">
        <f>CCBASE!$I$8</f>
        <v>16.25526</v>
      </c>
      <c r="T370" s="633">
        <f>CCBASE!$I$44</f>
        <v>94.69</v>
      </c>
      <c r="U370" s="632"/>
      <c r="V370" s="632"/>
      <c r="W370" s="633">
        <f>CCBASE!$I$42*B370/1000</f>
        <v>212.64176999999998</v>
      </c>
      <c r="X370" s="633"/>
      <c r="Y370" s="633"/>
      <c r="Z370" s="633"/>
      <c r="AA370" s="633"/>
      <c r="AB370" s="633"/>
      <c r="AC370" s="633"/>
      <c r="AD370" s="633">
        <f>CCBASE!$I$39*2</f>
        <v>311.10322599999995</v>
      </c>
    </row>
    <row r="371" spans="1:30" x14ac:dyDescent="0.2">
      <c r="A371" s="631" t="s">
        <v>193</v>
      </c>
      <c r="B371" s="631">
        <v>1000</v>
      </c>
      <c r="C371" s="631">
        <v>1250</v>
      </c>
      <c r="D371" s="631" t="str">
        <f t="shared" si="145"/>
        <v>CV-W-MUAP10001250</v>
      </c>
      <c r="E371" s="1054">
        <f t="shared" si="133"/>
        <v>1165.60630477</v>
      </c>
      <c r="F371" s="632">
        <v>18</v>
      </c>
      <c r="G371" s="633">
        <f>F371*CCBASE!$B$51</f>
        <v>648</v>
      </c>
      <c r="H371" s="633">
        <f>CCBASE!$I$16</f>
        <v>79.000110070000005</v>
      </c>
      <c r="I371" s="633">
        <f>(CCBASE!$I$20)/1000*B371</f>
        <v>86.647571499999998</v>
      </c>
      <c r="J371" s="633"/>
      <c r="K371" s="633"/>
      <c r="L371" s="633"/>
      <c r="M371" s="633">
        <f>CCBASE!$I$6*B371/1000</f>
        <v>121.24745499999997</v>
      </c>
      <c r="N371" s="633">
        <f>CCBASE!$I$7*B371/1000</f>
        <v>31.542280000000002</v>
      </c>
      <c r="O371" s="633">
        <f>CCBASE!$I$45*B371/1000</f>
        <v>9.9700000000000006</v>
      </c>
      <c r="P371" s="632"/>
      <c r="Q371" s="632"/>
      <c r="R371" s="633">
        <f>CCBASE!$I$4</f>
        <v>8.3986041999999994</v>
      </c>
      <c r="S371" s="638">
        <f>CCBASE!$I$8</f>
        <v>16.25526</v>
      </c>
      <c r="T371" s="632"/>
      <c r="U371" s="638">
        <f>CCBASE!$I$47</f>
        <v>14.41</v>
      </c>
      <c r="V371" s="632"/>
      <c r="W371" s="633">
        <f>CCBASE!$I$40*B371/1000</f>
        <v>41.308039999999998</v>
      </c>
      <c r="X371" s="633"/>
      <c r="Y371" s="633"/>
      <c r="Z371" s="633"/>
      <c r="AA371" s="633"/>
      <c r="AB371" s="633"/>
      <c r="AC371" s="633"/>
      <c r="AD371" s="638">
        <f>CCBASE!$I$32*2</f>
        <v>108.826984</v>
      </c>
    </row>
    <row r="372" spans="1:30" x14ac:dyDescent="0.2">
      <c r="A372" s="631" t="s">
        <v>193</v>
      </c>
      <c r="B372" s="631">
        <v>1250</v>
      </c>
      <c r="C372" s="631">
        <v>1250</v>
      </c>
      <c r="D372" s="631" t="str">
        <f t="shared" ref="D372" si="150">A372&amp;B372&amp;C372</f>
        <v>CV-W-MUAP12501250</v>
      </c>
      <c r="E372" s="1054">
        <f t="shared" si="133"/>
        <v>1252.6951413949998</v>
      </c>
      <c r="F372" s="632">
        <v>18</v>
      </c>
      <c r="G372" s="633">
        <f>F372*CCBASE!$B$51</f>
        <v>648</v>
      </c>
      <c r="H372" s="633">
        <f>CCBASE!$I$16</f>
        <v>79.000110070000005</v>
      </c>
      <c r="I372" s="633">
        <f>(CCBASE!$I$20)/1000*B372</f>
        <v>108.30946437499999</v>
      </c>
      <c r="J372" s="633"/>
      <c r="K372" s="633"/>
      <c r="L372" s="633"/>
      <c r="M372" s="633">
        <f>CCBASE!$I$6*B372/1000</f>
        <v>151.55931874999999</v>
      </c>
      <c r="N372" s="633">
        <f>CCBASE!$I$7*B372/1000</f>
        <v>39.427849999999999</v>
      </c>
      <c r="O372" s="633">
        <f>CCBASE!$I$45*B372/1000</f>
        <v>12.4625</v>
      </c>
      <c r="P372" s="632"/>
      <c r="Q372" s="632"/>
      <c r="R372" s="633">
        <f>CCBASE!$I$4</f>
        <v>8.3986041999999994</v>
      </c>
      <c r="S372" s="638">
        <f>CCBASE!$I$8</f>
        <v>16.25526</v>
      </c>
      <c r="T372" s="632"/>
      <c r="U372" s="638">
        <f>CCBASE!$I$47*2</f>
        <v>28.82</v>
      </c>
      <c r="V372" s="632"/>
      <c r="W372" s="633">
        <f>CCBASE!$I$40*B372/1000</f>
        <v>51.635049999999993</v>
      </c>
      <c r="X372" s="633"/>
      <c r="Y372" s="633"/>
      <c r="Z372" s="633"/>
      <c r="AA372" s="633"/>
      <c r="AB372" s="633"/>
      <c r="AC372" s="633"/>
      <c r="AD372" s="638">
        <f>CCBASE!$I$32*2</f>
        <v>108.826984</v>
      </c>
    </row>
    <row r="373" spans="1:30" x14ac:dyDescent="0.2">
      <c r="A373" s="631" t="s">
        <v>193</v>
      </c>
      <c r="B373" s="631">
        <v>1500</v>
      </c>
      <c r="C373" s="631">
        <v>1250</v>
      </c>
      <c r="D373" s="631" t="str">
        <f t="shared" si="145"/>
        <v>CV-W-MUAP15001250</v>
      </c>
      <c r="E373" s="1054">
        <f t="shared" si="133"/>
        <v>1325.3739780199996</v>
      </c>
      <c r="F373" s="632">
        <v>18</v>
      </c>
      <c r="G373" s="633">
        <f>F373*CCBASE!$B$51</f>
        <v>648</v>
      </c>
      <c r="H373" s="633">
        <f>CCBASE!$I$16</f>
        <v>79.000110070000005</v>
      </c>
      <c r="I373" s="633">
        <f>(CCBASE!$I$20)/1000*B373</f>
        <v>129.97135724999998</v>
      </c>
      <c r="J373" s="633"/>
      <c r="K373" s="633"/>
      <c r="L373" s="633"/>
      <c r="M373" s="633">
        <f>CCBASE!$I$6*B373/1000</f>
        <v>181.87118249999997</v>
      </c>
      <c r="N373" s="633">
        <f>CCBASE!$I$7*B373/1000</f>
        <v>47.313420000000008</v>
      </c>
      <c r="O373" s="633">
        <f>CCBASE!$I$45*B373/1000</f>
        <v>14.955000000000002</v>
      </c>
      <c r="P373" s="632"/>
      <c r="Q373" s="632"/>
      <c r="R373" s="633">
        <f>CCBASE!$I$4</f>
        <v>8.3986041999999994</v>
      </c>
      <c r="S373" s="638">
        <f>CCBASE!$I$8</f>
        <v>16.25526</v>
      </c>
      <c r="T373" s="632"/>
      <c r="U373" s="638">
        <f>CCBASE!$I$47*2</f>
        <v>28.82</v>
      </c>
      <c r="V373" s="632"/>
      <c r="W373" s="633">
        <f>CCBASE!$I$40*B373/1000</f>
        <v>61.962060000000001</v>
      </c>
      <c r="X373" s="633"/>
      <c r="Y373" s="633"/>
      <c r="Z373" s="633"/>
      <c r="AA373" s="633"/>
      <c r="AB373" s="633"/>
      <c r="AC373" s="633"/>
      <c r="AD373" s="638">
        <f>CCBASE!$I$32*2</f>
        <v>108.826984</v>
      </c>
    </row>
    <row r="374" spans="1:30" x14ac:dyDescent="0.2">
      <c r="A374" s="631" t="s">
        <v>193</v>
      </c>
      <c r="B374" s="631">
        <v>1750</v>
      </c>
      <c r="C374" s="631">
        <v>1250</v>
      </c>
      <c r="D374" s="631" t="str">
        <f t="shared" ref="D374" si="151">A374&amp;B374&amp;C374</f>
        <v>CV-W-MUAP17501250</v>
      </c>
      <c r="E374" s="1054">
        <f t="shared" si="133"/>
        <v>1398.0528146449999</v>
      </c>
      <c r="F374" s="632">
        <v>18</v>
      </c>
      <c r="G374" s="633">
        <f>F374*CCBASE!$B$51</f>
        <v>648</v>
      </c>
      <c r="H374" s="633">
        <f>CCBASE!$I$16</f>
        <v>79.000110070000005</v>
      </c>
      <c r="I374" s="633">
        <f>(CCBASE!$I$20)/1000*B374</f>
        <v>151.63325012499999</v>
      </c>
      <c r="J374" s="633"/>
      <c r="K374" s="633"/>
      <c r="L374" s="633"/>
      <c r="M374" s="633">
        <f>CCBASE!$I$6*B374/1000</f>
        <v>212.18304624999996</v>
      </c>
      <c r="N374" s="633">
        <f>CCBASE!$I$7*B374/1000</f>
        <v>55.198990000000002</v>
      </c>
      <c r="O374" s="633">
        <f>CCBASE!$I$45*B374/1000</f>
        <v>17.447500000000002</v>
      </c>
      <c r="P374" s="632"/>
      <c r="Q374" s="632"/>
      <c r="R374" s="633">
        <f>CCBASE!$I$4</f>
        <v>8.3986041999999994</v>
      </c>
      <c r="S374" s="638">
        <f>CCBASE!$I$8</f>
        <v>16.25526</v>
      </c>
      <c r="T374" s="632"/>
      <c r="U374" s="638">
        <f>CCBASE!$I$47*2</f>
        <v>28.82</v>
      </c>
      <c r="V374" s="632"/>
      <c r="W374" s="633">
        <f>CCBASE!$I$40*B374/1000</f>
        <v>72.289069999999995</v>
      </c>
      <c r="X374" s="633"/>
      <c r="Y374" s="633"/>
      <c r="Z374" s="633"/>
      <c r="AA374" s="633"/>
      <c r="AB374" s="633"/>
      <c r="AC374" s="633"/>
      <c r="AD374" s="638">
        <f>CCBASE!$I$32*2</f>
        <v>108.826984</v>
      </c>
    </row>
    <row r="375" spans="1:30" x14ac:dyDescent="0.2">
      <c r="A375" s="631" t="s">
        <v>193</v>
      </c>
      <c r="B375" s="631">
        <v>2000</v>
      </c>
      <c r="C375" s="631">
        <v>1250</v>
      </c>
      <c r="D375" s="631" t="str">
        <f t="shared" si="145"/>
        <v>CV-W-MUAP20001250</v>
      </c>
      <c r="E375" s="1054">
        <f t="shared" si="133"/>
        <v>1470.7316512699997</v>
      </c>
      <c r="F375" s="632">
        <v>18</v>
      </c>
      <c r="G375" s="633">
        <f>F375*CCBASE!$B$51</f>
        <v>648</v>
      </c>
      <c r="H375" s="633">
        <f>CCBASE!$I$16</f>
        <v>79.000110070000005</v>
      </c>
      <c r="I375" s="633">
        <f>(CCBASE!$I$20)/1000*B375</f>
        <v>173.295143</v>
      </c>
      <c r="J375" s="633"/>
      <c r="K375" s="633"/>
      <c r="L375" s="633"/>
      <c r="M375" s="633">
        <f>CCBASE!$I$6*B375/1000</f>
        <v>242.49490999999995</v>
      </c>
      <c r="N375" s="633">
        <f>CCBASE!$I$7*B375/1000</f>
        <v>63.084560000000003</v>
      </c>
      <c r="O375" s="633">
        <f>CCBASE!$I$45*B375/1000</f>
        <v>19.940000000000001</v>
      </c>
      <c r="P375" s="632"/>
      <c r="Q375" s="632"/>
      <c r="R375" s="633">
        <f>CCBASE!$I$4</f>
        <v>8.3986041999999994</v>
      </c>
      <c r="S375" s="638">
        <f>CCBASE!$I$8</f>
        <v>16.25526</v>
      </c>
      <c r="T375" s="632"/>
      <c r="U375" s="638">
        <f>CCBASE!$I$47*2</f>
        <v>28.82</v>
      </c>
      <c r="V375" s="632"/>
      <c r="W375" s="633">
        <f>CCBASE!$I$40*B375/1000</f>
        <v>82.616079999999997</v>
      </c>
      <c r="X375" s="633"/>
      <c r="Y375" s="633"/>
      <c r="Z375" s="633"/>
      <c r="AA375" s="633"/>
      <c r="AB375" s="633"/>
      <c r="AC375" s="633"/>
      <c r="AD375" s="638">
        <f>CCBASE!$I$32*2</f>
        <v>108.826984</v>
      </c>
    </row>
    <row r="376" spans="1:30" x14ac:dyDescent="0.2">
      <c r="A376" s="631" t="s">
        <v>193</v>
      </c>
      <c r="B376" s="631">
        <v>2250</v>
      </c>
      <c r="C376" s="631">
        <v>1250</v>
      </c>
      <c r="D376" s="631" t="str">
        <f t="shared" ref="D376" si="152">A376&amp;B376&amp;C376</f>
        <v>CV-W-MUAP22501250</v>
      </c>
      <c r="E376" s="1054">
        <f t="shared" si="133"/>
        <v>1579.4104878949995</v>
      </c>
      <c r="F376" s="632">
        <v>19</v>
      </c>
      <c r="G376" s="633">
        <f>F376*CCBASE!$B$51</f>
        <v>684</v>
      </c>
      <c r="H376" s="633">
        <f>CCBASE!$I$16</f>
        <v>79.000110070000005</v>
      </c>
      <c r="I376" s="633">
        <f>(CCBASE!$I$20)/1000*B376</f>
        <v>194.95703587499997</v>
      </c>
      <c r="J376" s="633"/>
      <c r="K376" s="633"/>
      <c r="L376" s="633"/>
      <c r="M376" s="633">
        <f>CCBASE!$I$6*B376/1000</f>
        <v>272.80677374999993</v>
      </c>
      <c r="N376" s="633">
        <f>CCBASE!$I$7*B376/1000</f>
        <v>70.970130000000012</v>
      </c>
      <c r="O376" s="633">
        <f>CCBASE!$I$45*B376/1000</f>
        <v>22.432500000000001</v>
      </c>
      <c r="P376" s="632"/>
      <c r="Q376" s="632"/>
      <c r="R376" s="633">
        <f>CCBASE!$I$4</f>
        <v>8.3986041999999994</v>
      </c>
      <c r="S376" s="638">
        <f>CCBASE!$I$8</f>
        <v>16.25526</v>
      </c>
      <c r="T376" s="632"/>
      <c r="U376" s="638">
        <f>CCBASE!$I$47*2</f>
        <v>28.82</v>
      </c>
      <c r="V376" s="632"/>
      <c r="W376" s="633">
        <f>CCBASE!$I$40*B376/1000</f>
        <v>92.943089999999998</v>
      </c>
      <c r="X376" s="633"/>
      <c r="Y376" s="633"/>
      <c r="Z376" s="633"/>
      <c r="AA376" s="633"/>
      <c r="AB376" s="633"/>
      <c r="AC376" s="633"/>
      <c r="AD376" s="638">
        <f>CCBASE!$I$32*2</f>
        <v>108.826984</v>
      </c>
    </row>
    <row r="377" spans="1:30" x14ac:dyDescent="0.2">
      <c r="A377" s="631" t="s">
        <v>193</v>
      </c>
      <c r="B377" s="631">
        <v>2500</v>
      </c>
      <c r="C377" s="631">
        <v>1250</v>
      </c>
      <c r="D377" s="631" t="str">
        <f t="shared" si="145"/>
        <v>CV-W-MUAP25001250</v>
      </c>
      <c r="E377" s="1054">
        <f t="shared" si="133"/>
        <v>1652.0893245199998</v>
      </c>
      <c r="F377" s="632">
        <v>19</v>
      </c>
      <c r="G377" s="633">
        <f>F377*CCBASE!$B$51</f>
        <v>684</v>
      </c>
      <c r="H377" s="633">
        <f>CCBASE!$I$16</f>
        <v>79.000110070000005</v>
      </c>
      <c r="I377" s="633">
        <f>(CCBASE!$I$20)/1000*B377</f>
        <v>216.61892874999998</v>
      </c>
      <c r="J377" s="633"/>
      <c r="K377" s="633"/>
      <c r="L377" s="633"/>
      <c r="M377" s="633">
        <f>CCBASE!$I$6*B377/1000</f>
        <v>303.11863749999998</v>
      </c>
      <c r="N377" s="633">
        <f>CCBASE!$I$7*B377/1000</f>
        <v>78.855699999999999</v>
      </c>
      <c r="O377" s="633">
        <f>CCBASE!$I$45*B377/1000</f>
        <v>24.925000000000001</v>
      </c>
      <c r="P377" s="632"/>
      <c r="Q377" s="632"/>
      <c r="R377" s="633">
        <f>CCBASE!$I$4</f>
        <v>8.3986041999999994</v>
      </c>
      <c r="S377" s="638">
        <f>CCBASE!$I$8</f>
        <v>16.25526</v>
      </c>
      <c r="T377" s="632"/>
      <c r="U377" s="638">
        <f>CCBASE!$I$47*2</f>
        <v>28.82</v>
      </c>
      <c r="V377" s="632"/>
      <c r="W377" s="633">
        <f>CCBASE!$I$40*B377/1000</f>
        <v>103.27009999999999</v>
      </c>
      <c r="X377" s="633"/>
      <c r="Y377" s="633"/>
      <c r="Z377" s="633"/>
      <c r="AA377" s="633"/>
      <c r="AB377" s="633"/>
      <c r="AC377" s="633"/>
      <c r="AD377" s="638">
        <f>CCBASE!$I$32*2</f>
        <v>108.826984</v>
      </c>
    </row>
    <row r="378" spans="1:30" x14ac:dyDescent="0.2">
      <c r="A378" s="631" t="s">
        <v>193</v>
      </c>
      <c r="B378" s="631">
        <v>2750</v>
      </c>
      <c r="C378" s="631">
        <v>1250</v>
      </c>
      <c r="D378" s="631" t="str">
        <f t="shared" ref="D378" si="153">A378&amp;B378&amp;C378</f>
        <v>CV-W-MUAP27501250</v>
      </c>
      <c r="E378" s="1054">
        <f t="shared" si="133"/>
        <v>1724.7681611449996</v>
      </c>
      <c r="F378" s="632">
        <v>19</v>
      </c>
      <c r="G378" s="633">
        <f>F378*CCBASE!$B$51</f>
        <v>684</v>
      </c>
      <c r="H378" s="633">
        <f>CCBASE!$I$16</f>
        <v>79.000110070000005</v>
      </c>
      <c r="I378" s="633">
        <f>(CCBASE!$I$20)/1000*B378</f>
        <v>238.28082162499999</v>
      </c>
      <c r="J378" s="633"/>
      <c r="K378" s="633"/>
      <c r="L378" s="633"/>
      <c r="M378" s="633">
        <f>CCBASE!$I$6*B378/1000</f>
        <v>333.43050124999991</v>
      </c>
      <c r="N378" s="633">
        <f>CCBASE!$I$7*B378/1000</f>
        <v>86.74127</v>
      </c>
      <c r="O378" s="633">
        <f>CCBASE!$I$45*B378/1000</f>
        <v>27.4175</v>
      </c>
      <c r="P378" s="632"/>
      <c r="Q378" s="632"/>
      <c r="R378" s="633">
        <f>CCBASE!$I$4</f>
        <v>8.3986041999999994</v>
      </c>
      <c r="S378" s="638">
        <f>CCBASE!$I$8</f>
        <v>16.25526</v>
      </c>
      <c r="T378" s="632"/>
      <c r="U378" s="638">
        <f>CCBASE!$I$47*2</f>
        <v>28.82</v>
      </c>
      <c r="V378" s="632"/>
      <c r="W378" s="633">
        <f>CCBASE!$I$40*B378/1000</f>
        <v>113.59711</v>
      </c>
      <c r="X378" s="633"/>
      <c r="Y378" s="633"/>
      <c r="Z378" s="633"/>
      <c r="AA378" s="633"/>
      <c r="AB378" s="633"/>
      <c r="AC378" s="633"/>
      <c r="AD378" s="638">
        <f>CCBASE!$I$32*2</f>
        <v>108.826984</v>
      </c>
    </row>
    <row r="379" spans="1:30" x14ac:dyDescent="0.2">
      <c r="A379" s="631" t="s">
        <v>193</v>
      </c>
      <c r="B379" s="631">
        <v>3000</v>
      </c>
      <c r="C379" s="631">
        <v>1250</v>
      </c>
      <c r="D379" s="631" t="str">
        <f t="shared" si="145"/>
        <v>CV-W-MUAP30001250</v>
      </c>
      <c r="E379" s="1054">
        <f t="shared" si="133"/>
        <v>1797.4469977699998</v>
      </c>
      <c r="F379" s="632">
        <v>19</v>
      </c>
      <c r="G379" s="633">
        <f>F379*CCBASE!$B$51</f>
        <v>684</v>
      </c>
      <c r="H379" s="633">
        <f>CCBASE!$I$16</f>
        <v>79.000110070000005</v>
      </c>
      <c r="I379" s="633">
        <f>(CCBASE!$I$20)/1000*B379</f>
        <v>259.94271449999997</v>
      </c>
      <c r="J379" s="633"/>
      <c r="K379" s="633"/>
      <c r="L379" s="633"/>
      <c r="M379" s="633">
        <f>CCBASE!$I$6*B379/1000</f>
        <v>363.74236499999995</v>
      </c>
      <c r="N379" s="633">
        <f>CCBASE!$I$7*B379/1000</f>
        <v>94.626840000000016</v>
      </c>
      <c r="O379" s="633">
        <f>CCBASE!$I$45*B379/1000</f>
        <v>29.910000000000004</v>
      </c>
      <c r="P379" s="632"/>
      <c r="Q379" s="632"/>
      <c r="R379" s="633">
        <f>CCBASE!$I$4</f>
        <v>8.3986041999999994</v>
      </c>
      <c r="S379" s="638">
        <f>CCBASE!$I$8</f>
        <v>16.25526</v>
      </c>
      <c r="T379" s="632"/>
      <c r="U379" s="638">
        <f>CCBASE!$I$47*2</f>
        <v>28.82</v>
      </c>
      <c r="V379" s="632"/>
      <c r="W379" s="633">
        <f>CCBASE!$I$40*B379/1000</f>
        <v>123.92412</v>
      </c>
      <c r="X379" s="633"/>
      <c r="Y379" s="633"/>
      <c r="Z379" s="633"/>
      <c r="AA379" s="633"/>
      <c r="AB379" s="633"/>
      <c r="AC379" s="633"/>
      <c r="AD379" s="638">
        <f>CCBASE!$I$32*2</f>
        <v>108.826984</v>
      </c>
    </row>
    <row r="380" spans="1:30" x14ac:dyDescent="0.2">
      <c r="A380" s="631" t="s">
        <v>193</v>
      </c>
      <c r="B380" s="631">
        <v>1000</v>
      </c>
      <c r="C380" s="631">
        <v>1500</v>
      </c>
      <c r="D380" s="631" t="str">
        <f t="shared" si="145"/>
        <v>CV-W-MUAP10001500</v>
      </c>
      <c r="E380" s="1054">
        <f t="shared" si="133"/>
        <v>1230.2696426000002</v>
      </c>
      <c r="F380" s="632">
        <v>18</v>
      </c>
      <c r="G380" s="633">
        <f>F380*CCBASE!$B$51</f>
        <v>648</v>
      </c>
      <c r="H380" s="633">
        <f>CCBASE!$I$17</f>
        <v>98.713171899999992</v>
      </c>
      <c r="I380" s="633">
        <f>(CCBASE!$I$20)/1000*B380</f>
        <v>86.647571499999998</v>
      </c>
      <c r="J380" s="633"/>
      <c r="K380" s="633"/>
      <c r="L380" s="633"/>
      <c r="M380" s="633">
        <f>CCBASE!$I$6*B380/1000</f>
        <v>121.24745499999997</v>
      </c>
      <c r="N380" s="633">
        <f>CCBASE!$I$7*B380/1000</f>
        <v>31.542280000000002</v>
      </c>
      <c r="O380" s="633">
        <f>CCBASE!$I$45*B380/1000</f>
        <v>9.9700000000000006</v>
      </c>
      <c r="P380" s="632"/>
      <c r="Q380" s="632"/>
      <c r="R380" s="633">
        <f>CCBASE!$I$4</f>
        <v>8.3986041999999994</v>
      </c>
      <c r="S380" s="638">
        <f>CCBASE!$I$8</f>
        <v>16.25526</v>
      </c>
      <c r="T380" s="632"/>
      <c r="U380" s="638">
        <f>CCBASE!$I$47</f>
        <v>14.41</v>
      </c>
      <c r="V380" s="632"/>
      <c r="W380" s="633">
        <f>CCBASE!$I$41*B380/1000</f>
        <v>59.051569999999998</v>
      </c>
      <c r="X380" s="633"/>
      <c r="Y380" s="633"/>
      <c r="Z380" s="633"/>
      <c r="AA380" s="633"/>
      <c r="AB380" s="633"/>
      <c r="AC380" s="633"/>
      <c r="AD380" s="638">
        <f>CCBASE!$I$33*2</f>
        <v>136.03372999999999</v>
      </c>
    </row>
    <row r="381" spans="1:30" x14ac:dyDescent="0.2">
      <c r="A381" s="631" t="s">
        <v>193</v>
      </c>
      <c r="B381" s="631">
        <v>1250</v>
      </c>
      <c r="C381" s="631">
        <v>1500</v>
      </c>
      <c r="D381" s="631" t="str">
        <f t="shared" ref="D381" si="154">A381&amp;B381&amp;C381</f>
        <v>CV-W-MUAP12501500</v>
      </c>
      <c r="E381" s="1054">
        <f t="shared" si="133"/>
        <v>1321.7943617249998</v>
      </c>
      <c r="F381" s="632">
        <v>18</v>
      </c>
      <c r="G381" s="633">
        <f>F381*CCBASE!$B$51</f>
        <v>648</v>
      </c>
      <c r="H381" s="633">
        <f>CCBASE!$I$17</f>
        <v>98.713171899999992</v>
      </c>
      <c r="I381" s="633">
        <f>(CCBASE!$I$20)/1000*B381</f>
        <v>108.30946437499999</v>
      </c>
      <c r="J381" s="633"/>
      <c r="K381" s="633"/>
      <c r="L381" s="633"/>
      <c r="M381" s="633">
        <f>CCBASE!$I$6*B381/1000</f>
        <v>151.55931874999999</v>
      </c>
      <c r="N381" s="633">
        <f>CCBASE!$I$7*B381/1000</f>
        <v>39.427849999999999</v>
      </c>
      <c r="O381" s="633">
        <f>CCBASE!$I$45*B381/1000</f>
        <v>12.4625</v>
      </c>
      <c r="P381" s="632"/>
      <c r="Q381" s="632"/>
      <c r="R381" s="633">
        <f>CCBASE!$I$4</f>
        <v>8.3986041999999994</v>
      </c>
      <c r="S381" s="638">
        <f>CCBASE!$I$8</f>
        <v>16.25526</v>
      </c>
      <c r="T381" s="632"/>
      <c r="U381" s="638">
        <f>CCBASE!$I$47*2</f>
        <v>28.82</v>
      </c>
      <c r="V381" s="632"/>
      <c r="W381" s="633">
        <f>CCBASE!$I$41*B381/1000</f>
        <v>73.814462499999991</v>
      </c>
      <c r="X381" s="633"/>
      <c r="Y381" s="633"/>
      <c r="Z381" s="633"/>
      <c r="AA381" s="633"/>
      <c r="AB381" s="633"/>
      <c r="AC381" s="633"/>
      <c r="AD381" s="638">
        <f>CCBASE!$I$33*2</f>
        <v>136.03372999999999</v>
      </c>
    </row>
    <row r="382" spans="1:30" x14ac:dyDescent="0.2">
      <c r="A382" s="631" t="s">
        <v>193</v>
      </c>
      <c r="B382" s="631">
        <v>1500</v>
      </c>
      <c r="C382" s="631">
        <v>1500</v>
      </c>
      <c r="D382" s="631" t="str">
        <f t="shared" si="145"/>
        <v>CV-W-MUAP15001500</v>
      </c>
      <c r="E382" s="1054">
        <f t="shared" si="133"/>
        <v>1398.9090808499996</v>
      </c>
      <c r="F382" s="632">
        <v>18</v>
      </c>
      <c r="G382" s="633">
        <f>F382*CCBASE!$B$51</f>
        <v>648</v>
      </c>
      <c r="H382" s="633">
        <f>CCBASE!$I$17</f>
        <v>98.713171899999992</v>
      </c>
      <c r="I382" s="633">
        <f>(CCBASE!$I$20)/1000*B382</f>
        <v>129.97135724999998</v>
      </c>
      <c r="J382" s="633"/>
      <c r="K382" s="633"/>
      <c r="L382" s="633"/>
      <c r="M382" s="633">
        <f>CCBASE!$I$6*B382/1000</f>
        <v>181.87118249999997</v>
      </c>
      <c r="N382" s="633">
        <f>CCBASE!$I$7*B382/1000</f>
        <v>47.313420000000008</v>
      </c>
      <c r="O382" s="633">
        <f>CCBASE!$I$45*B382/1000</f>
        <v>14.955000000000002</v>
      </c>
      <c r="P382" s="632"/>
      <c r="Q382" s="632"/>
      <c r="R382" s="633">
        <f>CCBASE!$I$4</f>
        <v>8.3986041999999994</v>
      </c>
      <c r="S382" s="638">
        <f>CCBASE!$I$8</f>
        <v>16.25526</v>
      </c>
      <c r="T382" s="632"/>
      <c r="U382" s="638">
        <f>CCBASE!$I$47*2</f>
        <v>28.82</v>
      </c>
      <c r="V382" s="632"/>
      <c r="W382" s="633">
        <f>CCBASE!$I$41*B382/1000</f>
        <v>88.577354999999997</v>
      </c>
      <c r="X382" s="633"/>
      <c r="Y382" s="633"/>
      <c r="Z382" s="633"/>
      <c r="AA382" s="633"/>
      <c r="AB382" s="633"/>
      <c r="AC382" s="633"/>
      <c r="AD382" s="638">
        <f>CCBASE!$I$33*2</f>
        <v>136.03372999999999</v>
      </c>
    </row>
    <row r="383" spans="1:30" x14ac:dyDescent="0.2">
      <c r="A383" s="631" t="s">
        <v>193</v>
      </c>
      <c r="B383" s="631">
        <v>1750</v>
      </c>
      <c r="C383" s="631">
        <v>1500</v>
      </c>
      <c r="D383" s="631" t="str">
        <f t="shared" ref="D383" si="155">A383&amp;B383&amp;C383</f>
        <v>CV-W-MUAP17501500</v>
      </c>
      <c r="E383" s="1054">
        <f t="shared" si="133"/>
        <v>1476.0237999749997</v>
      </c>
      <c r="F383" s="632">
        <v>18</v>
      </c>
      <c r="G383" s="633">
        <f>F383*CCBASE!$B$51</f>
        <v>648</v>
      </c>
      <c r="H383" s="633">
        <f>CCBASE!$I$17</f>
        <v>98.713171899999992</v>
      </c>
      <c r="I383" s="633">
        <f>(CCBASE!$I$20)/1000*B383</f>
        <v>151.63325012499999</v>
      </c>
      <c r="J383" s="633"/>
      <c r="K383" s="633"/>
      <c r="L383" s="633"/>
      <c r="M383" s="633">
        <f>CCBASE!$I$6*B383/1000</f>
        <v>212.18304624999996</v>
      </c>
      <c r="N383" s="633">
        <f>CCBASE!$I$7*B383/1000</f>
        <v>55.198990000000002</v>
      </c>
      <c r="O383" s="633">
        <f>CCBASE!$I$45*B383/1000</f>
        <v>17.447500000000002</v>
      </c>
      <c r="P383" s="632"/>
      <c r="Q383" s="632"/>
      <c r="R383" s="633">
        <f>CCBASE!$I$4</f>
        <v>8.3986041999999994</v>
      </c>
      <c r="S383" s="638">
        <f>CCBASE!$I$8</f>
        <v>16.25526</v>
      </c>
      <c r="T383" s="632"/>
      <c r="U383" s="638">
        <f>CCBASE!$I$47*2</f>
        <v>28.82</v>
      </c>
      <c r="V383" s="632"/>
      <c r="W383" s="633">
        <f>CCBASE!$I$41*B383/1000</f>
        <v>103.3402475</v>
      </c>
      <c r="X383" s="633"/>
      <c r="Y383" s="633"/>
      <c r="Z383" s="633"/>
      <c r="AA383" s="633"/>
      <c r="AB383" s="633"/>
      <c r="AC383" s="633"/>
      <c r="AD383" s="638">
        <f>CCBASE!$I$33*2</f>
        <v>136.03372999999999</v>
      </c>
    </row>
    <row r="384" spans="1:30" x14ac:dyDescent="0.2">
      <c r="A384" s="631" t="s">
        <v>193</v>
      </c>
      <c r="B384" s="631">
        <v>2000</v>
      </c>
      <c r="C384" s="631">
        <v>1500</v>
      </c>
      <c r="D384" s="631" t="str">
        <f t="shared" si="145"/>
        <v>CV-W-MUAP20001500</v>
      </c>
      <c r="E384" s="1054">
        <f t="shared" si="133"/>
        <v>1553.1385190999995</v>
      </c>
      <c r="F384" s="632">
        <v>18</v>
      </c>
      <c r="G384" s="633">
        <f>F384*CCBASE!$B$51</f>
        <v>648</v>
      </c>
      <c r="H384" s="633">
        <f>CCBASE!$I$17</f>
        <v>98.713171899999992</v>
      </c>
      <c r="I384" s="633">
        <f>(CCBASE!$I$20)/1000*B384</f>
        <v>173.295143</v>
      </c>
      <c r="J384" s="633"/>
      <c r="K384" s="633"/>
      <c r="L384" s="633"/>
      <c r="M384" s="633">
        <f>CCBASE!$I$6*B384/1000</f>
        <v>242.49490999999995</v>
      </c>
      <c r="N384" s="633">
        <f>CCBASE!$I$7*B384/1000</f>
        <v>63.084560000000003</v>
      </c>
      <c r="O384" s="633">
        <f>CCBASE!$I$45*B384/1000</f>
        <v>19.940000000000001</v>
      </c>
      <c r="P384" s="632"/>
      <c r="Q384" s="632"/>
      <c r="R384" s="633">
        <f>CCBASE!$I$4</f>
        <v>8.3986041999999994</v>
      </c>
      <c r="S384" s="638">
        <f>CCBASE!$I$8</f>
        <v>16.25526</v>
      </c>
      <c r="T384" s="632"/>
      <c r="U384" s="638">
        <f>CCBASE!$I$47*2</f>
        <v>28.82</v>
      </c>
      <c r="V384" s="632"/>
      <c r="W384" s="633">
        <f>CCBASE!$I$41*B384/1000</f>
        <v>118.10314</v>
      </c>
      <c r="X384" s="633"/>
      <c r="Y384" s="633"/>
      <c r="Z384" s="633"/>
      <c r="AA384" s="633"/>
      <c r="AB384" s="633"/>
      <c r="AC384" s="633"/>
      <c r="AD384" s="638">
        <f>CCBASE!$I$33*2</f>
        <v>136.03372999999999</v>
      </c>
    </row>
    <row r="385" spans="1:30" x14ac:dyDescent="0.2">
      <c r="A385" s="631" t="s">
        <v>193</v>
      </c>
      <c r="B385" s="631">
        <v>2250</v>
      </c>
      <c r="C385" s="631">
        <v>1500</v>
      </c>
      <c r="D385" s="631" t="str">
        <f t="shared" ref="D385" si="156">A385&amp;B385&amp;C385</f>
        <v>CV-W-MUAP22501500</v>
      </c>
      <c r="E385" s="1054">
        <f t="shared" si="133"/>
        <v>1666.2532382249997</v>
      </c>
      <c r="F385" s="632">
        <v>19</v>
      </c>
      <c r="G385" s="633">
        <f>F385*CCBASE!$B$51</f>
        <v>684</v>
      </c>
      <c r="H385" s="633">
        <f>CCBASE!$I$17</f>
        <v>98.713171899999992</v>
      </c>
      <c r="I385" s="633">
        <f>(CCBASE!$I$20)/1000*B385</f>
        <v>194.95703587499997</v>
      </c>
      <c r="J385" s="633"/>
      <c r="K385" s="633"/>
      <c r="L385" s="633"/>
      <c r="M385" s="633">
        <f>CCBASE!$I$6*B385/1000</f>
        <v>272.80677374999993</v>
      </c>
      <c r="N385" s="633">
        <f>CCBASE!$I$7*B385/1000</f>
        <v>70.970130000000012</v>
      </c>
      <c r="O385" s="633">
        <f>CCBASE!$I$45*B385/1000</f>
        <v>22.432500000000001</v>
      </c>
      <c r="P385" s="632"/>
      <c r="Q385" s="632"/>
      <c r="R385" s="633">
        <f>CCBASE!$I$4</f>
        <v>8.3986041999999994</v>
      </c>
      <c r="S385" s="638">
        <f>CCBASE!$I$8</f>
        <v>16.25526</v>
      </c>
      <c r="T385" s="632"/>
      <c r="U385" s="638">
        <f>CCBASE!$I$47*2</f>
        <v>28.82</v>
      </c>
      <c r="V385" s="632"/>
      <c r="W385" s="633">
        <f>CCBASE!$I$41*B385/1000</f>
        <v>132.86603249999999</v>
      </c>
      <c r="X385" s="633"/>
      <c r="Y385" s="633"/>
      <c r="Z385" s="633"/>
      <c r="AA385" s="633"/>
      <c r="AB385" s="633"/>
      <c r="AC385" s="633"/>
      <c r="AD385" s="638">
        <f>CCBASE!$I$33*2</f>
        <v>136.03372999999999</v>
      </c>
    </row>
    <row r="386" spans="1:30" x14ac:dyDescent="0.2">
      <c r="A386" s="631" t="s">
        <v>193</v>
      </c>
      <c r="B386" s="631">
        <v>2500</v>
      </c>
      <c r="C386" s="631">
        <v>1500</v>
      </c>
      <c r="D386" s="631" t="str">
        <f t="shared" si="145"/>
        <v>CV-W-MUAP25001500</v>
      </c>
      <c r="E386" s="1054">
        <f t="shared" si="133"/>
        <v>1743.3679573499999</v>
      </c>
      <c r="F386" s="632">
        <v>19</v>
      </c>
      <c r="G386" s="633">
        <f>F386*CCBASE!$B$51</f>
        <v>684</v>
      </c>
      <c r="H386" s="633">
        <f>CCBASE!$I$17</f>
        <v>98.713171899999992</v>
      </c>
      <c r="I386" s="633">
        <f>(CCBASE!$I$20)/1000*B386</f>
        <v>216.61892874999998</v>
      </c>
      <c r="J386" s="633"/>
      <c r="K386" s="633"/>
      <c r="L386" s="633"/>
      <c r="M386" s="633">
        <f>CCBASE!$I$6*B386/1000</f>
        <v>303.11863749999998</v>
      </c>
      <c r="N386" s="633">
        <f>CCBASE!$I$7*B386/1000</f>
        <v>78.855699999999999</v>
      </c>
      <c r="O386" s="633">
        <f>CCBASE!$I$45*B386/1000</f>
        <v>24.925000000000001</v>
      </c>
      <c r="P386" s="632"/>
      <c r="Q386" s="632"/>
      <c r="R386" s="633">
        <f>CCBASE!$I$4</f>
        <v>8.3986041999999994</v>
      </c>
      <c r="S386" s="638">
        <f>CCBASE!$I$8</f>
        <v>16.25526</v>
      </c>
      <c r="T386" s="632"/>
      <c r="U386" s="638">
        <f>CCBASE!$I$47*2</f>
        <v>28.82</v>
      </c>
      <c r="V386" s="632"/>
      <c r="W386" s="633">
        <f>CCBASE!$I$41*B386/1000</f>
        <v>147.62892499999998</v>
      </c>
      <c r="X386" s="633"/>
      <c r="Y386" s="633"/>
      <c r="Z386" s="633"/>
      <c r="AA386" s="633"/>
      <c r="AB386" s="633"/>
      <c r="AC386" s="633"/>
      <c r="AD386" s="638">
        <f>CCBASE!$I$33*2</f>
        <v>136.03372999999999</v>
      </c>
    </row>
    <row r="387" spans="1:30" x14ac:dyDescent="0.2">
      <c r="A387" s="631" t="s">
        <v>193</v>
      </c>
      <c r="B387" s="631">
        <v>2750</v>
      </c>
      <c r="C387" s="631">
        <v>1500</v>
      </c>
      <c r="D387" s="631" t="str">
        <f t="shared" ref="D387" si="157">A387&amp;B387&amp;C387</f>
        <v>CV-W-MUAP27501500</v>
      </c>
      <c r="E387" s="1054">
        <f t="shared" si="133"/>
        <v>1820.4826764749996</v>
      </c>
      <c r="F387" s="632">
        <v>19</v>
      </c>
      <c r="G387" s="633">
        <f>F387*CCBASE!$B$51</f>
        <v>684</v>
      </c>
      <c r="H387" s="633">
        <f>CCBASE!$I$17</f>
        <v>98.713171899999992</v>
      </c>
      <c r="I387" s="633">
        <f>(CCBASE!$I$20)/1000*B387</f>
        <v>238.28082162499999</v>
      </c>
      <c r="J387" s="633"/>
      <c r="K387" s="633"/>
      <c r="L387" s="633"/>
      <c r="M387" s="633">
        <f>CCBASE!$I$6*B387/1000</f>
        <v>333.43050124999991</v>
      </c>
      <c r="N387" s="633">
        <f>CCBASE!$I$7*B387/1000</f>
        <v>86.74127</v>
      </c>
      <c r="O387" s="633">
        <f>CCBASE!$I$45*B387/1000</f>
        <v>27.4175</v>
      </c>
      <c r="P387" s="632"/>
      <c r="Q387" s="632"/>
      <c r="R387" s="633">
        <f>CCBASE!$I$4</f>
        <v>8.3986041999999994</v>
      </c>
      <c r="S387" s="638">
        <f>CCBASE!$I$8</f>
        <v>16.25526</v>
      </c>
      <c r="T387" s="632"/>
      <c r="U387" s="638">
        <f>CCBASE!$I$47*2</f>
        <v>28.82</v>
      </c>
      <c r="V387" s="632"/>
      <c r="W387" s="633">
        <f>CCBASE!$I$41*B387/1000</f>
        <v>162.3918175</v>
      </c>
      <c r="X387" s="633"/>
      <c r="Y387" s="633"/>
      <c r="Z387" s="633"/>
      <c r="AA387" s="633"/>
      <c r="AB387" s="633"/>
      <c r="AC387" s="633"/>
      <c r="AD387" s="638">
        <f>CCBASE!$I$33*2</f>
        <v>136.03372999999999</v>
      </c>
    </row>
    <row r="388" spans="1:30" x14ac:dyDescent="0.2">
      <c r="A388" s="631" t="s">
        <v>193</v>
      </c>
      <c r="B388" s="631">
        <v>3000</v>
      </c>
      <c r="C388" s="631">
        <v>1500</v>
      </c>
      <c r="D388" s="631" t="str">
        <f t="shared" si="145"/>
        <v>CV-W-MUAP30001500</v>
      </c>
      <c r="E388" s="1054">
        <f t="shared" si="133"/>
        <v>1897.5973955999998</v>
      </c>
      <c r="F388" s="632">
        <v>19</v>
      </c>
      <c r="G388" s="633">
        <f>F388*CCBASE!$B$51</f>
        <v>684</v>
      </c>
      <c r="H388" s="633">
        <f>CCBASE!$I$17</f>
        <v>98.713171899999992</v>
      </c>
      <c r="I388" s="633">
        <f>(CCBASE!$I$20)/1000*B388</f>
        <v>259.94271449999997</v>
      </c>
      <c r="J388" s="633"/>
      <c r="K388" s="633"/>
      <c r="L388" s="633"/>
      <c r="M388" s="633">
        <f>CCBASE!$I$6*B388/1000</f>
        <v>363.74236499999995</v>
      </c>
      <c r="N388" s="633">
        <f>CCBASE!$I$7*B388/1000</f>
        <v>94.626840000000016</v>
      </c>
      <c r="O388" s="633">
        <f>CCBASE!$I$45*B388/1000</f>
        <v>29.910000000000004</v>
      </c>
      <c r="P388" s="632"/>
      <c r="Q388" s="632"/>
      <c r="R388" s="633">
        <f>CCBASE!$I$4</f>
        <v>8.3986041999999994</v>
      </c>
      <c r="S388" s="638">
        <f>CCBASE!$I$8</f>
        <v>16.25526</v>
      </c>
      <c r="T388" s="632"/>
      <c r="U388" s="638">
        <f>CCBASE!$I$47*2</f>
        <v>28.82</v>
      </c>
      <c r="V388" s="632"/>
      <c r="W388" s="633">
        <f>CCBASE!$I$41*B388/1000</f>
        <v>177.15470999999999</v>
      </c>
      <c r="X388" s="633"/>
      <c r="Y388" s="633"/>
      <c r="Z388" s="633"/>
      <c r="AA388" s="633"/>
      <c r="AB388" s="633"/>
      <c r="AC388" s="633"/>
      <c r="AD388" s="638">
        <f>CCBASE!$I$33*2</f>
        <v>136.03372999999999</v>
      </c>
    </row>
    <row r="389" spans="1:30" x14ac:dyDescent="0.2">
      <c r="A389" s="631" t="s">
        <v>193</v>
      </c>
      <c r="B389" s="631">
        <v>1000</v>
      </c>
      <c r="C389" s="631">
        <v>1750</v>
      </c>
      <c r="D389" s="631" t="str">
        <f t="shared" si="145"/>
        <v>CV-W-MUAP10001750</v>
      </c>
      <c r="E389" s="1054">
        <f t="shared" si="133"/>
        <v>1368.7283216999999</v>
      </c>
      <c r="F389" s="632">
        <v>18</v>
      </c>
      <c r="G389" s="633">
        <f>F389*CCBASE!$B$51</f>
        <v>648</v>
      </c>
      <c r="H389" s="633">
        <f>CCBASE!$I$18</f>
        <v>152.00290699999999</v>
      </c>
      <c r="I389" s="633">
        <f>(CCBASE!$I$20)/1000*B389</f>
        <v>86.647571499999998</v>
      </c>
      <c r="J389" s="633"/>
      <c r="K389" s="633"/>
      <c r="L389" s="633"/>
      <c r="M389" s="633">
        <f>CCBASE!$I$6*B389/1000</f>
        <v>121.24745499999997</v>
      </c>
      <c r="N389" s="633">
        <f>CCBASE!$I$7*B389/1000</f>
        <v>31.542280000000002</v>
      </c>
      <c r="O389" s="633">
        <f>CCBASE!$I$45*B389/1000</f>
        <v>9.9700000000000006</v>
      </c>
      <c r="P389" s="632"/>
      <c r="Q389" s="632"/>
      <c r="R389" s="633">
        <f>CCBASE!$I$4</f>
        <v>8.3986041999999994</v>
      </c>
      <c r="S389" s="638">
        <f>CCBASE!$I$8</f>
        <v>16.25526</v>
      </c>
      <c r="T389" s="632"/>
      <c r="U389" s="638">
        <f>CCBASE!$I$47</f>
        <v>14.41</v>
      </c>
      <c r="V389" s="632"/>
      <c r="W389" s="633">
        <f>CCBASE!$I$42*B389/1000</f>
        <v>70.880589999999998</v>
      </c>
      <c r="X389" s="633"/>
      <c r="Y389" s="633"/>
      <c r="Z389" s="633"/>
      <c r="AA389" s="633"/>
      <c r="AB389" s="633"/>
      <c r="AC389" s="633"/>
      <c r="AD389" s="638">
        <f>CCBASE!$I$34*2</f>
        <v>209.37365399999999</v>
      </c>
    </row>
    <row r="390" spans="1:30" x14ac:dyDescent="0.2">
      <c r="A390" s="631" t="s">
        <v>193</v>
      </c>
      <c r="B390" s="631">
        <v>1250</v>
      </c>
      <c r="C390" s="631">
        <v>1750</v>
      </c>
      <c r="D390" s="631" t="str">
        <f t="shared" ref="D390" si="158">A390&amp;B390&amp;C390</f>
        <v>CV-W-MUAP12501750</v>
      </c>
      <c r="E390" s="1054">
        <f t="shared" si="133"/>
        <v>1463.2102958249998</v>
      </c>
      <c r="F390" s="632">
        <v>18</v>
      </c>
      <c r="G390" s="633">
        <f>F390*CCBASE!$B$51</f>
        <v>648</v>
      </c>
      <c r="H390" s="633">
        <f>CCBASE!$I$18</f>
        <v>152.00290699999999</v>
      </c>
      <c r="I390" s="633">
        <f>(CCBASE!$I$20)/1000*B390</f>
        <v>108.30946437499999</v>
      </c>
      <c r="J390" s="633"/>
      <c r="K390" s="633"/>
      <c r="L390" s="633"/>
      <c r="M390" s="633">
        <f>CCBASE!$I$6*B390/1000</f>
        <v>151.55931874999999</v>
      </c>
      <c r="N390" s="633">
        <f>CCBASE!$I$7*B390/1000</f>
        <v>39.427849999999999</v>
      </c>
      <c r="O390" s="633">
        <f>CCBASE!$I$45*B390/1000</f>
        <v>12.4625</v>
      </c>
      <c r="P390" s="632"/>
      <c r="Q390" s="632"/>
      <c r="R390" s="633">
        <f>CCBASE!$I$4</f>
        <v>8.3986041999999994</v>
      </c>
      <c r="S390" s="638">
        <f>CCBASE!$I$8</f>
        <v>16.25526</v>
      </c>
      <c r="T390" s="632"/>
      <c r="U390" s="638">
        <f>CCBASE!$I$47*2</f>
        <v>28.82</v>
      </c>
      <c r="V390" s="632"/>
      <c r="W390" s="633">
        <f>CCBASE!$I$42*B390/1000</f>
        <v>88.600737500000008</v>
      </c>
      <c r="X390" s="633"/>
      <c r="Y390" s="633"/>
      <c r="Z390" s="633"/>
      <c r="AA390" s="633"/>
      <c r="AB390" s="633"/>
      <c r="AC390" s="633"/>
      <c r="AD390" s="638">
        <f>CCBASE!$I$34*2</f>
        <v>209.37365399999999</v>
      </c>
    </row>
    <row r="391" spans="1:30" x14ac:dyDescent="0.2">
      <c r="A391" s="631" t="s">
        <v>193</v>
      </c>
      <c r="B391" s="631">
        <v>1500</v>
      </c>
      <c r="C391" s="631">
        <v>1750</v>
      </c>
      <c r="D391" s="631" t="str">
        <f t="shared" si="145"/>
        <v>CV-W-MUAP15001750</v>
      </c>
      <c r="E391" s="1054">
        <f t="shared" si="133"/>
        <v>1543.2822699499998</v>
      </c>
      <c r="F391" s="632">
        <v>18</v>
      </c>
      <c r="G391" s="633">
        <f>F391*CCBASE!$B$51</f>
        <v>648</v>
      </c>
      <c r="H391" s="633">
        <f>CCBASE!$I$18</f>
        <v>152.00290699999999</v>
      </c>
      <c r="I391" s="633">
        <f>(CCBASE!$I$20)/1000*B391</f>
        <v>129.97135724999998</v>
      </c>
      <c r="J391" s="633"/>
      <c r="K391" s="633"/>
      <c r="L391" s="633"/>
      <c r="M391" s="633">
        <f>CCBASE!$I$6*B391/1000</f>
        <v>181.87118249999997</v>
      </c>
      <c r="N391" s="633">
        <f>CCBASE!$I$7*B391/1000</f>
        <v>47.313420000000008</v>
      </c>
      <c r="O391" s="633">
        <f>CCBASE!$I$45*B391/1000</f>
        <v>14.955000000000002</v>
      </c>
      <c r="P391" s="632"/>
      <c r="Q391" s="632"/>
      <c r="R391" s="633">
        <f>CCBASE!$I$4</f>
        <v>8.3986041999999994</v>
      </c>
      <c r="S391" s="638">
        <f>CCBASE!$I$8</f>
        <v>16.25526</v>
      </c>
      <c r="T391" s="632"/>
      <c r="U391" s="638">
        <f>CCBASE!$I$47*2</f>
        <v>28.82</v>
      </c>
      <c r="V391" s="632"/>
      <c r="W391" s="633">
        <f>CCBASE!$I$42*B391/1000</f>
        <v>106.32088499999999</v>
      </c>
      <c r="X391" s="633"/>
      <c r="Y391" s="633"/>
      <c r="Z391" s="633"/>
      <c r="AA391" s="633"/>
      <c r="AB391" s="633"/>
      <c r="AC391" s="633"/>
      <c r="AD391" s="638">
        <f>CCBASE!$I$34*2</f>
        <v>209.37365399999999</v>
      </c>
    </row>
    <row r="392" spans="1:30" x14ac:dyDescent="0.2">
      <c r="A392" s="631" t="s">
        <v>193</v>
      </c>
      <c r="B392" s="631">
        <v>1750</v>
      </c>
      <c r="C392" s="631">
        <v>1750</v>
      </c>
      <c r="D392" s="631" t="str">
        <f t="shared" ref="D392" si="159">A392&amp;B392&amp;C392</f>
        <v>CV-W-MUAP17501750</v>
      </c>
      <c r="E392" s="1054">
        <f t="shared" si="133"/>
        <v>1623.354244075</v>
      </c>
      <c r="F392" s="632">
        <v>18</v>
      </c>
      <c r="G392" s="633">
        <f>F392*CCBASE!$B$51</f>
        <v>648</v>
      </c>
      <c r="H392" s="633">
        <f>CCBASE!$I$18</f>
        <v>152.00290699999999</v>
      </c>
      <c r="I392" s="633">
        <f>(CCBASE!$I$20)/1000*B392</f>
        <v>151.63325012499999</v>
      </c>
      <c r="J392" s="633"/>
      <c r="K392" s="633"/>
      <c r="L392" s="633"/>
      <c r="M392" s="633">
        <f>CCBASE!$I$6*B392/1000</f>
        <v>212.18304624999996</v>
      </c>
      <c r="N392" s="633">
        <f>CCBASE!$I$7*B392/1000</f>
        <v>55.198990000000002</v>
      </c>
      <c r="O392" s="633">
        <f>CCBASE!$I$45*B392/1000</f>
        <v>17.447500000000002</v>
      </c>
      <c r="P392" s="632"/>
      <c r="Q392" s="632"/>
      <c r="R392" s="633">
        <f>CCBASE!$I$4</f>
        <v>8.3986041999999994</v>
      </c>
      <c r="S392" s="638">
        <f>CCBASE!$I$8</f>
        <v>16.25526</v>
      </c>
      <c r="T392" s="632"/>
      <c r="U392" s="638">
        <f>CCBASE!$I$47*2</f>
        <v>28.82</v>
      </c>
      <c r="V392" s="632"/>
      <c r="W392" s="633">
        <f>CCBASE!$I$42*B392/1000</f>
        <v>124.0410325</v>
      </c>
      <c r="X392" s="633"/>
      <c r="Y392" s="633"/>
      <c r="Z392" s="633"/>
      <c r="AA392" s="633"/>
      <c r="AB392" s="633"/>
      <c r="AC392" s="633"/>
      <c r="AD392" s="638">
        <f>CCBASE!$I$34*2</f>
        <v>209.37365399999999</v>
      </c>
    </row>
    <row r="393" spans="1:30" x14ac:dyDescent="0.2">
      <c r="A393" s="631" t="s">
        <v>193</v>
      </c>
      <c r="B393" s="631">
        <v>2000</v>
      </c>
      <c r="C393" s="631">
        <v>1750</v>
      </c>
      <c r="D393" s="631" t="str">
        <f t="shared" si="145"/>
        <v>CV-W-MUAP20001750</v>
      </c>
      <c r="E393" s="1054">
        <f t="shared" si="133"/>
        <v>1703.4262181999998</v>
      </c>
      <c r="F393" s="632">
        <v>18</v>
      </c>
      <c r="G393" s="633">
        <f>F393*CCBASE!$B$51</f>
        <v>648</v>
      </c>
      <c r="H393" s="633">
        <f>CCBASE!$I$18</f>
        <v>152.00290699999999</v>
      </c>
      <c r="I393" s="633">
        <f>(CCBASE!$I$20)/1000*B393</f>
        <v>173.295143</v>
      </c>
      <c r="J393" s="633"/>
      <c r="K393" s="633"/>
      <c r="L393" s="633"/>
      <c r="M393" s="633">
        <f>CCBASE!$I$6*B393/1000</f>
        <v>242.49490999999995</v>
      </c>
      <c r="N393" s="633">
        <f>CCBASE!$I$7*B393/1000</f>
        <v>63.084560000000003</v>
      </c>
      <c r="O393" s="633">
        <f>CCBASE!$I$45*B393/1000</f>
        <v>19.940000000000001</v>
      </c>
      <c r="P393" s="632"/>
      <c r="Q393" s="632"/>
      <c r="R393" s="633">
        <f>CCBASE!$I$4</f>
        <v>8.3986041999999994</v>
      </c>
      <c r="S393" s="638">
        <f>CCBASE!$I$8</f>
        <v>16.25526</v>
      </c>
      <c r="T393" s="632"/>
      <c r="U393" s="638">
        <f>CCBASE!$I$47*2</f>
        <v>28.82</v>
      </c>
      <c r="V393" s="632"/>
      <c r="W393" s="633">
        <f>CCBASE!$I$42*B393/1000</f>
        <v>141.76118</v>
      </c>
      <c r="X393" s="633"/>
      <c r="Y393" s="633"/>
      <c r="Z393" s="633"/>
      <c r="AA393" s="633"/>
      <c r="AB393" s="633"/>
      <c r="AC393" s="633"/>
      <c r="AD393" s="638">
        <f>CCBASE!$I$34*2</f>
        <v>209.37365399999999</v>
      </c>
    </row>
    <row r="394" spans="1:30" x14ac:dyDescent="0.2">
      <c r="A394" s="631" t="s">
        <v>193</v>
      </c>
      <c r="B394" s="631">
        <v>2250</v>
      </c>
      <c r="C394" s="631">
        <v>1750</v>
      </c>
      <c r="D394" s="631" t="str">
        <f t="shared" ref="D394" si="160">A394&amp;B394&amp;C394</f>
        <v>CV-W-MUAP22501750</v>
      </c>
      <c r="E394" s="1054">
        <f t="shared" si="133"/>
        <v>1819.4981923249993</v>
      </c>
      <c r="F394" s="632">
        <v>19</v>
      </c>
      <c r="G394" s="633">
        <f>F394*CCBASE!$B$51</f>
        <v>684</v>
      </c>
      <c r="H394" s="633">
        <f>CCBASE!$I$18</f>
        <v>152.00290699999999</v>
      </c>
      <c r="I394" s="633">
        <f>(CCBASE!$I$20)/1000*B394</f>
        <v>194.95703587499997</v>
      </c>
      <c r="J394" s="633"/>
      <c r="K394" s="633"/>
      <c r="L394" s="633"/>
      <c r="M394" s="633">
        <f>CCBASE!$I$6*B394/1000</f>
        <v>272.80677374999993</v>
      </c>
      <c r="N394" s="633">
        <f>CCBASE!$I$7*B394/1000</f>
        <v>70.970130000000012</v>
      </c>
      <c r="O394" s="633">
        <f>CCBASE!$I$45*B394/1000</f>
        <v>22.432500000000001</v>
      </c>
      <c r="P394" s="632"/>
      <c r="Q394" s="632"/>
      <c r="R394" s="633">
        <f>CCBASE!$I$4</f>
        <v>8.3986041999999994</v>
      </c>
      <c r="S394" s="638">
        <f>CCBASE!$I$8</f>
        <v>16.25526</v>
      </c>
      <c r="T394" s="632"/>
      <c r="U394" s="638">
        <f>CCBASE!$I$47*2</f>
        <v>28.82</v>
      </c>
      <c r="V394" s="632"/>
      <c r="W394" s="633">
        <f>CCBASE!$I$42*B394/1000</f>
        <v>159.48132749999999</v>
      </c>
      <c r="X394" s="633"/>
      <c r="Y394" s="633"/>
      <c r="Z394" s="633"/>
      <c r="AA394" s="633"/>
      <c r="AB394" s="633"/>
      <c r="AC394" s="633"/>
      <c r="AD394" s="638">
        <f>CCBASE!$I$34*2</f>
        <v>209.37365399999999</v>
      </c>
    </row>
    <row r="395" spans="1:30" x14ac:dyDescent="0.2">
      <c r="A395" s="631" t="s">
        <v>193</v>
      </c>
      <c r="B395" s="631">
        <v>2500</v>
      </c>
      <c r="C395" s="631">
        <v>1750</v>
      </c>
      <c r="D395" s="631" t="str">
        <f t="shared" si="145"/>
        <v>CV-W-MUAP25001750</v>
      </c>
      <c r="E395" s="1054">
        <f t="shared" si="133"/>
        <v>1924.4951664499997</v>
      </c>
      <c r="F395" s="632">
        <v>19</v>
      </c>
      <c r="G395" s="633">
        <f>F395*CCBASE!$B$51</f>
        <v>684</v>
      </c>
      <c r="H395" s="633">
        <f>CCBASE!$I$18</f>
        <v>152.00290699999999</v>
      </c>
      <c r="I395" s="633">
        <f>(CCBASE!$I$20)/1000*B395</f>
        <v>216.61892874999998</v>
      </c>
      <c r="J395" s="633"/>
      <c r="K395" s="633"/>
      <c r="L395" s="633"/>
      <c r="M395" s="633">
        <f>CCBASE!$I$6*B395/1000</f>
        <v>303.11863749999998</v>
      </c>
      <c r="N395" s="633">
        <f>CCBASE!$I$7*B395/1000</f>
        <v>78.855699999999999</v>
      </c>
      <c r="O395" s="633">
        <f>CCBASE!$I$45*B395/1000*2</f>
        <v>49.85</v>
      </c>
      <c r="P395" s="632"/>
      <c r="Q395" s="632"/>
      <c r="R395" s="633">
        <f>CCBASE!$I$4</f>
        <v>8.3986041999999994</v>
      </c>
      <c r="S395" s="638">
        <f>CCBASE!$I$8</f>
        <v>16.25526</v>
      </c>
      <c r="T395" s="632"/>
      <c r="U395" s="638">
        <f>CCBASE!$I$47*2</f>
        <v>28.82</v>
      </c>
      <c r="V395" s="632"/>
      <c r="W395" s="633">
        <f>CCBASE!$I$42*B395/1000</f>
        <v>177.20147500000002</v>
      </c>
      <c r="X395" s="633"/>
      <c r="Y395" s="633"/>
      <c r="Z395" s="633"/>
      <c r="AA395" s="633"/>
      <c r="AB395" s="633"/>
      <c r="AC395" s="633"/>
      <c r="AD395" s="638">
        <f>CCBASE!$I$34*2</f>
        <v>209.37365399999999</v>
      </c>
    </row>
    <row r="396" spans="1:30" x14ac:dyDescent="0.2">
      <c r="A396" s="631" t="s">
        <v>193</v>
      </c>
      <c r="B396" s="631">
        <v>2750</v>
      </c>
      <c r="C396" s="631">
        <v>1750</v>
      </c>
      <c r="D396" s="631" t="str">
        <f t="shared" ref="D396" si="161">A396&amp;B396&amp;C396</f>
        <v>CV-W-MUAP27501750</v>
      </c>
      <c r="E396" s="1054">
        <f t="shared" si="133"/>
        <v>2007.0596405749998</v>
      </c>
      <c r="F396" s="632">
        <v>19</v>
      </c>
      <c r="G396" s="633">
        <f>F396*CCBASE!$B$51</f>
        <v>684</v>
      </c>
      <c r="H396" s="633">
        <f>CCBASE!$I$18</f>
        <v>152.00290699999999</v>
      </c>
      <c r="I396" s="633">
        <f>(CCBASE!$I$20)/1000*B396</f>
        <v>238.28082162499999</v>
      </c>
      <c r="J396" s="633"/>
      <c r="K396" s="633"/>
      <c r="L396" s="633"/>
      <c r="M396" s="633">
        <f>CCBASE!$I$6*B396/1000</f>
        <v>333.43050124999991</v>
      </c>
      <c r="N396" s="633">
        <f>CCBASE!$I$7*B396/1000</f>
        <v>86.74127</v>
      </c>
      <c r="O396" s="633">
        <f>CCBASE!$I$45*B396/1000*2</f>
        <v>54.835000000000001</v>
      </c>
      <c r="P396" s="632"/>
      <c r="Q396" s="632"/>
      <c r="R396" s="633">
        <f>CCBASE!$I$4</f>
        <v>8.3986041999999994</v>
      </c>
      <c r="S396" s="638">
        <f>CCBASE!$I$8</f>
        <v>16.25526</v>
      </c>
      <c r="T396" s="632"/>
      <c r="U396" s="638">
        <f>CCBASE!$I$47*2</f>
        <v>28.82</v>
      </c>
      <c r="V396" s="632"/>
      <c r="W396" s="633">
        <f>CCBASE!$I$42*B396/1000</f>
        <v>194.92162249999998</v>
      </c>
      <c r="X396" s="633"/>
      <c r="Y396" s="633"/>
      <c r="Z396" s="633"/>
      <c r="AA396" s="633"/>
      <c r="AB396" s="633"/>
      <c r="AC396" s="633"/>
      <c r="AD396" s="638">
        <f>CCBASE!$I$34*2</f>
        <v>209.37365399999999</v>
      </c>
    </row>
    <row r="397" spans="1:30" x14ac:dyDescent="0.2">
      <c r="A397" s="631" t="s">
        <v>193</v>
      </c>
      <c r="B397" s="631">
        <v>3000</v>
      </c>
      <c r="C397" s="631">
        <v>1750</v>
      </c>
      <c r="D397" s="631" t="str">
        <f t="shared" si="145"/>
        <v>CV-W-MUAP30001750</v>
      </c>
      <c r="E397" s="1054">
        <f t="shared" si="133"/>
        <v>2089.6241146999996</v>
      </c>
      <c r="F397" s="632">
        <v>19</v>
      </c>
      <c r="G397" s="633">
        <f>F397*CCBASE!$B$51</f>
        <v>684</v>
      </c>
      <c r="H397" s="633">
        <f>CCBASE!$I$18</f>
        <v>152.00290699999999</v>
      </c>
      <c r="I397" s="633">
        <f>(CCBASE!$I$20)/1000*B397</f>
        <v>259.94271449999997</v>
      </c>
      <c r="J397" s="633"/>
      <c r="K397" s="633"/>
      <c r="L397" s="633"/>
      <c r="M397" s="633">
        <f>CCBASE!$I$6*B397/1000</f>
        <v>363.74236499999995</v>
      </c>
      <c r="N397" s="633">
        <f>CCBASE!$I$7*B397/1000</f>
        <v>94.626840000000016</v>
      </c>
      <c r="O397" s="633">
        <f>CCBASE!$I$45*B397/1000*2</f>
        <v>59.820000000000007</v>
      </c>
      <c r="P397" s="632"/>
      <c r="Q397" s="632"/>
      <c r="R397" s="633">
        <f>CCBASE!$I$4</f>
        <v>8.3986041999999994</v>
      </c>
      <c r="S397" s="638">
        <f>CCBASE!$I$8</f>
        <v>16.25526</v>
      </c>
      <c r="T397" s="632"/>
      <c r="U397" s="638">
        <f>CCBASE!$I$47*2</f>
        <v>28.82</v>
      </c>
      <c r="V397" s="632"/>
      <c r="W397" s="633">
        <f>CCBASE!$I$42*B397/1000</f>
        <v>212.64176999999998</v>
      </c>
      <c r="X397" s="633"/>
      <c r="Y397" s="633"/>
      <c r="Z397" s="633"/>
      <c r="AA397" s="633"/>
      <c r="AB397" s="633"/>
      <c r="AC397" s="633"/>
      <c r="AD397" s="638">
        <f>CCBASE!$I$34*2</f>
        <v>209.37365399999999</v>
      </c>
    </row>
    <row r="398" spans="1:30" x14ac:dyDescent="0.2">
      <c r="A398" s="631" t="s">
        <v>194</v>
      </c>
      <c r="B398" s="631">
        <v>1000</v>
      </c>
      <c r="C398" s="631">
        <v>2500</v>
      </c>
      <c r="D398" s="631" t="str">
        <f t="shared" ref="D398:D406" si="162">A398&amp;B398&amp;C398</f>
        <v>CV-I-MUAP10002500</v>
      </c>
      <c r="E398" s="1054">
        <f t="shared" si="133"/>
        <v>1998.81400534</v>
      </c>
      <c r="F398" s="632">
        <v>27</v>
      </c>
      <c r="G398" s="633">
        <f>F398*CCBASE!$B$51</f>
        <v>972</v>
      </c>
      <c r="H398" s="633">
        <f>CCBASE!$I$16*2</f>
        <v>158.00022014000001</v>
      </c>
      <c r="I398" s="633">
        <f>(CCBASE!$I$20)/1000*2*B398</f>
        <v>173.295143</v>
      </c>
      <c r="J398" s="633"/>
      <c r="K398" s="633"/>
      <c r="L398" s="633"/>
      <c r="M398" s="633">
        <f>CCBASE!$I$6*B398/1000*2</f>
        <v>242.49490999999995</v>
      </c>
      <c r="N398" s="633">
        <f>CCBASE!$I$7*B398/1000*2</f>
        <v>63.084560000000003</v>
      </c>
      <c r="O398" s="633">
        <f>CCBASE!$I$45*B398/1000*2</f>
        <v>19.940000000000001</v>
      </c>
      <c r="P398" s="632"/>
      <c r="Q398" s="632"/>
      <c r="R398" s="633">
        <f>CCBASE!$I$4</f>
        <v>8.3986041999999994</v>
      </c>
      <c r="S398" s="638">
        <f>CCBASE!$I$8*2</f>
        <v>32.51052</v>
      </c>
      <c r="T398" s="632"/>
      <c r="U398" s="638">
        <f>CCBASE!$I$47*2</f>
        <v>28.82</v>
      </c>
      <c r="V398" s="632"/>
      <c r="W398" s="638">
        <f>CCBASE!$I$40*B398/1000*2</f>
        <v>82.616079999999997</v>
      </c>
      <c r="X398" s="638"/>
      <c r="Y398" s="638"/>
      <c r="Z398" s="638"/>
      <c r="AA398" s="638"/>
      <c r="AB398" s="638"/>
      <c r="AC398" s="638"/>
      <c r="AD398" s="638">
        <f>CCBASE!$I$32*4</f>
        <v>217.65396799999999</v>
      </c>
    </row>
    <row r="399" spans="1:30" x14ac:dyDescent="0.2">
      <c r="A399" s="631" t="s">
        <v>194</v>
      </c>
      <c r="B399" s="631">
        <v>1250</v>
      </c>
      <c r="C399" s="631">
        <v>2500</v>
      </c>
      <c r="D399" s="631" t="str">
        <f t="shared" ref="D399" si="163">A399&amp;B399&amp;C399</f>
        <v>CV-I-MUAP12502500</v>
      </c>
      <c r="E399" s="1054">
        <f t="shared" si="133"/>
        <v>2172.99167859</v>
      </c>
      <c r="F399" s="632">
        <v>27</v>
      </c>
      <c r="G399" s="633">
        <f>F399*CCBASE!$B$51</f>
        <v>972</v>
      </c>
      <c r="H399" s="633">
        <f>CCBASE!$I$16*2</f>
        <v>158.00022014000001</v>
      </c>
      <c r="I399" s="633">
        <f>(CCBASE!$I$20)/1000*2*B399</f>
        <v>216.61892874999998</v>
      </c>
      <c r="J399" s="633"/>
      <c r="K399" s="633"/>
      <c r="L399" s="633"/>
      <c r="M399" s="633">
        <f>CCBASE!$I$6*B399/1000*2</f>
        <v>303.11863749999998</v>
      </c>
      <c r="N399" s="633">
        <f>CCBASE!$I$7*B399/1000*2</f>
        <v>78.855699999999999</v>
      </c>
      <c r="O399" s="633">
        <f>CCBASE!$I$45*B399/1000*2</f>
        <v>24.925000000000001</v>
      </c>
      <c r="P399" s="632"/>
      <c r="Q399" s="632"/>
      <c r="R399" s="633">
        <f>CCBASE!$I$4</f>
        <v>8.3986041999999994</v>
      </c>
      <c r="S399" s="638">
        <f>CCBASE!$I$8*2</f>
        <v>32.51052</v>
      </c>
      <c r="T399" s="632"/>
      <c r="U399" s="633">
        <f>CCBASE!$I$47*4</f>
        <v>57.64</v>
      </c>
      <c r="V399" s="632"/>
      <c r="W399" s="638">
        <f>CCBASE!$I$40*B399/1000*2</f>
        <v>103.27009999999999</v>
      </c>
      <c r="X399" s="638"/>
      <c r="Y399" s="638"/>
      <c r="Z399" s="638"/>
      <c r="AA399" s="638"/>
      <c r="AB399" s="638"/>
      <c r="AC399" s="638"/>
      <c r="AD399" s="638">
        <f>CCBASE!$I$32*4</f>
        <v>217.65396799999999</v>
      </c>
    </row>
    <row r="400" spans="1:30" x14ac:dyDescent="0.2">
      <c r="A400" s="631" t="s">
        <v>194</v>
      </c>
      <c r="B400" s="631">
        <v>1500</v>
      </c>
      <c r="C400" s="631">
        <v>2500</v>
      </c>
      <c r="D400" s="631" t="str">
        <f t="shared" si="162"/>
        <v>CV-I-MUAP15002500</v>
      </c>
      <c r="E400" s="1054">
        <f t="shared" si="133"/>
        <v>2318.3493518400001</v>
      </c>
      <c r="F400" s="632">
        <v>27</v>
      </c>
      <c r="G400" s="633">
        <f>F400*CCBASE!$B$51</f>
        <v>972</v>
      </c>
      <c r="H400" s="633">
        <f>CCBASE!$I$16*2</f>
        <v>158.00022014000001</v>
      </c>
      <c r="I400" s="633">
        <f>(CCBASE!$I$20)/1000*2*B400</f>
        <v>259.94271449999997</v>
      </c>
      <c r="J400" s="633"/>
      <c r="K400" s="633"/>
      <c r="L400" s="633"/>
      <c r="M400" s="633">
        <f>CCBASE!$I$6*B400/1000*2</f>
        <v>363.74236499999995</v>
      </c>
      <c r="N400" s="633">
        <f>CCBASE!$I$7*B400/1000*2</f>
        <v>94.626840000000016</v>
      </c>
      <c r="O400" s="633">
        <f>CCBASE!$I$45*B400/1000*2</f>
        <v>29.910000000000004</v>
      </c>
      <c r="P400" s="632"/>
      <c r="Q400" s="632"/>
      <c r="R400" s="633">
        <f>CCBASE!$I$4</f>
        <v>8.3986041999999994</v>
      </c>
      <c r="S400" s="638">
        <f>CCBASE!$I$8*2</f>
        <v>32.51052</v>
      </c>
      <c r="T400" s="632"/>
      <c r="U400" s="633">
        <f>CCBASE!$I$47*4</f>
        <v>57.64</v>
      </c>
      <c r="V400" s="632"/>
      <c r="W400" s="638">
        <f>CCBASE!$I$40*B400/1000*2</f>
        <v>123.92412</v>
      </c>
      <c r="X400" s="638"/>
      <c r="Y400" s="638"/>
      <c r="Z400" s="638"/>
      <c r="AA400" s="638"/>
      <c r="AB400" s="638"/>
      <c r="AC400" s="638"/>
      <c r="AD400" s="638">
        <f>CCBASE!$I$32*4</f>
        <v>217.65396799999999</v>
      </c>
    </row>
    <row r="401" spans="1:45" x14ac:dyDescent="0.2">
      <c r="A401" s="631" t="s">
        <v>194</v>
      </c>
      <c r="B401" s="631">
        <v>1750</v>
      </c>
      <c r="C401" s="631">
        <v>2500</v>
      </c>
      <c r="D401" s="631" t="str">
        <f t="shared" ref="D401" si="164">A401&amp;B401&amp;C401</f>
        <v>CV-I-MUAP17502500</v>
      </c>
      <c r="E401" s="1054">
        <f t="shared" si="133"/>
        <v>2463.7070250900001</v>
      </c>
      <c r="F401" s="632">
        <v>27</v>
      </c>
      <c r="G401" s="633">
        <f>F401*CCBASE!$B$51</f>
        <v>972</v>
      </c>
      <c r="H401" s="633">
        <f>CCBASE!$I$16*2</f>
        <v>158.00022014000001</v>
      </c>
      <c r="I401" s="633">
        <f>(CCBASE!$I$20)/1000*2*B401</f>
        <v>303.26650024999998</v>
      </c>
      <c r="J401" s="633"/>
      <c r="K401" s="633"/>
      <c r="L401" s="633"/>
      <c r="M401" s="633">
        <f>CCBASE!$I$6*B401/1000*2</f>
        <v>424.36609249999992</v>
      </c>
      <c r="N401" s="633">
        <f>CCBASE!$I$7*B401/1000*2</f>
        <v>110.39798</v>
      </c>
      <c r="O401" s="633">
        <f>CCBASE!$I$45*B401/1000*2</f>
        <v>34.895000000000003</v>
      </c>
      <c r="P401" s="632"/>
      <c r="Q401" s="632"/>
      <c r="R401" s="633">
        <f>CCBASE!$I$4</f>
        <v>8.3986041999999994</v>
      </c>
      <c r="S401" s="638">
        <f>CCBASE!$I$8*2</f>
        <v>32.51052</v>
      </c>
      <c r="T401" s="632"/>
      <c r="U401" s="633">
        <f>CCBASE!$I$47*4</f>
        <v>57.64</v>
      </c>
      <c r="V401" s="632"/>
      <c r="W401" s="638">
        <f>CCBASE!$I$40*B401/1000*2</f>
        <v>144.57813999999999</v>
      </c>
      <c r="X401" s="638"/>
      <c r="Y401" s="638"/>
      <c r="Z401" s="638"/>
      <c r="AA401" s="638"/>
      <c r="AB401" s="638"/>
      <c r="AC401" s="638"/>
      <c r="AD401" s="638">
        <f>CCBASE!$I$32*4</f>
        <v>217.65396799999999</v>
      </c>
    </row>
    <row r="402" spans="1:45" x14ac:dyDescent="0.2">
      <c r="A402" s="631" t="s">
        <v>194</v>
      </c>
      <c r="B402" s="631">
        <v>2000</v>
      </c>
      <c r="C402" s="631">
        <v>2500</v>
      </c>
      <c r="D402" s="631" t="str">
        <f t="shared" si="162"/>
        <v>CV-I-MUAP20002500</v>
      </c>
      <c r="E402" s="1054">
        <f t="shared" si="133"/>
        <v>2609.0646983399997</v>
      </c>
      <c r="F402" s="632">
        <v>27</v>
      </c>
      <c r="G402" s="633">
        <f>F402*CCBASE!$B$51</f>
        <v>972</v>
      </c>
      <c r="H402" s="633">
        <f>CCBASE!$I$16*2</f>
        <v>158.00022014000001</v>
      </c>
      <c r="I402" s="633">
        <f>(CCBASE!$I$20)/1000*2*B402</f>
        <v>346.59028599999999</v>
      </c>
      <c r="J402" s="633"/>
      <c r="K402" s="633"/>
      <c r="L402" s="633"/>
      <c r="M402" s="633">
        <f>CCBASE!$I$6*B402/1000*2</f>
        <v>484.9898199999999</v>
      </c>
      <c r="N402" s="633">
        <f>CCBASE!$I$7*B402/1000*2</f>
        <v>126.16912000000001</v>
      </c>
      <c r="O402" s="633">
        <f>CCBASE!$I$45*B402/1000*2</f>
        <v>39.880000000000003</v>
      </c>
      <c r="P402" s="632"/>
      <c r="Q402" s="632"/>
      <c r="R402" s="633">
        <f>CCBASE!$I$4</f>
        <v>8.3986041999999994</v>
      </c>
      <c r="S402" s="638">
        <f>CCBASE!$I$8*2</f>
        <v>32.51052</v>
      </c>
      <c r="T402" s="632"/>
      <c r="U402" s="633">
        <f>CCBASE!$I$47*4</f>
        <v>57.64</v>
      </c>
      <c r="V402" s="632"/>
      <c r="W402" s="638">
        <f>CCBASE!$I$40*B402/1000*2</f>
        <v>165.23215999999999</v>
      </c>
      <c r="X402" s="638"/>
      <c r="Y402" s="638"/>
      <c r="Z402" s="638"/>
      <c r="AA402" s="638"/>
      <c r="AB402" s="638"/>
      <c r="AC402" s="638"/>
      <c r="AD402" s="638">
        <f>CCBASE!$I$32*4</f>
        <v>217.65396799999999</v>
      </c>
    </row>
    <row r="403" spans="1:45" x14ac:dyDescent="0.2">
      <c r="A403" s="631" t="s">
        <v>194</v>
      </c>
      <c r="B403" s="631">
        <v>2250</v>
      </c>
      <c r="C403" s="631">
        <v>2500</v>
      </c>
      <c r="D403" s="631" t="str">
        <f t="shared" ref="D403" si="165">A403&amp;B403&amp;C403</f>
        <v>CV-I-MUAP22502500</v>
      </c>
      <c r="E403" s="1054">
        <f t="shared" si="133"/>
        <v>2754.4223715899993</v>
      </c>
      <c r="F403" s="632">
        <v>27</v>
      </c>
      <c r="G403" s="633">
        <f>F403*CCBASE!$B$51</f>
        <v>972</v>
      </c>
      <c r="H403" s="633">
        <f>CCBASE!$I$16*2</f>
        <v>158.00022014000001</v>
      </c>
      <c r="I403" s="633">
        <f>(CCBASE!$I$20)/1000*2*B403</f>
        <v>389.91407174999995</v>
      </c>
      <c r="J403" s="633"/>
      <c r="K403" s="633"/>
      <c r="L403" s="633"/>
      <c r="M403" s="633">
        <f>CCBASE!$I$6*B403/1000*2</f>
        <v>545.61354749999987</v>
      </c>
      <c r="N403" s="633">
        <f>CCBASE!$I$7*B403/1000*2</f>
        <v>141.94026000000002</v>
      </c>
      <c r="O403" s="633">
        <f>CCBASE!$I$45*B403/1000*2</f>
        <v>44.865000000000002</v>
      </c>
      <c r="P403" s="632"/>
      <c r="Q403" s="632"/>
      <c r="R403" s="633">
        <f>CCBASE!$I$4</f>
        <v>8.3986041999999994</v>
      </c>
      <c r="S403" s="638">
        <f>CCBASE!$I$8*2</f>
        <v>32.51052</v>
      </c>
      <c r="T403" s="632"/>
      <c r="U403" s="633">
        <f>CCBASE!$I$47*4</f>
        <v>57.64</v>
      </c>
      <c r="V403" s="632"/>
      <c r="W403" s="638">
        <f>CCBASE!$I$40*B403/1000*2</f>
        <v>185.88618</v>
      </c>
      <c r="X403" s="638"/>
      <c r="Y403" s="638"/>
      <c r="Z403" s="638"/>
      <c r="AA403" s="638"/>
      <c r="AB403" s="638"/>
      <c r="AC403" s="638"/>
      <c r="AD403" s="638">
        <f>CCBASE!$I$32*4</f>
        <v>217.65396799999999</v>
      </c>
    </row>
    <row r="404" spans="1:45" x14ac:dyDescent="0.2">
      <c r="A404" s="631" t="s">
        <v>194</v>
      </c>
      <c r="B404" s="631">
        <v>2500</v>
      </c>
      <c r="C404" s="631">
        <v>2500</v>
      </c>
      <c r="D404" s="631" t="str">
        <f t="shared" si="162"/>
        <v>CV-I-MUAP25002500</v>
      </c>
      <c r="E404" s="1054">
        <f t="shared" si="133"/>
        <v>2899.7800448399998</v>
      </c>
      <c r="F404" s="632">
        <v>27</v>
      </c>
      <c r="G404" s="633">
        <f>F404*CCBASE!$B$51</f>
        <v>972</v>
      </c>
      <c r="H404" s="633">
        <f>CCBASE!$I$16*2</f>
        <v>158.00022014000001</v>
      </c>
      <c r="I404" s="633">
        <f>(CCBASE!$I$20)/1000*2*B404</f>
        <v>433.23785749999996</v>
      </c>
      <c r="J404" s="633"/>
      <c r="K404" s="633"/>
      <c r="L404" s="633"/>
      <c r="M404" s="633">
        <f>CCBASE!$I$6*B404/1000*2</f>
        <v>606.23727499999995</v>
      </c>
      <c r="N404" s="633">
        <f>CCBASE!$I$7*B404/1000*2</f>
        <v>157.7114</v>
      </c>
      <c r="O404" s="633">
        <f>CCBASE!$I$45*B404/1000*2</f>
        <v>49.85</v>
      </c>
      <c r="P404" s="632"/>
      <c r="Q404" s="632"/>
      <c r="R404" s="633">
        <f>CCBASE!$I$4</f>
        <v>8.3986041999999994</v>
      </c>
      <c r="S404" s="638">
        <f>CCBASE!$I$8*2</f>
        <v>32.51052</v>
      </c>
      <c r="T404" s="632"/>
      <c r="U404" s="633">
        <f>CCBASE!$I$47*4</f>
        <v>57.64</v>
      </c>
      <c r="V404" s="632"/>
      <c r="W404" s="638">
        <f>CCBASE!$I$40*B404/1000*2</f>
        <v>206.54019999999997</v>
      </c>
      <c r="X404" s="638"/>
      <c r="Y404" s="638"/>
      <c r="Z404" s="638"/>
      <c r="AA404" s="638"/>
      <c r="AB404" s="638"/>
      <c r="AC404" s="638"/>
      <c r="AD404" s="638">
        <f>CCBASE!$I$32*4</f>
        <v>217.65396799999999</v>
      </c>
    </row>
    <row r="405" spans="1:45" x14ac:dyDescent="0.2">
      <c r="A405" s="631" t="s">
        <v>194</v>
      </c>
      <c r="B405" s="631">
        <v>2750</v>
      </c>
      <c r="C405" s="631">
        <v>2500</v>
      </c>
      <c r="D405" s="631" t="str">
        <f t="shared" ref="D405" si="166">A405&amp;B405&amp;C405</f>
        <v>CV-I-MUAP27502500</v>
      </c>
      <c r="E405" s="1054">
        <f t="shared" ref="E405:E468" si="167">SUM(G405:AD405)</f>
        <v>3045.1377180899995</v>
      </c>
      <c r="F405" s="632">
        <v>27</v>
      </c>
      <c r="G405" s="633">
        <f>F405*CCBASE!$B$51</f>
        <v>972</v>
      </c>
      <c r="H405" s="633">
        <f>CCBASE!$I$16*2</f>
        <v>158.00022014000001</v>
      </c>
      <c r="I405" s="633">
        <f>(CCBASE!$I$20)/1000*2*B405</f>
        <v>476.56164324999997</v>
      </c>
      <c r="J405" s="633"/>
      <c r="K405" s="633"/>
      <c r="L405" s="633"/>
      <c r="M405" s="633">
        <f>CCBASE!$I$6*B405/1000*2</f>
        <v>666.86100249999981</v>
      </c>
      <c r="N405" s="633">
        <f>CCBASE!$I$7*B405/1000*2</f>
        <v>173.48254</v>
      </c>
      <c r="O405" s="633">
        <f>CCBASE!$I$45*B405/1000*2</f>
        <v>54.835000000000001</v>
      </c>
      <c r="P405" s="632"/>
      <c r="Q405" s="632"/>
      <c r="R405" s="633">
        <f>CCBASE!$I$4</f>
        <v>8.3986041999999994</v>
      </c>
      <c r="S405" s="638">
        <f>CCBASE!$I$8*2</f>
        <v>32.51052</v>
      </c>
      <c r="T405" s="632"/>
      <c r="U405" s="633">
        <f>CCBASE!$I$47*4</f>
        <v>57.64</v>
      </c>
      <c r="V405" s="632"/>
      <c r="W405" s="638">
        <f>CCBASE!$I$40*B405/1000*2</f>
        <v>227.19422</v>
      </c>
      <c r="X405" s="638"/>
      <c r="Y405" s="638"/>
      <c r="Z405" s="638"/>
      <c r="AA405" s="638"/>
      <c r="AB405" s="638"/>
      <c r="AC405" s="638"/>
      <c r="AD405" s="638">
        <f>CCBASE!$I$32*4</f>
        <v>217.65396799999999</v>
      </c>
    </row>
    <row r="406" spans="1:45" x14ac:dyDescent="0.2">
      <c r="A406" s="631" t="s">
        <v>194</v>
      </c>
      <c r="B406" s="631">
        <v>3000</v>
      </c>
      <c r="C406" s="631">
        <v>2500</v>
      </c>
      <c r="D406" s="631" t="str">
        <f t="shared" si="162"/>
        <v>CV-I-MUAP30002500</v>
      </c>
      <c r="E406" s="1054">
        <f t="shared" si="167"/>
        <v>3190.49539134</v>
      </c>
      <c r="F406" s="632">
        <v>27</v>
      </c>
      <c r="G406" s="633">
        <f>F406*CCBASE!$B$51</f>
        <v>972</v>
      </c>
      <c r="H406" s="633">
        <f>CCBASE!$I$16*2</f>
        <v>158.00022014000001</v>
      </c>
      <c r="I406" s="633">
        <f>(CCBASE!$I$20)/1000*2*B406</f>
        <v>519.88542899999993</v>
      </c>
      <c r="J406" s="633"/>
      <c r="K406" s="633"/>
      <c r="L406" s="633"/>
      <c r="M406" s="633">
        <f>CCBASE!$I$6*B406/1000*2</f>
        <v>727.4847299999999</v>
      </c>
      <c r="N406" s="633">
        <f>CCBASE!$I$7*B406/1000*2</f>
        <v>189.25368000000003</v>
      </c>
      <c r="O406" s="633">
        <f>CCBASE!$I$45*B406/1000*2</f>
        <v>59.820000000000007</v>
      </c>
      <c r="P406" s="632"/>
      <c r="Q406" s="632"/>
      <c r="R406" s="633">
        <f>CCBASE!$I$4</f>
        <v>8.3986041999999994</v>
      </c>
      <c r="S406" s="638">
        <f>CCBASE!$I$8*2</f>
        <v>32.51052</v>
      </c>
      <c r="T406" s="632"/>
      <c r="U406" s="633">
        <f>CCBASE!$I$47*4</f>
        <v>57.64</v>
      </c>
      <c r="V406" s="632"/>
      <c r="W406" s="638">
        <f>CCBASE!$I$40*B406/1000*2</f>
        <v>247.84824</v>
      </c>
      <c r="X406" s="638"/>
      <c r="Y406" s="638"/>
      <c r="Z406" s="638"/>
      <c r="AA406" s="638"/>
      <c r="AB406" s="638"/>
      <c r="AC406" s="638"/>
      <c r="AD406" s="638">
        <f>CCBASE!$I$32*4</f>
        <v>217.65396799999999</v>
      </c>
    </row>
    <row r="407" spans="1:45" x14ac:dyDescent="0.2">
      <c r="A407" s="631" t="s">
        <v>342</v>
      </c>
      <c r="B407" s="631">
        <v>1000</v>
      </c>
      <c r="C407" s="631">
        <v>2500</v>
      </c>
      <c r="D407" s="631" t="str">
        <f t="shared" ref="D407:D415" si="168">A407&amp;B407&amp;C407</f>
        <v>CMW-I-MUAP10002500</v>
      </c>
      <c r="E407" s="1054">
        <f t="shared" si="167"/>
        <v>1998.81400534</v>
      </c>
      <c r="F407" s="632">
        <v>27</v>
      </c>
      <c r="G407" s="633">
        <f>F407*CCBASE!$B$51</f>
        <v>972</v>
      </c>
      <c r="H407" s="633">
        <f>CCBASE!$I$16*2</f>
        <v>158.00022014000001</v>
      </c>
      <c r="I407" s="633">
        <f>(CCBASE!$I$20)/1000*2*B407</f>
        <v>173.295143</v>
      </c>
      <c r="J407" s="633"/>
      <c r="K407" s="633"/>
      <c r="L407" s="633"/>
      <c r="M407" s="633">
        <f>CCBASE!$I$6*B407/1000*2</f>
        <v>242.49490999999995</v>
      </c>
      <c r="N407" s="633">
        <f>CCBASE!$I$7*B407/1000*2</f>
        <v>63.084560000000003</v>
      </c>
      <c r="O407" s="633">
        <f>CCBASE!$I$45*B407/1000*2</f>
        <v>19.940000000000001</v>
      </c>
      <c r="P407" s="632"/>
      <c r="Q407" s="632"/>
      <c r="R407" s="633">
        <f>CCBASE!$I$4</f>
        <v>8.3986041999999994</v>
      </c>
      <c r="S407" s="638">
        <f>CCBASE!$I$8*2</f>
        <v>32.51052</v>
      </c>
      <c r="T407" s="632"/>
      <c r="U407" s="638">
        <f>CCBASE!$I$47*2</f>
        <v>28.82</v>
      </c>
      <c r="V407" s="632"/>
      <c r="W407" s="638">
        <f>CCBASE!$I$40*B407/1000*2</f>
        <v>82.616079999999997</v>
      </c>
      <c r="X407" s="638"/>
      <c r="Y407" s="638"/>
      <c r="Z407" s="638"/>
      <c r="AA407" s="638"/>
      <c r="AB407" s="638"/>
      <c r="AC407" s="638"/>
      <c r="AD407" s="638">
        <f>CCBASE!$I$32*4</f>
        <v>217.65396799999999</v>
      </c>
    </row>
    <row r="408" spans="1:45" x14ac:dyDescent="0.2">
      <c r="A408" s="631" t="s">
        <v>342</v>
      </c>
      <c r="B408" s="631">
        <v>1250</v>
      </c>
      <c r="C408" s="631">
        <v>2500</v>
      </c>
      <c r="D408" s="631" t="str">
        <f t="shared" ref="D408" si="169">A408&amp;B408&amp;C408</f>
        <v>CMW-I-MUAP12502500</v>
      </c>
      <c r="E408" s="1054">
        <f t="shared" si="167"/>
        <v>2172.99167859</v>
      </c>
      <c r="F408" s="632">
        <v>27</v>
      </c>
      <c r="G408" s="633">
        <f>F408*CCBASE!$B$51</f>
        <v>972</v>
      </c>
      <c r="H408" s="633">
        <f>CCBASE!$I$16*2</f>
        <v>158.00022014000001</v>
      </c>
      <c r="I408" s="633">
        <f>(CCBASE!$I$20)/1000*2*B408</f>
        <v>216.61892874999998</v>
      </c>
      <c r="J408" s="633"/>
      <c r="K408" s="633"/>
      <c r="L408" s="633"/>
      <c r="M408" s="633">
        <f>CCBASE!$I$6*B408/1000*2</f>
        <v>303.11863749999998</v>
      </c>
      <c r="N408" s="633">
        <f>CCBASE!$I$7*B408/1000*2</f>
        <v>78.855699999999999</v>
      </c>
      <c r="O408" s="633">
        <f>CCBASE!$I$45*B408/1000*2</f>
        <v>24.925000000000001</v>
      </c>
      <c r="P408" s="632"/>
      <c r="Q408" s="632"/>
      <c r="R408" s="633">
        <f>CCBASE!$I$4</f>
        <v>8.3986041999999994</v>
      </c>
      <c r="S408" s="638">
        <f>CCBASE!$I$8*2</f>
        <v>32.51052</v>
      </c>
      <c r="T408" s="632"/>
      <c r="U408" s="638">
        <f>CCBASE!$I$47*4</f>
        <v>57.64</v>
      </c>
      <c r="V408" s="632"/>
      <c r="W408" s="638">
        <f>CCBASE!$I$40*B408/1000*2</f>
        <v>103.27009999999999</v>
      </c>
      <c r="X408" s="638"/>
      <c r="Y408" s="638"/>
      <c r="Z408" s="638"/>
      <c r="AA408" s="638"/>
      <c r="AB408" s="638"/>
      <c r="AC408" s="638"/>
      <c r="AD408" s="638">
        <f>CCBASE!$I$32*4</f>
        <v>217.65396799999999</v>
      </c>
    </row>
    <row r="409" spans="1:45" x14ac:dyDescent="0.2">
      <c r="A409" s="631" t="s">
        <v>342</v>
      </c>
      <c r="B409" s="631">
        <v>1500</v>
      </c>
      <c r="C409" s="631">
        <v>2500</v>
      </c>
      <c r="D409" s="631" t="str">
        <f t="shared" si="168"/>
        <v>CMW-I-MUAP15002500</v>
      </c>
      <c r="E409" s="1054">
        <f t="shared" si="167"/>
        <v>2318.3493518400001</v>
      </c>
      <c r="F409" s="632">
        <v>27</v>
      </c>
      <c r="G409" s="633">
        <f>F409*CCBASE!$B$51</f>
        <v>972</v>
      </c>
      <c r="H409" s="633">
        <f>CCBASE!$I$16*2</f>
        <v>158.00022014000001</v>
      </c>
      <c r="I409" s="633">
        <f>(CCBASE!$I$20)/1000*2*B409</f>
        <v>259.94271449999997</v>
      </c>
      <c r="J409" s="633"/>
      <c r="K409" s="633"/>
      <c r="L409" s="633"/>
      <c r="M409" s="633">
        <f>CCBASE!$I$6*B409/1000*2</f>
        <v>363.74236499999995</v>
      </c>
      <c r="N409" s="633">
        <f>CCBASE!$I$7*B409/1000*2</f>
        <v>94.626840000000016</v>
      </c>
      <c r="O409" s="633">
        <f>CCBASE!$I$45*B409/1000*2</f>
        <v>29.910000000000004</v>
      </c>
      <c r="P409" s="632"/>
      <c r="Q409" s="632"/>
      <c r="R409" s="633">
        <f>CCBASE!$I$4</f>
        <v>8.3986041999999994</v>
      </c>
      <c r="S409" s="638">
        <f>CCBASE!$I$8*2</f>
        <v>32.51052</v>
      </c>
      <c r="T409" s="632"/>
      <c r="U409" s="638">
        <f>CCBASE!$I$47*4</f>
        <v>57.64</v>
      </c>
      <c r="V409" s="632"/>
      <c r="W409" s="638">
        <f>CCBASE!$I$40*B409/1000*2</f>
        <v>123.92412</v>
      </c>
      <c r="X409" s="638"/>
      <c r="Y409" s="638"/>
      <c r="Z409" s="638"/>
      <c r="AA409" s="638"/>
      <c r="AB409" s="638"/>
      <c r="AC409" s="638"/>
      <c r="AD409" s="638">
        <f>CCBASE!$I$32*4</f>
        <v>217.65396799999999</v>
      </c>
    </row>
    <row r="410" spans="1:45" x14ac:dyDescent="0.2">
      <c r="A410" s="631" t="s">
        <v>342</v>
      </c>
      <c r="B410" s="631">
        <v>1750</v>
      </c>
      <c r="C410" s="631">
        <v>2500</v>
      </c>
      <c r="D410" s="631" t="str">
        <f t="shared" ref="D410" si="170">A410&amp;B410&amp;C410</f>
        <v>CMW-I-MUAP17502500</v>
      </c>
      <c r="E410" s="1054">
        <f t="shared" si="167"/>
        <v>2463.7070250900001</v>
      </c>
      <c r="F410" s="632">
        <v>27</v>
      </c>
      <c r="G410" s="633">
        <f>F410*CCBASE!$B$51</f>
        <v>972</v>
      </c>
      <c r="H410" s="633">
        <f>CCBASE!$I$16*2</f>
        <v>158.00022014000001</v>
      </c>
      <c r="I410" s="633">
        <f>(CCBASE!$I$20)/1000*2*B410</f>
        <v>303.26650024999998</v>
      </c>
      <c r="J410" s="633"/>
      <c r="K410" s="633"/>
      <c r="L410" s="633"/>
      <c r="M410" s="633">
        <f>CCBASE!$I$6*B410/1000*2</f>
        <v>424.36609249999992</v>
      </c>
      <c r="N410" s="633">
        <f>CCBASE!$I$7*B410/1000*2</f>
        <v>110.39798</v>
      </c>
      <c r="O410" s="633">
        <f>CCBASE!$I$45*B410/1000*2</f>
        <v>34.895000000000003</v>
      </c>
      <c r="P410" s="632"/>
      <c r="Q410" s="632"/>
      <c r="R410" s="633">
        <f>CCBASE!$I$4</f>
        <v>8.3986041999999994</v>
      </c>
      <c r="S410" s="638">
        <f>CCBASE!$I$8*2</f>
        <v>32.51052</v>
      </c>
      <c r="T410" s="632"/>
      <c r="U410" s="638">
        <f>CCBASE!$I$47*4</f>
        <v>57.64</v>
      </c>
      <c r="V410" s="632"/>
      <c r="W410" s="638">
        <f>CCBASE!$I$40*B410/1000*2</f>
        <v>144.57813999999999</v>
      </c>
      <c r="X410" s="638"/>
      <c r="Y410" s="638"/>
      <c r="Z410" s="638"/>
      <c r="AA410" s="638"/>
      <c r="AB410" s="638"/>
      <c r="AC410" s="638"/>
      <c r="AD410" s="638">
        <f>CCBASE!$I$32*4</f>
        <v>217.65396799999999</v>
      </c>
    </row>
    <row r="411" spans="1:45" x14ac:dyDescent="0.2">
      <c r="A411" s="631" t="s">
        <v>342</v>
      </c>
      <c r="B411" s="631">
        <v>2000</v>
      </c>
      <c r="C411" s="631">
        <v>2500</v>
      </c>
      <c r="D411" s="631" t="str">
        <f t="shared" si="168"/>
        <v>CMW-I-MUAP20002500</v>
      </c>
      <c r="E411" s="1054">
        <f t="shared" si="167"/>
        <v>2609.0646983399997</v>
      </c>
      <c r="F411" s="632">
        <v>27</v>
      </c>
      <c r="G411" s="633">
        <f>F411*CCBASE!$B$51</f>
        <v>972</v>
      </c>
      <c r="H411" s="633">
        <f>CCBASE!$I$16*2</f>
        <v>158.00022014000001</v>
      </c>
      <c r="I411" s="633">
        <f>(CCBASE!$I$20)/1000*2*B411</f>
        <v>346.59028599999999</v>
      </c>
      <c r="J411" s="633"/>
      <c r="K411" s="633"/>
      <c r="L411" s="633"/>
      <c r="M411" s="633">
        <f>CCBASE!$I$6*B411/1000*2</f>
        <v>484.9898199999999</v>
      </c>
      <c r="N411" s="633">
        <f>CCBASE!$I$7*B411/1000*2</f>
        <v>126.16912000000001</v>
      </c>
      <c r="O411" s="633">
        <f>CCBASE!$I$45*B411/1000*2</f>
        <v>39.880000000000003</v>
      </c>
      <c r="P411" s="632"/>
      <c r="Q411" s="632"/>
      <c r="R411" s="633">
        <f>CCBASE!$I$4</f>
        <v>8.3986041999999994</v>
      </c>
      <c r="S411" s="638">
        <f>CCBASE!$I$8*2</f>
        <v>32.51052</v>
      </c>
      <c r="T411" s="632"/>
      <c r="U411" s="638">
        <f>CCBASE!$I$47*4</f>
        <v>57.64</v>
      </c>
      <c r="V411" s="632"/>
      <c r="W411" s="638">
        <f>CCBASE!$I$40*B411/1000*2</f>
        <v>165.23215999999999</v>
      </c>
      <c r="X411" s="638"/>
      <c r="Y411" s="638"/>
      <c r="Z411" s="638"/>
      <c r="AA411" s="638"/>
      <c r="AB411" s="638"/>
      <c r="AC411" s="638"/>
      <c r="AD411" s="638">
        <f>CCBASE!$I$32*4</f>
        <v>217.65396799999999</v>
      </c>
    </row>
    <row r="412" spans="1:45" x14ac:dyDescent="0.2">
      <c r="A412" s="631" t="s">
        <v>342</v>
      </c>
      <c r="B412" s="631">
        <v>2250</v>
      </c>
      <c r="C412" s="631">
        <v>2500</v>
      </c>
      <c r="D412" s="631" t="str">
        <f t="shared" ref="D412" si="171">A412&amp;B412&amp;C412</f>
        <v>CMW-I-MUAP22502500</v>
      </c>
      <c r="E412" s="1054">
        <f t="shared" si="167"/>
        <v>2754.4223715899993</v>
      </c>
      <c r="F412" s="632">
        <v>27</v>
      </c>
      <c r="G412" s="633">
        <f>F412*CCBASE!$B$51</f>
        <v>972</v>
      </c>
      <c r="H412" s="633">
        <f>CCBASE!$I$16*2</f>
        <v>158.00022014000001</v>
      </c>
      <c r="I412" s="633">
        <f>(CCBASE!$I$20)/1000*2*B412</f>
        <v>389.91407174999995</v>
      </c>
      <c r="J412" s="633"/>
      <c r="K412" s="633"/>
      <c r="L412" s="633"/>
      <c r="M412" s="633">
        <f>CCBASE!$I$6*B412/1000*2</f>
        <v>545.61354749999987</v>
      </c>
      <c r="N412" s="633">
        <f>CCBASE!$I$7*B412/1000*2</f>
        <v>141.94026000000002</v>
      </c>
      <c r="O412" s="633">
        <f>CCBASE!$I$45*B412/1000*2</f>
        <v>44.865000000000002</v>
      </c>
      <c r="P412" s="632"/>
      <c r="Q412" s="632"/>
      <c r="R412" s="633">
        <f>CCBASE!$I$4</f>
        <v>8.3986041999999994</v>
      </c>
      <c r="S412" s="638">
        <f>CCBASE!$I$8*2</f>
        <v>32.51052</v>
      </c>
      <c r="T412" s="632"/>
      <c r="U412" s="638">
        <f>CCBASE!$I$47*4</f>
        <v>57.64</v>
      </c>
      <c r="V412" s="632"/>
      <c r="W412" s="638">
        <f>CCBASE!$I$40*B412/1000*2</f>
        <v>185.88618</v>
      </c>
      <c r="X412" s="638"/>
      <c r="Y412" s="638"/>
      <c r="Z412" s="638"/>
      <c r="AA412" s="638"/>
      <c r="AB412" s="638"/>
      <c r="AC412" s="638"/>
      <c r="AD412" s="638">
        <f>CCBASE!$I$32*4</f>
        <v>217.65396799999999</v>
      </c>
    </row>
    <row r="413" spans="1:45" x14ac:dyDescent="0.2">
      <c r="A413" s="631" t="s">
        <v>342</v>
      </c>
      <c r="B413" s="631">
        <v>2500</v>
      </c>
      <c r="C413" s="631">
        <v>2500</v>
      </c>
      <c r="D413" s="631" t="str">
        <f t="shared" si="168"/>
        <v>CMW-I-MUAP25002500</v>
      </c>
      <c r="E413" s="1054">
        <f t="shared" si="167"/>
        <v>2899.7800448399998</v>
      </c>
      <c r="F413" s="632">
        <v>27</v>
      </c>
      <c r="G413" s="633">
        <f>F413*CCBASE!$B$51</f>
        <v>972</v>
      </c>
      <c r="H413" s="633">
        <f>CCBASE!$I$16*2</f>
        <v>158.00022014000001</v>
      </c>
      <c r="I413" s="633">
        <f>(CCBASE!$I$20)/1000*2*B413</f>
        <v>433.23785749999996</v>
      </c>
      <c r="J413" s="633"/>
      <c r="K413" s="633"/>
      <c r="L413" s="633"/>
      <c r="M413" s="633">
        <f>CCBASE!$I$6*B413/1000*2</f>
        <v>606.23727499999995</v>
      </c>
      <c r="N413" s="633">
        <f>CCBASE!$I$7*B413/1000*2</f>
        <v>157.7114</v>
      </c>
      <c r="O413" s="633">
        <f>CCBASE!$I$45*B413/1000*2</f>
        <v>49.85</v>
      </c>
      <c r="P413" s="632"/>
      <c r="Q413" s="632"/>
      <c r="R413" s="633">
        <f>CCBASE!$I$4</f>
        <v>8.3986041999999994</v>
      </c>
      <c r="S413" s="638">
        <f>CCBASE!$I$8*2</f>
        <v>32.51052</v>
      </c>
      <c r="T413" s="632"/>
      <c r="U413" s="638">
        <f>CCBASE!$I$47*4</f>
        <v>57.64</v>
      </c>
      <c r="V413" s="632"/>
      <c r="W413" s="638">
        <f>CCBASE!$I$40*B413/1000*2</f>
        <v>206.54019999999997</v>
      </c>
      <c r="X413" s="638"/>
      <c r="Y413" s="638"/>
      <c r="Z413" s="638"/>
      <c r="AA413" s="638"/>
      <c r="AB413" s="638"/>
      <c r="AC413" s="638"/>
      <c r="AD413" s="638">
        <f>CCBASE!$I$32*4</f>
        <v>217.65396799999999</v>
      </c>
    </row>
    <row r="414" spans="1:45" x14ac:dyDescent="0.2">
      <c r="A414" s="631" t="s">
        <v>342</v>
      </c>
      <c r="B414" s="631">
        <v>2750</v>
      </c>
      <c r="C414" s="631">
        <v>2500</v>
      </c>
      <c r="D414" s="631" t="str">
        <f t="shared" ref="D414" si="172">A414&amp;B414&amp;C414</f>
        <v>CMW-I-MUAP27502500</v>
      </c>
      <c r="E414" s="1054">
        <f t="shared" si="167"/>
        <v>3045.1377180899995</v>
      </c>
      <c r="F414" s="632">
        <v>27</v>
      </c>
      <c r="G414" s="633">
        <f>F414*CCBASE!$B$51</f>
        <v>972</v>
      </c>
      <c r="H414" s="633">
        <f>CCBASE!$I$16*2</f>
        <v>158.00022014000001</v>
      </c>
      <c r="I414" s="633">
        <f>(CCBASE!$I$20)/1000*2*B414</f>
        <v>476.56164324999997</v>
      </c>
      <c r="J414" s="633"/>
      <c r="K414" s="633"/>
      <c r="L414" s="633"/>
      <c r="M414" s="633">
        <f>CCBASE!$I$6*B414/1000*2</f>
        <v>666.86100249999981</v>
      </c>
      <c r="N414" s="633">
        <f>CCBASE!$I$7*B414/1000*2</f>
        <v>173.48254</v>
      </c>
      <c r="O414" s="633">
        <f>CCBASE!$I$45*B414/1000*2</f>
        <v>54.835000000000001</v>
      </c>
      <c r="P414" s="632"/>
      <c r="Q414" s="632"/>
      <c r="R414" s="633">
        <f>CCBASE!$I$4</f>
        <v>8.3986041999999994</v>
      </c>
      <c r="S414" s="638">
        <f>CCBASE!$I$8*2</f>
        <v>32.51052</v>
      </c>
      <c r="T414" s="632"/>
      <c r="U414" s="638">
        <f>CCBASE!$I$47*4</f>
        <v>57.64</v>
      </c>
      <c r="V414" s="632"/>
      <c r="W414" s="638">
        <f>CCBASE!$I$40*B414/1000*2</f>
        <v>227.19422</v>
      </c>
      <c r="X414" s="638"/>
      <c r="Y414" s="638"/>
      <c r="Z414" s="638"/>
      <c r="AA414" s="638"/>
      <c r="AB414" s="638"/>
      <c r="AC414" s="638"/>
      <c r="AD414" s="638">
        <f>CCBASE!$I$32*4</f>
        <v>217.65396799999999</v>
      </c>
    </row>
    <row r="415" spans="1:45" x14ac:dyDescent="0.2">
      <c r="A415" s="631" t="s">
        <v>342</v>
      </c>
      <c r="B415" s="631">
        <v>3000</v>
      </c>
      <c r="C415" s="631">
        <v>2500</v>
      </c>
      <c r="D415" s="631" t="str">
        <f t="shared" si="168"/>
        <v>CMW-I-MUAP30002500</v>
      </c>
      <c r="E415" s="1054">
        <f t="shared" si="167"/>
        <v>3190.49539134</v>
      </c>
      <c r="F415" s="632">
        <v>27</v>
      </c>
      <c r="G415" s="633">
        <f>F415*CCBASE!$B$51</f>
        <v>972</v>
      </c>
      <c r="H415" s="633">
        <f>CCBASE!$I$16*2</f>
        <v>158.00022014000001</v>
      </c>
      <c r="I415" s="633">
        <f>(CCBASE!$I$20)/1000*2*B415</f>
        <v>519.88542899999993</v>
      </c>
      <c r="J415" s="633"/>
      <c r="K415" s="633"/>
      <c r="L415" s="633"/>
      <c r="M415" s="633">
        <f>CCBASE!$I$6*B415/1000*2</f>
        <v>727.4847299999999</v>
      </c>
      <c r="N415" s="633">
        <f>CCBASE!$I$7*B415/1000*2</f>
        <v>189.25368000000003</v>
      </c>
      <c r="O415" s="633">
        <f>CCBASE!$I$45*B415/1000*2</f>
        <v>59.820000000000007</v>
      </c>
      <c r="P415" s="632"/>
      <c r="Q415" s="632"/>
      <c r="R415" s="633">
        <f>CCBASE!$I$4</f>
        <v>8.3986041999999994</v>
      </c>
      <c r="S415" s="638">
        <f>CCBASE!$I$8*2</f>
        <v>32.51052</v>
      </c>
      <c r="T415" s="632"/>
      <c r="U415" s="638">
        <f>CCBASE!$I$47*4</f>
        <v>57.64</v>
      </c>
      <c r="V415" s="632"/>
      <c r="W415" s="638">
        <f>CCBASE!$I$40*B415/1000*2</f>
        <v>247.84824</v>
      </c>
      <c r="X415" s="638"/>
      <c r="Y415" s="638"/>
      <c r="Z415" s="638"/>
      <c r="AA415" s="638"/>
      <c r="AB415" s="638"/>
      <c r="AC415" s="638"/>
      <c r="AD415" s="638">
        <f>CCBASE!$I$32*4</f>
        <v>217.65396799999999</v>
      </c>
    </row>
    <row r="416" spans="1:45" x14ac:dyDescent="0.2">
      <c r="A416" s="631" t="s">
        <v>349</v>
      </c>
      <c r="B416" s="631">
        <v>1000</v>
      </c>
      <c r="C416" s="631">
        <v>1000</v>
      </c>
      <c r="D416" s="631" t="str">
        <f t="shared" ref="D416:D433" si="173">$A416&amp;B416&amp;C416</f>
        <v>KVI-LL10001000</v>
      </c>
      <c r="E416" s="1054">
        <f t="shared" si="167"/>
        <v>0</v>
      </c>
      <c r="F416" s="632"/>
      <c r="G416" s="633">
        <f>F416*CCBASE!$B$51</f>
        <v>0</v>
      </c>
      <c r="H416" s="633"/>
      <c r="I416" s="633"/>
      <c r="J416" s="633"/>
      <c r="K416" s="633"/>
      <c r="L416" s="632"/>
      <c r="M416" s="633"/>
      <c r="N416" s="633"/>
      <c r="O416" s="633"/>
      <c r="P416" s="633"/>
      <c r="Q416" s="633"/>
      <c r="R416" s="633"/>
      <c r="S416" s="633"/>
      <c r="T416" s="632"/>
      <c r="U416" s="633"/>
      <c r="V416" s="633"/>
      <c r="W416" s="633"/>
      <c r="X416" s="633"/>
      <c r="Y416" s="633"/>
      <c r="Z416" s="633"/>
      <c r="AA416" s="633"/>
      <c r="AB416" s="633"/>
      <c r="AC416" s="633"/>
      <c r="AD416" s="633"/>
      <c r="AI416" s="635"/>
      <c r="AJ416" s="635"/>
      <c r="AK416" s="636"/>
      <c r="AL416" s="636"/>
      <c r="AM416" s="636"/>
      <c r="AN416" s="636"/>
      <c r="AO416" s="636"/>
      <c r="AP416" s="636"/>
      <c r="AQ416" s="636"/>
      <c r="AR416" s="636"/>
      <c r="AS416" s="636"/>
    </row>
    <row r="417" spans="1:45" x14ac:dyDescent="0.2">
      <c r="A417" s="631" t="s">
        <v>349</v>
      </c>
      <c r="B417" s="631">
        <v>1250</v>
      </c>
      <c r="C417" s="631">
        <v>1000</v>
      </c>
      <c r="D417" s="631" t="str">
        <f t="shared" si="173"/>
        <v>KVI-LL12501000</v>
      </c>
      <c r="E417" s="1054">
        <f t="shared" si="167"/>
        <v>0</v>
      </c>
      <c r="F417" s="632"/>
      <c r="G417" s="633">
        <f>F417*CCBASE!$B$51</f>
        <v>0</v>
      </c>
      <c r="H417" s="633"/>
      <c r="I417" s="633"/>
      <c r="J417" s="633"/>
      <c r="K417" s="633"/>
      <c r="L417" s="632"/>
      <c r="M417" s="633"/>
      <c r="N417" s="633"/>
      <c r="O417" s="633"/>
      <c r="P417" s="633"/>
      <c r="Q417" s="633"/>
      <c r="R417" s="633"/>
      <c r="S417" s="633"/>
      <c r="T417" s="632"/>
      <c r="U417" s="633"/>
      <c r="V417" s="633"/>
      <c r="W417" s="633"/>
      <c r="X417" s="633"/>
      <c r="Y417" s="633"/>
      <c r="Z417" s="633"/>
      <c r="AA417" s="633"/>
      <c r="AB417" s="633"/>
      <c r="AC417" s="633"/>
      <c r="AD417" s="633"/>
      <c r="AI417" s="635"/>
      <c r="AJ417" s="635"/>
      <c r="AK417" s="636"/>
      <c r="AL417" s="636"/>
      <c r="AM417" s="636"/>
      <c r="AN417" s="636"/>
      <c r="AO417" s="636"/>
      <c r="AP417" s="636"/>
      <c r="AQ417" s="636"/>
      <c r="AR417" s="636"/>
      <c r="AS417" s="636"/>
    </row>
    <row r="418" spans="1:45" x14ac:dyDescent="0.2">
      <c r="A418" s="631" t="s">
        <v>349</v>
      </c>
      <c r="B418" s="631">
        <v>1500</v>
      </c>
      <c r="C418" s="631">
        <v>1000</v>
      </c>
      <c r="D418" s="631" t="str">
        <f t="shared" si="173"/>
        <v>KVI-LL15001000</v>
      </c>
      <c r="E418" s="1054">
        <f t="shared" si="167"/>
        <v>0</v>
      </c>
      <c r="F418" s="632"/>
      <c r="G418" s="633">
        <f>F418*CCBASE!$B$51</f>
        <v>0</v>
      </c>
      <c r="H418" s="633"/>
      <c r="I418" s="633"/>
      <c r="J418" s="633"/>
      <c r="K418" s="633"/>
      <c r="L418" s="632"/>
      <c r="M418" s="633"/>
      <c r="N418" s="633"/>
      <c r="O418" s="633"/>
      <c r="P418" s="633"/>
      <c r="Q418" s="633"/>
      <c r="R418" s="633"/>
      <c r="S418" s="633"/>
      <c r="T418" s="632"/>
      <c r="U418" s="633"/>
      <c r="V418" s="633"/>
      <c r="W418" s="633"/>
      <c r="X418" s="633"/>
      <c r="Y418" s="633"/>
      <c r="Z418" s="633"/>
      <c r="AA418" s="633"/>
      <c r="AB418" s="633"/>
      <c r="AC418" s="633"/>
      <c r="AD418" s="633"/>
      <c r="AI418" s="635"/>
      <c r="AJ418" s="635"/>
      <c r="AK418" s="636"/>
      <c r="AL418" s="636"/>
      <c r="AM418" s="636"/>
      <c r="AN418" s="636"/>
      <c r="AO418" s="636"/>
      <c r="AP418" s="636"/>
      <c r="AQ418" s="636"/>
      <c r="AR418" s="636"/>
      <c r="AS418" s="636"/>
    </row>
    <row r="419" spans="1:45" x14ac:dyDescent="0.2">
      <c r="A419" s="631" t="s">
        <v>349</v>
      </c>
      <c r="B419" s="631">
        <v>1750</v>
      </c>
      <c r="C419" s="631">
        <v>1000</v>
      </c>
      <c r="D419" s="631" t="str">
        <f t="shared" si="173"/>
        <v>KVI-LL17501000</v>
      </c>
      <c r="E419" s="1054">
        <f t="shared" si="167"/>
        <v>0</v>
      </c>
      <c r="F419" s="632"/>
      <c r="G419" s="633">
        <f>F419*CCBASE!$B$51</f>
        <v>0</v>
      </c>
      <c r="H419" s="633"/>
      <c r="I419" s="633"/>
      <c r="J419" s="633"/>
      <c r="K419" s="633"/>
      <c r="L419" s="632"/>
      <c r="M419" s="633"/>
      <c r="N419" s="633"/>
      <c r="O419" s="633"/>
      <c r="P419" s="633"/>
      <c r="Q419" s="633"/>
      <c r="R419" s="633"/>
      <c r="S419" s="633"/>
      <c r="T419" s="632"/>
      <c r="U419" s="633"/>
      <c r="V419" s="633"/>
      <c r="W419" s="633"/>
      <c r="X419" s="633"/>
      <c r="Y419" s="633"/>
      <c r="Z419" s="633"/>
      <c r="AA419" s="633"/>
      <c r="AB419" s="633"/>
      <c r="AC419" s="633"/>
      <c r="AD419" s="633"/>
      <c r="AI419" s="635"/>
      <c r="AJ419" s="635"/>
      <c r="AN419" s="636"/>
      <c r="AO419" s="636"/>
      <c r="AP419" s="636"/>
      <c r="AQ419" s="636"/>
      <c r="AR419" s="636"/>
      <c r="AS419" s="636"/>
    </row>
    <row r="420" spans="1:45" x14ac:dyDescent="0.2">
      <c r="A420" s="631" t="s">
        <v>349</v>
      </c>
      <c r="B420" s="631">
        <v>2000</v>
      </c>
      <c r="C420" s="631">
        <v>1000</v>
      </c>
      <c r="D420" s="631" t="str">
        <f t="shared" si="173"/>
        <v>KVI-LL20001000</v>
      </c>
      <c r="E420" s="1054">
        <f t="shared" si="167"/>
        <v>0</v>
      </c>
      <c r="F420" s="632"/>
      <c r="G420" s="633">
        <f>F420*CCBASE!$B$51</f>
        <v>0</v>
      </c>
      <c r="H420" s="633"/>
      <c r="I420" s="633"/>
      <c r="J420" s="633"/>
      <c r="K420" s="633"/>
      <c r="L420" s="632"/>
      <c r="M420" s="633"/>
      <c r="N420" s="633"/>
      <c r="O420" s="633"/>
      <c r="P420" s="633"/>
      <c r="Q420" s="633"/>
      <c r="R420" s="633"/>
      <c r="S420" s="633"/>
      <c r="T420" s="632"/>
      <c r="U420" s="633"/>
      <c r="V420" s="633"/>
      <c r="W420" s="633"/>
      <c r="X420" s="633"/>
      <c r="Y420" s="633"/>
      <c r="Z420" s="633"/>
      <c r="AA420" s="633"/>
      <c r="AB420" s="633"/>
      <c r="AC420" s="633"/>
      <c r="AD420" s="633"/>
      <c r="AI420" s="635"/>
      <c r="AJ420" s="635"/>
      <c r="AN420" s="636"/>
      <c r="AO420" s="636"/>
      <c r="AP420" s="636"/>
      <c r="AQ420" s="636"/>
      <c r="AR420" s="636"/>
      <c r="AS420" s="636"/>
    </row>
    <row r="421" spans="1:45" x14ac:dyDescent="0.2">
      <c r="A421" s="631" t="s">
        <v>349</v>
      </c>
      <c r="B421" s="631">
        <v>2250</v>
      </c>
      <c r="C421" s="631">
        <v>1000</v>
      </c>
      <c r="D421" s="631" t="str">
        <f t="shared" si="173"/>
        <v>KVI-LL22501000</v>
      </c>
      <c r="E421" s="1054">
        <f t="shared" si="167"/>
        <v>0</v>
      </c>
      <c r="F421" s="632"/>
      <c r="G421" s="633">
        <f>F421*CCBASE!$B$51</f>
        <v>0</v>
      </c>
      <c r="H421" s="633"/>
      <c r="I421" s="633"/>
      <c r="J421" s="633"/>
      <c r="K421" s="633"/>
      <c r="L421" s="632"/>
      <c r="M421" s="633"/>
      <c r="N421" s="633"/>
      <c r="O421" s="633"/>
      <c r="P421" s="633"/>
      <c r="Q421" s="633"/>
      <c r="R421" s="633"/>
      <c r="S421" s="633"/>
      <c r="T421" s="632"/>
      <c r="U421" s="633"/>
      <c r="V421" s="633"/>
      <c r="W421" s="633"/>
      <c r="X421" s="633"/>
      <c r="Y421" s="633"/>
      <c r="Z421" s="633"/>
      <c r="AA421" s="633"/>
      <c r="AB421" s="633"/>
      <c r="AC421" s="633"/>
      <c r="AD421" s="633"/>
      <c r="AI421" s="635"/>
      <c r="AJ421" s="635"/>
      <c r="AN421" s="636"/>
      <c r="AO421" s="636"/>
      <c r="AP421" s="636"/>
      <c r="AQ421" s="636"/>
      <c r="AR421" s="636"/>
      <c r="AS421" s="636"/>
    </row>
    <row r="422" spans="1:45" x14ac:dyDescent="0.2">
      <c r="A422" s="631" t="s">
        <v>349</v>
      </c>
      <c r="B422" s="631">
        <v>2500</v>
      </c>
      <c r="C422" s="631">
        <v>1000</v>
      </c>
      <c r="D422" s="631" t="str">
        <f t="shared" si="173"/>
        <v>KVI-LL25001000</v>
      </c>
      <c r="E422" s="1054">
        <f t="shared" si="167"/>
        <v>0</v>
      </c>
      <c r="F422" s="632"/>
      <c r="G422" s="633">
        <f>F422*CCBASE!$B$51</f>
        <v>0</v>
      </c>
      <c r="H422" s="633"/>
      <c r="I422" s="633"/>
      <c r="J422" s="633"/>
      <c r="K422" s="633"/>
      <c r="L422" s="632"/>
      <c r="M422" s="633"/>
      <c r="N422" s="633"/>
      <c r="O422" s="633"/>
      <c r="P422" s="633"/>
      <c r="Q422" s="633"/>
      <c r="R422" s="633"/>
      <c r="S422" s="633"/>
      <c r="T422" s="632"/>
      <c r="U422" s="633"/>
      <c r="V422" s="633"/>
      <c r="W422" s="633"/>
      <c r="X422" s="633"/>
      <c r="Y422" s="633"/>
      <c r="Z422" s="633"/>
      <c r="AA422" s="633"/>
      <c r="AB422" s="633"/>
      <c r="AC422" s="633"/>
      <c r="AD422" s="633"/>
      <c r="AI422" s="635"/>
      <c r="AJ422" s="635"/>
      <c r="AN422" s="636"/>
      <c r="AO422" s="636"/>
      <c r="AP422" s="636"/>
      <c r="AQ422" s="636"/>
      <c r="AR422" s="636"/>
      <c r="AS422" s="636"/>
    </row>
    <row r="423" spans="1:45" x14ac:dyDescent="0.2">
      <c r="A423" s="631" t="s">
        <v>349</v>
      </c>
      <c r="B423" s="631">
        <v>2750</v>
      </c>
      <c r="C423" s="631">
        <v>1000</v>
      </c>
      <c r="D423" s="631" t="str">
        <f t="shared" si="173"/>
        <v>KVI-LL27501000</v>
      </c>
      <c r="E423" s="1054">
        <f t="shared" si="167"/>
        <v>0</v>
      </c>
      <c r="F423" s="632"/>
      <c r="G423" s="633">
        <f>F423*CCBASE!$B$51</f>
        <v>0</v>
      </c>
      <c r="H423" s="633"/>
      <c r="I423" s="633"/>
      <c r="J423" s="633"/>
      <c r="K423" s="633"/>
      <c r="L423" s="632"/>
      <c r="M423" s="633"/>
      <c r="N423" s="633"/>
      <c r="O423" s="633"/>
      <c r="P423" s="633"/>
      <c r="Q423" s="633"/>
      <c r="R423" s="633"/>
      <c r="S423" s="633"/>
      <c r="T423" s="632"/>
      <c r="U423" s="633"/>
      <c r="V423" s="633"/>
      <c r="W423" s="633"/>
      <c r="X423" s="633"/>
      <c r="Y423" s="633"/>
      <c r="Z423" s="633"/>
      <c r="AA423" s="633"/>
      <c r="AB423" s="633"/>
      <c r="AC423" s="633"/>
      <c r="AD423" s="633"/>
      <c r="AI423" s="635"/>
      <c r="AJ423" s="635"/>
      <c r="AN423" s="636"/>
      <c r="AO423" s="636"/>
      <c r="AP423" s="636"/>
      <c r="AQ423" s="636"/>
      <c r="AR423" s="636"/>
      <c r="AS423" s="636"/>
    </row>
    <row r="424" spans="1:45" x14ac:dyDescent="0.2">
      <c r="A424" s="631" t="s">
        <v>349</v>
      </c>
      <c r="B424" s="631">
        <v>3000</v>
      </c>
      <c r="C424" s="631">
        <v>1000</v>
      </c>
      <c r="D424" s="631" t="str">
        <f t="shared" si="173"/>
        <v>KVI-LL30001000</v>
      </c>
      <c r="E424" s="1054">
        <f t="shared" si="167"/>
        <v>0</v>
      </c>
      <c r="F424" s="632"/>
      <c r="G424" s="633">
        <f>F424*CCBASE!$B$51</f>
        <v>0</v>
      </c>
      <c r="H424" s="633"/>
      <c r="I424" s="633"/>
      <c r="J424" s="633"/>
      <c r="K424" s="633"/>
      <c r="L424" s="632"/>
      <c r="M424" s="633"/>
      <c r="N424" s="633"/>
      <c r="O424" s="633"/>
      <c r="P424" s="633"/>
      <c r="Q424" s="633"/>
      <c r="R424" s="633"/>
      <c r="S424" s="633"/>
      <c r="T424" s="632"/>
      <c r="U424" s="633"/>
      <c r="V424" s="633"/>
      <c r="W424" s="633"/>
      <c r="X424" s="633"/>
      <c r="Y424" s="633"/>
      <c r="Z424" s="633"/>
      <c r="AA424" s="633"/>
      <c r="AB424" s="633"/>
      <c r="AC424" s="633"/>
      <c r="AD424" s="633"/>
      <c r="AI424" s="635"/>
      <c r="AJ424" s="635"/>
      <c r="AN424" s="636"/>
      <c r="AO424" s="636"/>
      <c r="AP424" s="636"/>
      <c r="AQ424" s="636"/>
      <c r="AR424" s="636"/>
      <c r="AS424" s="636"/>
    </row>
    <row r="425" spans="1:45" x14ac:dyDescent="0.2">
      <c r="A425" s="631" t="s">
        <v>350</v>
      </c>
      <c r="B425" s="631">
        <v>1000</v>
      </c>
      <c r="C425" s="631">
        <v>1000</v>
      </c>
      <c r="D425" s="631" t="str">
        <f t="shared" si="173"/>
        <v>UVI-LL10001000</v>
      </c>
      <c r="E425" s="1054">
        <f t="shared" si="167"/>
        <v>0</v>
      </c>
      <c r="F425" s="632"/>
      <c r="G425" s="633">
        <f>F425*CCBASE!$B$51</f>
        <v>0</v>
      </c>
      <c r="H425" s="633"/>
      <c r="I425" s="633"/>
      <c r="J425" s="633"/>
      <c r="K425" s="633"/>
      <c r="L425" s="632"/>
      <c r="M425" s="633"/>
      <c r="N425" s="633"/>
      <c r="O425" s="633"/>
      <c r="P425" s="633"/>
      <c r="Q425" s="633"/>
      <c r="R425" s="633"/>
      <c r="S425" s="633"/>
      <c r="T425" s="632"/>
      <c r="U425" s="633"/>
      <c r="V425" s="633"/>
      <c r="W425" s="633"/>
      <c r="X425" s="633"/>
      <c r="Y425" s="633"/>
      <c r="Z425" s="633"/>
      <c r="AA425" s="633"/>
      <c r="AB425" s="633"/>
      <c r="AC425" s="633"/>
      <c r="AD425" s="633"/>
      <c r="AI425" s="635"/>
      <c r="AJ425" s="635"/>
      <c r="AK425" s="636"/>
      <c r="AL425" s="636"/>
      <c r="AM425" s="636"/>
      <c r="AN425" s="636"/>
      <c r="AO425" s="636"/>
      <c r="AP425" s="636"/>
      <c r="AQ425" s="636"/>
      <c r="AR425" s="636"/>
      <c r="AS425" s="636"/>
    </row>
    <row r="426" spans="1:45" x14ac:dyDescent="0.2">
      <c r="A426" s="631" t="s">
        <v>350</v>
      </c>
      <c r="B426" s="631">
        <v>1250</v>
      </c>
      <c r="C426" s="631">
        <v>1000</v>
      </c>
      <c r="D426" s="631" t="str">
        <f t="shared" si="173"/>
        <v>UVI-LL12501000</v>
      </c>
      <c r="E426" s="1054">
        <f t="shared" si="167"/>
        <v>0</v>
      </c>
      <c r="F426" s="632"/>
      <c r="G426" s="633">
        <f>F426*CCBASE!$B$51</f>
        <v>0</v>
      </c>
      <c r="H426" s="633"/>
      <c r="I426" s="633"/>
      <c r="J426" s="633"/>
      <c r="K426" s="633"/>
      <c r="L426" s="632"/>
      <c r="M426" s="633"/>
      <c r="N426" s="633"/>
      <c r="O426" s="633"/>
      <c r="P426" s="633"/>
      <c r="Q426" s="633"/>
      <c r="R426" s="633"/>
      <c r="S426" s="633"/>
      <c r="T426" s="632"/>
      <c r="U426" s="633"/>
      <c r="V426" s="633"/>
      <c r="W426" s="633"/>
      <c r="X426" s="633"/>
      <c r="Y426" s="633"/>
      <c r="Z426" s="633"/>
      <c r="AA426" s="633"/>
      <c r="AB426" s="633"/>
      <c r="AC426" s="633"/>
      <c r="AD426" s="633"/>
      <c r="AI426" s="635"/>
      <c r="AJ426" s="635"/>
      <c r="AK426" s="636"/>
      <c r="AL426" s="636"/>
      <c r="AM426" s="636"/>
      <c r="AN426" s="636"/>
      <c r="AO426" s="636"/>
      <c r="AP426" s="636"/>
      <c r="AQ426" s="636"/>
      <c r="AR426" s="636"/>
      <c r="AS426" s="636"/>
    </row>
    <row r="427" spans="1:45" x14ac:dyDescent="0.2">
      <c r="A427" s="631" t="s">
        <v>350</v>
      </c>
      <c r="B427" s="631">
        <v>1500</v>
      </c>
      <c r="C427" s="631">
        <v>1000</v>
      </c>
      <c r="D427" s="631" t="str">
        <f t="shared" si="173"/>
        <v>UVI-LL15001000</v>
      </c>
      <c r="E427" s="1054">
        <f t="shared" si="167"/>
        <v>0</v>
      </c>
      <c r="F427" s="632"/>
      <c r="G427" s="633">
        <f>F427*CCBASE!$B$51</f>
        <v>0</v>
      </c>
      <c r="H427" s="633"/>
      <c r="I427" s="633"/>
      <c r="J427" s="633"/>
      <c r="K427" s="633"/>
      <c r="L427" s="632"/>
      <c r="M427" s="633"/>
      <c r="N427" s="633"/>
      <c r="O427" s="633"/>
      <c r="P427" s="633"/>
      <c r="Q427" s="633"/>
      <c r="R427" s="633"/>
      <c r="S427" s="633"/>
      <c r="T427" s="632"/>
      <c r="U427" s="633"/>
      <c r="V427" s="633"/>
      <c r="W427" s="633"/>
      <c r="X427" s="633"/>
      <c r="Y427" s="633"/>
      <c r="Z427" s="633"/>
      <c r="AA427" s="633"/>
      <c r="AB427" s="633"/>
      <c r="AC427" s="633"/>
      <c r="AD427" s="633"/>
      <c r="AI427" s="635"/>
      <c r="AJ427" s="635"/>
      <c r="AK427" s="636"/>
      <c r="AL427" s="636"/>
      <c r="AM427" s="636"/>
      <c r="AN427" s="636"/>
      <c r="AO427" s="636"/>
      <c r="AP427" s="636"/>
      <c r="AQ427" s="636"/>
      <c r="AR427" s="636"/>
      <c r="AS427" s="636"/>
    </row>
    <row r="428" spans="1:45" x14ac:dyDescent="0.2">
      <c r="A428" s="631" t="s">
        <v>350</v>
      </c>
      <c r="B428" s="631">
        <v>1750</v>
      </c>
      <c r="C428" s="631">
        <v>1000</v>
      </c>
      <c r="D428" s="631" t="str">
        <f t="shared" si="173"/>
        <v>UVI-LL17501000</v>
      </c>
      <c r="E428" s="1054">
        <f t="shared" si="167"/>
        <v>0</v>
      </c>
      <c r="F428" s="632"/>
      <c r="G428" s="633">
        <f>F428*CCBASE!$B$51</f>
        <v>0</v>
      </c>
      <c r="H428" s="633"/>
      <c r="I428" s="633"/>
      <c r="J428" s="633"/>
      <c r="K428" s="633"/>
      <c r="L428" s="632"/>
      <c r="M428" s="633"/>
      <c r="N428" s="633"/>
      <c r="O428" s="633"/>
      <c r="P428" s="633"/>
      <c r="Q428" s="633"/>
      <c r="R428" s="633"/>
      <c r="S428" s="633"/>
      <c r="T428" s="632"/>
      <c r="U428" s="633"/>
      <c r="V428" s="633"/>
      <c r="W428" s="633"/>
      <c r="X428" s="633"/>
      <c r="Y428" s="633"/>
      <c r="Z428" s="633"/>
      <c r="AA428" s="633"/>
      <c r="AB428" s="633"/>
      <c r="AC428" s="633"/>
      <c r="AD428" s="633"/>
      <c r="AI428" s="635"/>
      <c r="AJ428" s="635"/>
      <c r="AN428" s="636"/>
      <c r="AO428" s="636"/>
      <c r="AP428" s="636"/>
      <c r="AQ428" s="636"/>
      <c r="AR428" s="636"/>
      <c r="AS428" s="636"/>
    </row>
    <row r="429" spans="1:45" x14ac:dyDescent="0.2">
      <c r="A429" s="631" t="s">
        <v>350</v>
      </c>
      <c r="B429" s="631">
        <v>2000</v>
      </c>
      <c r="C429" s="631">
        <v>1000</v>
      </c>
      <c r="D429" s="631" t="str">
        <f t="shared" si="173"/>
        <v>UVI-LL20001000</v>
      </c>
      <c r="E429" s="1054">
        <f t="shared" si="167"/>
        <v>0</v>
      </c>
      <c r="F429" s="632"/>
      <c r="G429" s="633">
        <f>F429*CCBASE!$B$51</f>
        <v>0</v>
      </c>
      <c r="H429" s="633"/>
      <c r="I429" s="633"/>
      <c r="J429" s="633"/>
      <c r="K429" s="633"/>
      <c r="L429" s="632"/>
      <c r="M429" s="633"/>
      <c r="N429" s="633"/>
      <c r="O429" s="633"/>
      <c r="P429" s="633"/>
      <c r="Q429" s="633"/>
      <c r="R429" s="633"/>
      <c r="S429" s="633"/>
      <c r="T429" s="632"/>
      <c r="U429" s="633"/>
      <c r="V429" s="633"/>
      <c r="W429" s="633"/>
      <c r="X429" s="633"/>
      <c r="Y429" s="633"/>
      <c r="Z429" s="633"/>
      <c r="AA429" s="633"/>
      <c r="AB429" s="633"/>
      <c r="AC429" s="633"/>
      <c r="AD429" s="633"/>
      <c r="AI429" s="635"/>
      <c r="AJ429" s="635"/>
      <c r="AN429" s="636"/>
      <c r="AO429" s="636"/>
      <c r="AP429" s="636"/>
      <c r="AQ429" s="636"/>
      <c r="AR429" s="636"/>
      <c r="AS429" s="636"/>
    </row>
    <row r="430" spans="1:45" x14ac:dyDescent="0.2">
      <c r="A430" s="631" t="s">
        <v>350</v>
      </c>
      <c r="B430" s="631">
        <v>2250</v>
      </c>
      <c r="C430" s="631">
        <v>1000</v>
      </c>
      <c r="D430" s="631" t="str">
        <f t="shared" si="173"/>
        <v>UVI-LL22501000</v>
      </c>
      <c r="E430" s="1054">
        <f t="shared" si="167"/>
        <v>0</v>
      </c>
      <c r="F430" s="632"/>
      <c r="G430" s="633">
        <f>F430*CCBASE!$B$51</f>
        <v>0</v>
      </c>
      <c r="H430" s="633"/>
      <c r="I430" s="633"/>
      <c r="J430" s="633"/>
      <c r="K430" s="633"/>
      <c r="L430" s="632"/>
      <c r="M430" s="633"/>
      <c r="N430" s="633"/>
      <c r="O430" s="633"/>
      <c r="P430" s="633"/>
      <c r="Q430" s="633"/>
      <c r="R430" s="633"/>
      <c r="S430" s="633"/>
      <c r="T430" s="632"/>
      <c r="U430" s="633"/>
      <c r="V430" s="633"/>
      <c r="W430" s="633"/>
      <c r="X430" s="633"/>
      <c r="Y430" s="633"/>
      <c r="Z430" s="633"/>
      <c r="AA430" s="633"/>
      <c r="AB430" s="633"/>
      <c r="AC430" s="633"/>
      <c r="AD430" s="633"/>
      <c r="AI430" s="635"/>
      <c r="AJ430" s="635"/>
      <c r="AN430" s="636"/>
      <c r="AO430" s="636"/>
      <c r="AP430" s="636"/>
      <c r="AQ430" s="636"/>
      <c r="AR430" s="636"/>
      <c r="AS430" s="636"/>
    </row>
    <row r="431" spans="1:45" x14ac:dyDescent="0.2">
      <c r="A431" s="631" t="s">
        <v>350</v>
      </c>
      <c r="B431" s="631">
        <v>2500</v>
      </c>
      <c r="C431" s="631">
        <v>1000</v>
      </c>
      <c r="D431" s="631" t="str">
        <f t="shared" si="173"/>
        <v>UVI-LL25001000</v>
      </c>
      <c r="E431" s="1054">
        <f t="shared" si="167"/>
        <v>0</v>
      </c>
      <c r="F431" s="632"/>
      <c r="G431" s="633">
        <f>F431*CCBASE!$B$51</f>
        <v>0</v>
      </c>
      <c r="H431" s="633"/>
      <c r="I431" s="633"/>
      <c r="J431" s="633"/>
      <c r="K431" s="633"/>
      <c r="L431" s="632"/>
      <c r="M431" s="633"/>
      <c r="N431" s="633"/>
      <c r="O431" s="633"/>
      <c r="P431" s="633"/>
      <c r="Q431" s="633"/>
      <c r="R431" s="633"/>
      <c r="S431" s="633"/>
      <c r="T431" s="632"/>
      <c r="U431" s="633"/>
      <c r="V431" s="633"/>
      <c r="W431" s="633"/>
      <c r="X431" s="633"/>
      <c r="Y431" s="633"/>
      <c r="Z431" s="633"/>
      <c r="AA431" s="633"/>
      <c r="AB431" s="633"/>
      <c r="AC431" s="633"/>
      <c r="AD431" s="633"/>
      <c r="AI431" s="635"/>
      <c r="AJ431" s="635"/>
      <c r="AN431" s="636"/>
      <c r="AO431" s="636"/>
      <c r="AP431" s="636"/>
      <c r="AQ431" s="636"/>
      <c r="AR431" s="636"/>
      <c r="AS431" s="636"/>
    </row>
    <row r="432" spans="1:45" x14ac:dyDescent="0.2">
      <c r="A432" s="631" t="s">
        <v>350</v>
      </c>
      <c r="B432" s="631">
        <v>2750</v>
      </c>
      <c r="C432" s="631">
        <v>1000</v>
      </c>
      <c r="D432" s="631" t="str">
        <f t="shared" si="173"/>
        <v>UVI-LL27501000</v>
      </c>
      <c r="E432" s="1054">
        <f t="shared" si="167"/>
        <v>0</v>
      </c>
      <c r="F432" s="632"/>
      <c r="G432" s="633">
        <f>F432*CCBASE!$B$51</f>
        <v>0</v>
      </c>
      <c r="H432" s="633"/>
      <c r="I432" s="633"/>
      <c r="J432" s="633"/>
      <c r="K432" s="633"/>
      <c r="L432" s="632"/>
      <c r="M432" s="633"/>
      <c r="N432" s="633"/>
      <c r="O432" s="633"/>
      <c r="P432" s="633"/>
      <c r="Q432" s="633"/>
      <c r="R432" s="633"/>
      <c r="S432" s="633"/>
      <c r="T432" s="632"/>
      <c r="U432" s="633"/>
      <c r="V432" s="633"/>
      <c r="W432" s="633"/>
      <c r="X432" s="633"/>
      <c r="Y432" s="633"/>
      <c r="Z432" s="633"/>
      <c r="AA432" s="633"/>
      <c r="AB432" s="633"/>
      <c r="AC432" s="633"/>
      <c r="AD432" s="633"/>
      <c r="AI432" s="635"/>
      <c r="AJ432" s="635"/>
      <c r="AN432" s="636"/>
      <c r="AO432" s="636"/>
      <c r="AP432" s="636"/>
      <c r="AQ432" s="636"/>
      <c r="AR432" s="636"/>
      <c r="AS432" s="636"/>
    </row>
    <row r="433" spans="1:45" x14ac:dyDescent="0.2">
      <c r="A433" s="631" t="s">
        <v>350</v>
      </c>
      <c r="B433" s="631">
        <v>3000</v>
      </c>
      <c r="C433" s="631">
        <v>1000</v>
      </c>
      <c r="D433" s="631" t="str">
        <f t="shared" si="173"/>
        <v>UVI-LL30001000</v>
      </c>
      <c r="E433" s="1054">
        <f t="shared" si="167"/>
        <v>0</v>
      </c>
      <c r="F433" s="632"/>
      <c r="G433" s="633">
        <f>F433*CCBASE!$B$51</f>
        <v>0</v>
      </c>
      <c r="H433" s="633"/>
      <c r="I433" s="633"/>
      <c r="J433" s="633"/>
      <c r="K433" s="633"/>
      <c r="L433" s="632"/>
      <c r="M433" s="633"/>
      <c r="N433" s="633"/>
      <c r="O433" s="633"/>
      <c r="P433" s="633"/>
      <c r="Q433" s="633"/>
      <c r="R433" s="633"/>
      <c r="S433" s="633"/>
      <c r="T433" s="632"/>
      <c r="U433" s="633"/>
      <c r="V433" s="633"/>
      <c r="W433" s="633"/>
      <c r="X433" s="633"/>
      <c r="Y433" s="633"/>
      <c r="Z433" s="633"/>
      <c r="AA433" s="633"/>
      <c r="AB433" s="633"/>
      <c r="AC433" s="633"/>
      <c r="AD433" s="633"/>
      <c r="AI433" s="635"/>
      <c r="AJ433" s="635"/>
      <c r="AN433" s="636"/>
      <c r="AO433" s="636"/>
      <c r="AP433" s="636"/>
      <c r="AQ433" s="636"/>
      <c r="AR433" s="636"/>
      <c r="AS433" s="636"/>
    </row>
    <row r="434" spans="1:45" x14ac:dyDescent="0.2">
      <c r="A434" s="631" t="s">
        <v>766</v>
      </c>
      <c r="B434" s="631">
        <v>1000</v>
      </c>
      <c r="C434" s="631">
        <v>1000</v>
      </c>
      <c r="D434" s="640" t="str">
        <f t="shared" ref="D434:D442" si="174">$A434&amp;B434&amp;C434</f>
        <v>CXW10001000</v>
      </c>
      <c r="E434" s="1054">
        <f t="shared" si="167"/>
        <v>470.83687000000003</v>
      </c>
      <c r="F434" s="632">
        <v>7</v>
      </c>
      <c r="G434" s="633">
        <f>F434*CCBASE!$B$51</f>
        <v>252</v>
      </c>
      <c r="H434" s="633"/>
      <c r="I434" s="633"/>
      <c r="J434" s="633"/>
      <c r="K434" s="633">
        <f>CCBASE!$I$21*B434/1000</f>
        <v>218.83687000000003</v>
      </c>
      <c r="L434" s="633"/>
      <c r="M434" s="633"/>
      <c r="N434" s="633"/>
      <c r="O434" s="633"/>
      <c r="P434" s="632"/>
      <c r="Q434" s="632"/>
      <c r="R434" s="632"/>
      <c r="S434" s="632"/>
      <c r="T434" s="632"/>
      <c r="U434" s="633"/>
      <c r="V434" s="632"/>
      <c r="W434" s="632"/>
      <c r="X434" s="632"/>
      <c r="Y434" s="632"/>
      <c r="Z434" s="632"/>
      <c r="AA434" s="632"/>
      <c r="AB434" s="632"/>
      <c r="AC434" s="632"/>
      <c r="AD434" s="632"/>
    </row>
    <row r="435" spans="1:45" x14ac:dyDescent="0.2">
      <c r="A435" s="631" t="s">
        <v>766</v>
      </c>
      <c r="B435" s="631">
        <v>1250</v>
      </c>
      <c r="C435" s="631">
        <v>1000</v>
      </c>
      <c r="D435" s="640" t="str">
        <f t="shared" si="174"/>
        <v>CXW12501000</v>
      </c>
      <c r="E435" s="1054">
        <f t="shared" si="167"/>
        <v>525.5460875</v>
      </c>
      <c r="F435" s="632">
        <v>7</v>
      </c>
      <c r="G435" s="633">
        <f>F435*CCBASE!$B$51</f>
        <v>252</v>
      </c>
      <c r="H435" s="633"/>
      <c r="I435" s="633"/>
      <c r="J435" s="633"/>
      <c r="K435" s="633">
        <f>CCBASE!$I$21*B435/1000</f>
        <v>273.5460875</v>
      </c>
      <c r="L435" s="633"/>
      <c r="M435" s="633"/>
      <c r="N435" s="633"/>
      <c r="O435" s="633"/>
      <c r="P435" s="632"/>
      <c r="Q435" s="632"/>
      <c r="R435" s="632"/>
      <c r="S435" s="632"/>
      <c r="T435" s="632"/>
      <c r="U435" s="633"/>
      <c r="V435" s="632"/>
      <c r="W435" s="632"/>
      <c r="X435" s="632"/>
      <c r="Y435" s="632"/>
      <c r="Z435" s="632"/>
      <c r="AA435" s="632"/>
      <c r="AB435" s="632"/>
      <c r="AC435" s="632"/>
      <c r="AD435" s="632"/>
    </row>
    <row r="436" spans="1:45" x14ac:dyDescent="0.2">
      <c r="A436" s="631" t="s">
        <v>766</v>
      </c>
      <c r="B436" s="631">
        <v>1500</v>
      </c>
      <c r="C436" s="631">
        <v>1000</v>
      </c>
      <c r="D436" s="640" t="str">
        <f t="shared" si="174"/>
        <v>CXW15001000</v>
      </c>
      <c r="E436" s="1054">
        <f t="shared" si="167"/>
        <v>580.25530500000013</v>
      </c>
      <c r="F436" s="632">
        <v>7</v>
      </c>
      <c r="G436" s="633">
        <f>F436*CCBASE!$B$51</f>
        <v>252</v>
      </c>
      <c r="H436" s="633"/>
      <c r="I436" s="633"/>
      <c r="J436" s="633"/>
      <c r="K436" s="633">
        <f>CCBASE!$I$21*B436/1000</f>
        <v>328.25530500000008</v>
      </c>
      <c r="L436" s="633"/>
      <c r="M436" s="633"/>
      <c r="N436" s="633"/>
      <c r="O436" s="633"/>
      <c r="P436" s="632"/>
      <c r="Q436" s="632"/>
      <c r="R436" s="632"/>
      <c r="S436" s="632"/>
      <c r="T436" s="632"/>
      <c r="U436" s="633"/>
      <c r="V436" s="632"/>
      <c r="W436" s="632"/>
      <c r="X436" s="632"/>
      <c r="Y436" s="632"/>
      <c r="Z436" s="632"/>
      <c r="AA436" s="632"/>
      <c r="AB436" s="632"/>
      <c r="AC436" s="632"/>
      <c r="AD436" s="632"/>
    </row>
    <row r="437" spans="1:45" x14ac:dyDescent="0.2">
      <c r="A437" s="631" t="s">
        <v>766</v>
      </c>
      <c r="B437" s="631">
        <v>1750</v>
      </c>
      <c r="C437" s="631">
        <v>1000</v>
      </c>
      <c r="D437" s="640" t="str">
        <f t="shared" si="174"/>
        <v>CXW17501000</v>
      </c>
      <c r="E437" s="1054">
        <f t="shared" si="167"/>
        <v>670.96452250000016</v>
      </c>
      <c r="F437" s="632">
        <v>8</v>
      </c>
      <c r="G437" s="633">
        <f>F437*CCBASE!$B$51</f>
        <v>288</v>
      </c>
      <c r="H437" s="633"/>
      <c r="I437" s="633"/>
      <c r="J437" s="633"/>
      <c r="K437" s="633">
        <f>CCBASE!$I$21*B437/1000</f>
        <v>382.9645225000001</v>
      </c>
      <c r="L437" s="633"/>
      <c r="M437" s="633"/>
      <c r="N437" s="633"/>
      <c r="O437" s="633"/>
      <c r="P437" s="632"/>
      <c r="Q437" s="632"/>
      <c r="R437" s="632"/>
      <c r="S437" s="632"/>
      <c r="T437" s="632"/>
      <c r="U437" s="633"/>
      <c r="V437" s="632"/>
      <c r="W437" s="632"/>
      <c r="X437" s="632"/>
      <c r="Y437" s="632"/>
      <c r="Z437" s="632"/>
      <c r="AA437" s="632"/>
      <c r="AB437" s="632"/>
      <c r="AC437" s="632"/>
      <c r="AD437" s="632"/>
    </row>
    <row r="438" spans="1:45" x14ac:dyDescent="0.2">
      <c r="A438" s="631" t="s">
        <v>766</v>
      </c>
      <c r="B438" s="631">
        <v>2000</v>
      </c>
      <c r="C438" s="631">
        <v>1000</v>
      </c>
      <c r="D438" s="640" t="str">
        <f t="shared" si="174"/>
        <v>CXW20001000</v>
      </c>
      <c r="E438" s="1054">
        <f t="shared" si="167"/>
        <v>725.67374000000007</v>
      </c>
      <c r="F438" s="632">
        <v>8</v>
      </c>
      <c r="G438" s="633">
        <f>F438*CCBASE!$B$51</f>
        <v>288</v>
      </c>
      <c r="H438" s="633"/>
      <c r="I438" s="633"/>
      <c r="J438" s="633"/>
      <c r="K438" s="633">
        <f>CCBASE!$I$21*B438/1000</f>
        <v>437.67374000000007</v>
      </c>
      <c r="L438" s="633"/>
      <c r="M438" s="633"/>
      <c r="N438" s="633"/>
      <c r="O438" s="633"/>
      <c r="P438" s="632"/>
      <c r="Q438" s="632"/>
      <c r="R438" s="632"/>
      <c r="S438" s="632"/>
      <c r="T438" s="632"/>
      <c r="U438" s="633"/>
      <c r="V438" s="632"/>
      <c r="W438" s="632"/>
      <c r="X438" s="632"/>
      <c r="Y438" s="632"/>
      <c r="Z438" s="632"/>
      <c r="AA438" s="632"/>
      <c r="AB438" s="632"/>
      <c r="AC438" s="632"/>
      <c r="AD438" s="632"/>
    </row>
    <row r="439" spans="1:45" x14ac:dyDescent="0.2">
      <c r="A439" s="631" t="s">
        <v>766</v>
      </c>
      <c r="B439" s="631">
        <v>2250</v>
      </c>
      <c r="C439" s="631">
        <v>1000</v>
      </c>
      <c r="D439" s="640" t="str">
        <f t="shared" si="174"/>
        <v>CXW22501000</v>
      </c>
      <c r="E439" s="1054">
        <f t="shared" si="167"/>
        <v>780.38295750000009</v>
      </c>
      <c r="F439" s="632">
        <v>8</v>
      </c>
      <c r="G439" s="633">
        <f>F439*CCBASE!$B$51</f>
        <v>288</v>
      </c>
      <c r="H439" s="633"/>
      <c r="I439" s="633"/>
      <c r="J439" s="633"/>
      <c r="K439" s="633">
        <f>CCBASE!$I$21*B439/1000</f>
        <v>492.38295750000009</v>
      </c>
      <c r="L439" s="633"/>
      <c r="M439" s="633"/>
      <c r="N439" s="633"/>
      <c r="O439" s="633"/>
      <c r="P439" s="632"/>
      <c r="Q439" s="632"/>
      <c r="R439" s="632"/>
      <c r="S439" s="632"/>
      <c r="T439" s="632"/>
      <c r="U439" s="633"/>
      <c r="V439" s="632"/>
      <c r="W439" s="632"/>
      <c r="X439" s="632"/>
      <c r="Y439" s="632"/>
      <c r="Z439" s="632"/>
      <c r="AA439" s="632"/>
      <c r="AB439" s="632"/>
      <c r="AC439" s="632"/>
      <c r="AD439" s="632"/>
    </row>
    <row r="440" spans="1:45" x14ac:dyDescent="0.2">
      <c r="A440" s="631" t="s">
        <v>766</v>
      </c>
      <c r="B440" s="631">
        <v>2500</v>
      </c>
      <c r="C440" s="631">
        <v>1000</v>
      </c>
      <c r="D440" s="640" t="str">
        <f t="shared" si="174"/>
        <v>CXW25001000</v>
      </c>
      <c r="E440" s="1054">
        <f t="shared" si="167"/>
        <v>835.092175</v>
      </c>
      <c r="F440" s="632">
        <v>8</v>
      </c>
      <c r="G440" s="633">
        <f>F440*CCBASE!$B$51</f>
        <v>288</v>
      </c>
      <c r="H440" s="633"/>
      <c r="I440" s="633"/>
      <c r="J440" s="633"/>
      <c r="K440" s="633">
        <f>CCBASE!$I$21*B440/1000</f>
        <v>547.092175</v>
      </c>
      <c r="L440" s="633"/>
      <c r="M440" s="633"/>
      <c r="N440" s="633"/>
      <c r="O440" s="633"/>
      <c r="P440" s="632"/>
      <c r="Q440" s="632"/>
      <c r="R440" s="632"/>
      <c r="S440" s="632"/>
      <c r="T440" s="632"/>
      <c r="U440" s="633"/>
      <c r="V440" s="632"/>
      <c r="W440" s="632"/>
      <c r="X440" s="632"/>
      <c r="Y440" s="632"/>
      <c r="Z440" s="632"/>
      <c r="AA440" s="632"/>
      <c r="AB440" s="632"/>
      <c r="AC440" s="632"/>
      <c r="AD440" s="632"/>
    </row>
    <row r="441" spans="1:45" x14ac:dyDescent="0.2">
      <c r="A441" s="631" t="s">
        <v>766</v>
      </c>
      <c r="B441" s="631">
        <v>2750</v>
      </c>
      <c r="C441" s="631">
        <v>1000</v>
      </c>
      <c r="D441" s="640" t="str">
        <f t="shared" si="174"/>
        <v>CXW27501000</v>
      </c>
      <c r="E441" s="1054">
        <f t="shared" si="167"/>
        <v>889.80139250000002</v>
      </c>
      <c r="F441" s="632">
        <v>8</v>
      </c>
      <c r="G441" s="633">
        <f>F441*CCBASE!$B$51</f>
        <v>288</v>
      </c>
      <c r="H441" s="633"/>
      <c r="I441" s="633"/>
      <c r="J441" s="633"/>
      <c r="K441" s="633">
        <f>CCBASE!$I$21*B441/1000</f>
        <v>601.80139250000002</v>
      </c>
      <c r="L441" s="633"/>
      <c r="M441" s="633"/>
      <c r="N441" s="633"/>
      <c r="O441" s="633"/>
      <c r="P441" s="632"/>
      <c r="Q441" s="632"/>
      <c r="R441" s="632"/>
      <c r="S441" s="632"/>
      <c r="T441" s="632"/>
      <c r="U441" s="633"/>
      <c r="V441" s="632"/>
      <c r="W441" s="632"/>
      <c r="X441" s="632"/>
      <c r="Y441" s="632"/>
      <c r="Z441" s="632"/>
      <c r="AA441" s="632"/>
      <c r="AB441" s="632"/>
      <c r="AC441" s="632"/>
      <c r="AD441" s="632"/>
    </row>
    <row r="442" spans="1:45" x14ac:dyDescent="0.2">
      <c r="A442" s="631" t="s">
        <v>766</v>
      </c>
      <c r="B442" s="631">
        <v>3000</v>
      </c>
      <c r="C442" s="631">
        <v>1000</v>
      </c>
      <c r="D442" s="640" t="str">
        <f t="shared" si="174"/>
        <v>CXW30001000</v>
      </c>
      <c r="E442" s="1054">
        <f t="shared" si="167"/>
        <v>944.51061000000016</v>
      </c>
      <c r="F442" s="632">
        <v>8</v>
      </c>
      <c r="G442" s="633">
        <f>F442*CCBASE!$B$51</f>
        <v>288</v>
      </c>
      <c r="H442" s="633"/>
      <c r="I442" s="633"/>
      <c r="J442" s="633"/>
      <c r="K442" s="633">
        <f>CCBASE!$I$21*B442/1000</f>
        <v>656.51061000000016</v>
      </c>
      <c r="L442" s="633"/>
      <c r="M442" s="633"/>
      <c r="N442" s="633"/>
      <c r="O442" s="633"/>
      <c r="P442" s="632"/>
      <c r="Q442" s="632"/>
      <c r="R442" s="632"/>
      <c r="S442" s="632"/>
      <c r="T442" s="632"/>
      <c r="U442" s="633"/>
      <c r="V442" s="632"/>
      <c r="W442" s="632"/>
      <c r="X442" s="632"/>
      <c r="Y442" s="632"/>
      <c r="Z442" s="632"/>
      <c r="AA442" s="632"/>
      <c r="AB442" s="632"/>
      <c r="AC442" s="632"/>
      <c r="AD442" s="632"/>
    </row>
    <row r="443" spans="1:45" x14ac:dyDescent="0.2">
      <c r="A443" s="631" t="s">
        <v>766</v>
      </c>
      <c r="B443" s="631">
        <v>1000</v>
      </c>
      <c r="C443" s="631">
        <v>1250</v>
      </c>
      <c r="D443" s="640" t="str">
        <f t="shared" ref="D443:D460" si="175">$A443&amp;B443&amp;C443</f>
        <v>CXW10001250</v>
      </c>
      <c r="E443" s="1054">
        <f t="shared" si="167"/>
        <v>500.40942000000001</v>
      </c>
      <c r="F443" s="632">
        <v>7</v>
      </c>
      <c r="G443" s="633">
        <f>F443*CCBASE!$B$51</f>
        <v>252</v>
      </c>
      <c r="H443" s="633"/>
      <c r="I443" s="633"/>
      <c r="J443" s="633"/>
      <c r="K443" s="633">
        <f>CCBASE!$I$22*B443/1000</f>
        <v>248.40942000000001</v>
      </c>
      <c r="L443" s="633"/>
      <c r="M443" s="633"/>
      <c r="N443" s="633"/>
      <c r="O443" s="633"/>
      <c r="P443" s="632"/>
      <c r="Q443" s="632"/>
      <c r="R443" s="632"/>
      <c r="S443" s="632"/>
      <c r="T443" s="632"/>
      <c r="U443" s="633"/>
      <c r="V443" s="632"/>
      <c r="W443" s="632"/>
      <c r="X443" s="632"/>
      <c r="Y443" s="632"/>
      <c r="Z443" s="632"/>
      <c r="AA443" s="632"/>
      <c r="AB443" s="632"/>
      <c r="AC443" s="632"/>
      <c r="AD443" s="632"/>
    </row>
    <row r="444" spans="1:45" x14ac:dyDescent="0.2">
      <c r="A444" s="631" t="s">
        <v>766</v>
      </c>
      <c r="B444" s="631">
        <v>1250</v>
      </c>
      <c r="C444" s="631">
        <v>1250</v>
      </c>
      <c r="D444" s="640" t="str">
        <f t="shared" si="175"/>
        <v>CXW12501250</v>
      </c>
      <c r="E444" s="1054">
        <f t="shared" si="167"/>
        <v>562.51177499999994</v>
      </c>
      <c r="F444" s="632">
        <v>7</v>
      </c>
      <c r="G444" s="633">
        <f>F444*CCBASE!$B$51</f>
        <v>252</v>
      </c>
      <c r="H444" s="633"/>
      <c r="I444" s="633"/>
      <c r="J444" s="633"/>
      <c r="K444" s="633">
        <f>CCBASE!$I$22*B444/1000</f>
        <v>310.511775</v>
      </c>
      <c r="L444" s="633"/>
      <c r="M444" s="633"/>
      <c r="N444" s="633"/>
      <c r="O444" s="633"/>
      <c r="P444" s="632"/>
      <c r="Q444" s="632"/>
      <c r="R444" s="632"/>
      <c r="S444" s="632"/>
      <c r="T444" s="632"/>
      <c r="U444" s="633"/>
      <c r="V444" s="632"/>
      <c r="W444" s="632"/>
      <c r="X444" s="632"/>
      <c r="Y444" s="632"/>
      <c r="Z444" s="632"/>
      <c r="AA444" s="632"/>
      <c r="AB444" s="632"/>
      <c r="AC444" s="632"/>
      <c r="AD444" s="632"/>
    </row>
    <row r="445" spans="1:45" x14ac:dyDescent="0.2">
      <c r="A445" s="631" t="s">
        <v>766</v>
      </c>
      <c r="B445" s="631">
        <v>1500</v>
      </c>
      <c r="C445" s="631">
        <v>1250</v>
      </c>
      <c r="D445" s="640" t="str">
        <f t="shared" si="175"/>
        <v>CXW15001250</v>
      </c>
      <c r="E445" s="1054">
        <f t="shared" si="167"/>
        <v>624.61412999999993</v>
      </c>
      <c r="F445" s="632">
        <v>7</v>
      </c>
      <c r="G445" s="633">
        <f>F445*CCBASE!$B$51</f>
        <v>252</v>
      </c>
      <c r="H445" s="633"/>
      <c r="I445" s="633"/>
      <c r="J445" s="633"/>
      <c r="K445" s="633">
        <f>CCBASE!$I$22*B445/1000</f>
        <v>372.61412999999999</v>
      </c>
      <c r="L445" s="633"/>
      <c r="M445" s="633"/>
      <c r="N445" s="633"/>
      <c r="O445" s="633"/>
      <c r="P445" s="632"/>
      <c r="Q445" s="632"/>
      <c r="R445" s="632"/>
      <c r="S445" s="632"/>
      <c r="T445" s="632"/>
      <c r="U445" s="633"/>
      <c r="V445" s="632"/>
      <c r="W445" s="632"/>
      <c r="X445" s="632"/>
      <c r="Y445" s="632"/>
      <c r="Z445" s="632"/>
      <c r="AA445" s="632"/>
      <c r="AB445" s="632"/>
      <c r="AC445" s="632"/>
      <c r="AD445" s="632"/>
    </row>
    <row r="446" spans="1:45" x14ac:dyDescent="0.2">
      <c r="A446" s="631" t="s">
        <v>766</v>
      </c>
      <c r="B446" s="631">
        <v>1750</v>
      </c>
      <c r="C446" s="631">
        <v>1250</v>
      </c>
      <c r="D446" s="640" t="str">
        <f t="shared" si="175"/>
        <v>CXW17501250</v>
      </c>
      <c r="E446" s="1054">
        <f t="shared" si="167"/>
        <v>722.71648500000003</v>
      </c>
      <c r="F446" s="632">
        <v>8</v>
      </c>
      <c r="G446" s="633">
        <f>F446*CCBASE!$B$51</f>
        <v>288</v>
      </c>
      <c r="H446" s="633"/>
      <c r="I446" s="633"/>
      <c r="J446" s="633"/>
      <c r="K446" s="633">
        <f>CCBASE!$I$22*B446/1000</f>
        <v>434.71648500000003</v>
      </c>
      <c r="L446" s="633"/>
      <c r="M446" s="633"/>
      <c r="N446" s="633"/>
      <c r="O446" s="633"/>
      <c r="P446" s="632"/>
      <c r="Q446" s="632"/>
      <c r="R446" s="632"/>
      <c r="S446" s="632"/>
      <c r="T446" s="632"/>
      <c r="U446" s="633"/>
      <c r="V446" s="632"/>
      <c r="W446" s="632"/>
      <c r="X446" s="632"/>
      <c r="Y446" s="632"/>
      <c r="Z446" s="632"/>
      <c r="AA446" s="632"/>
      <c r="AB446" s="632"/>
      <c r="AC446" s="632"/>
      <c r="AD446" s="632"/>
    </row>
    <row r="447" spans="1:45" x14ac:dyDescent="0.2">
      <c r="A447" s="631" t="s">
        <v>766</v>
      </c>
      <c r="B447" s="631">
        <v>2000</v>
      </c>
      <c r="C447" s="631">
        <v>1250</v>
      </c>
      <c r="D447" s="640" t="str">
        <f t="shared" si="175"/>
        <v>CXW20001250</v>
      </c>
      <c r="E447" s="1054">
        <f t="shared" si="167"/>
        <v>784.81884000000002</v>
      </c>
      <c r="F447" s="632">
        <v>8</v>
      </c>
      <c r="G447" s="633">
        <f>F447*CCBASE!$B$51</f>
        <v>288</v>
      </c>
      <c r="H447" s="633"/>
      <c r="I447" s="633"/>
      <c r="J447" s="633"/>
      <c r="K447" s="633">
        <f>CCBASE!$I$22*B447/1000</f>
        <v>496.81884000000002</v>
      </c>
      <c r="L447" s="633"/>
      <c r="M447" s="633"/>
      <c r="N447" s="633"/>
      <c r="O447" s="633"/>
      <c r="P447" s="632"/>
      <c r="Q447" s="632"/>
      <c r="R447" s="632"/>
      <c r="S447" s="632"/>
      <c r="T447" s="632"/>
      <c r="U447" s="633"/>
      <c r="V447" s="632"/>
      <c r="W447" s="632"/>
      <c r="X447" s="632"/>
      <c r="Y447" s="632"/>
      <c r="Z447" s="632"/>
      <c r="AA447" s="632"/>
      <c r="AB447" s="632"/>
      <c r="AC447" s="632"/>
      <c r="AD447" s="632"/>
    </row>
    <row r="448" spans="1:45" x14ac:dyDescent="0.2">
      <c r="A448" s="631" t="s">
        <v>766</v>
      </c>
      <c r="B448" s="631">
        <v>2250</v>
      </c>
      <c r="C448" s="631">
        <v>1250</v>
      </c>
      <c r="D448" s="640" t="str">
        <f t="shared" si="175"/>
        <v>CXW22501250</v>
      </c>
      <c r="E448" s="1054">
        <f t="shared" si="167"/>
        <v>846.92119500000001</v>
      </c>
      <c r="F448" s="632">
        <v>8</v>
      </c>
      <c r="G448" s="633">
        <f>F448*CCBASE!$B$51</f>
        <v>288</v>
      </c>
      <c r="H448" s="633"/>
      <c r="I448" s="633"/>
      <c r="J448" s="633"/>
      <c r="K448" s="633">
        <f>CCBASE!$I$22*B448/1000</f>
        <v>558.92119500000001</v>
      </c>
      <c r="L448" s="633"/>
      <c r="M448" s="633"/>
      <c r="N448" s="633"/>
      <c r="O448" s="633"/>
      <c r="P448" s="632"/>
      <c r="Q448" s="632"/>
      <c r="R448" s="632"/>
      <c r="S448" s="632"/>
      <c r="T448" s="632"/>
      <c r="U448" s="633"/>
      <c r="V448" s="632"/>
      <c r="W448" s="632"/>
      <c r="X448" s="632"/>
      <c r="Y448" s="632"/>
      <c r="Z448" s="632"/>
      <c r="AA448" s="632"/>
      <c r="AB448" s="632"/>
      <c r="AC448" s="632"/>
      <c r="AD448" s="632"/>
    </row>
    <row r="449" spans="1:30" x14ac:dyDescent="0.2">
      <c r="A449" s="631" t="s">
        <v>766</v>
      </c>
      <c r="B449" s="631">
        <v>2500</v>
      </c>
      <c r="C449" s="631">
        <v>1250</v>
      </c>
      <c r="D449" s="640" t="str">
        <f t="shared" si="175"/>
        <v>CXW25001250</v>
      </c>
      <c r="E449" s="1054">
        <f t="shared" si="167"/>
        <v>909.02355</v>
      </c>
      <c r="F449" s="632">
        <v>8</v>
      </c>
      <c r="G449" s="633">
        <f>F449*CCBASE!$B$51</f>
        <v>288</v>
      </c>
      <c r="H449" s="633"/>
      <c r="I449" s="633"/>
      <c r="J449" s="633"/>
      <c r="K449" s="633">
        <f>CCBASE!$I$22*B449/1000</f>
        <v>621.02355</v>
      </c>
      <c r="L449" s="633"/>
      <c r="M449" s="633"/>
      <c r="N449" s="633"/>
      <c r="O449" s="633"/>
      <c r="P449" s="632"/>
      <c r="Q449" s="632"/>
      <c r="R449" s="632"/>
      <c r="S449" s="632"/>
      <c r="T449" s="632"/>
      <c r="U449" s="633"/>
      <c r="V449" s="632"/>
      <c r="W449" s="632"/>
      <c r="X449" s="632"/>
      <c r="Y449" s="632"/>
      <c r="Z449" s="632"/>
      <c r="AA449" s="632"/>
      <c r="AB449" s="632"/>
      <c r="AC449" s="632"/>
      <c r="AD449" s="632"/>
    </row>
    <row r="450" spans="1:30" x14ac:dyDescent="0.2">
      <c r="A450" s="631" t="s">
        <v>766</v>
      </c>
      <c r="B450" s="631">
        <v>2750</v>
      </c>
      <c r="C450" s="631">
        <v>1250</v>
      </c>
      <c r="D450" s="640" t="str">
        <f t="shared" si="175"/>
        <v>CXW27501250</v>
      </c>
      <c r="E450" s="1054">
        <f t="shared" si="167"/>
        <v>971.12590499999999</v>
      </c>
      <c r="F450" s="632">
        <v>8</v>
      </c>
      <c r="G450" s="633">
        <f>F450*CCBASE!$B$51</f>
        <v>288</v>
      </c>
      <c r="H450" s="633"/>
      <c r="I450" s="633"/>
      <c r="J450" s="633"/>
      <c r="K450" s="633">
        <f>CCBASE!$I$22*B450/1000</f>
        <v>683.12590499999999</v>
      </c>
      <c r="L450" s="633"/>
      <c r="M450" s="633"/>
      <c r="N450" s="633"/>
      <c r="O450" s="633"/>
      <c r="P450" s="632"/>
      <c r="Q450" s="632"/>
      <c r="R450" s="632"/>
      <c r="S450" s="632"/>
      <c r="T450" s="632"/>
      <c r="U450" s="633"/>
      <c r="V450" s="632"/>
      <c r="W450" s="632"/>
      <c r="X450" s="632"/>
      <c r="Y450" s="632"/>
      <c r="Z450" s="632"/>
      <c r="AA450" s="632"/>
      <c r="AB450" s="632"/>
      <c r="AC450" s="632"/>
      <c r="AD450" s="632"/>
    </row>
    <row r="451" spans="1:30" x14ac:dyDescent="0.2">
      <c r="A451" s="631" t="s">
        <v>766</v>
      </c>
      <c r="B451" s="631">
        <v>3000</v>
      </c>
      <c r="C451" s="631">
        <v>1250</v>
      </c>
      <c r="D451" s="640" t="str">
        <f t="shared" si="175"/>
        <v>CXW30001250</v>
      </c>
      <c r="E451" s="1054">
        <f t="shared" si="167"/>
        <v>1033.2282599999999</v>
      </c>
      <c r="F451" s="632">
        <v>8</v>
      </c>
      <c r="G451" s="633">
        <f>F451*CCBASE!$B$51</f>
        <v>288</v>
      </c>
      <c r="H451" s="633"/>
      <c r="I451" s="633"/>
      <c r="J451" s="633"/>
      <c r="K451" s="633">
        <f>CCBASE!$I$22*B451/1000</f>
        <v>745.22825999999998</v>
      </c>
      <c r="L451" s="633"/>
      <c r="M451" s="633"/>
      <c r="N451" s="633"/>
      <c r="O451" s="633"/>
      <c r="P451" s="632"/>
      <c r="Q451" s="632"/>
      <c r="R451" s="632"/>
      <c r="S451" s="632"/>
      <c r="T451" s="632"/>
      <c r="U451" s="633"/>
      <c r="V451" s="632"/>
      <c r="W451" s="632"/>
      <c r="X451" s="632"/>
      <c r="Y451" s="632"/>
      <c r="Z451" s="632"/>
      <c r="AA451" s="632"/>
      <c r="AB451" s="632"/>
      <c r="AC451" s="632"/>
      <c r="AD451" s="632"/>
    </row>
    <row r="452" spans="1:30" x14ac:dyDescent="0.2">
      <c r="A452" s="631" t="s">
        <v>766</v>
      </c>
      <c r="B452" s="631">
        <v>1000</v>
      </c>
      <c r="C452" s="631">
        <v>1500</v>
      </c>
      <c r="D452" s="640" t="str">
        <f t="shared" si="175"/>
        <v>CXW10001500</v>
      </c>
      <c r="E452" s="1054">
        <f t="shared" si="167"/>
        <v>538.85373499999992</v>
      </c>
      <c r="F452" s="632">
        <v>7</v>
      </c>
      <c r="G452" s="633">
        <f>F452*CCBASE!$B$51</f>
        <v>252</v>
      </c>
      <c r="H452" s="633"/>
      <c r="I452" s="633"/>
      <c r="J452" s="633"/>
      <c r="K452" s="633">
        <f>CCBASE!$I$23*B452/1000</f>
        <v>286.85373499999997</v>
      </c>
      <c r="L452" s="633"/>
      <c r="M452" s="633"/>
      <c r="N452" s="633"/>
      <c r="O452" s="633"/>
      <c r="P452" s="632"/>
      <c r="Q452" s="632"/>
      <c r="R452" s="632"/>
      <c r="S452" s="632"/>
      <c r="T452" s="632"/>
      <c r="U452" s="633"/>
      <c r="V452" s="632"/>
      <c r="W452" s="632"/>
      <c r="X452" s="632"/>
      <c r="Y452" s="632"/>
      <c r="Z452" s="632"/>
      <c r="AA452" s="632"/>
      <c r="AB452" s="632"/>
      <c r="AC452" s="632"/>
      <c r="AD452" s="632"/>
    </row>
    <row r="453" spans="1:30" x14ac:dyDescent="0.2">
      <c r="A453" s="631" t="s">
        <v>766</v>
      </c>
      <c r="B453" s="631">
        <v>1250</v>
      </c>
      <c r="C453" s="631">
        <v>1500</v>
      </c>
      <c r="D453" s="640" t="str">
        <f t="shared" si="175"/>
        <v>CXW12501500</v>
      </c>
      <c r="E453" s="1054">
        <f t="shared" si="167"/>
        <v>610.56716874999995</v>
      </c>
      <c r="F453" s="632">
        <v>7</v>
      </c>
      <c r="G453" s="633">
        <f>F453*CCBASE!$B$51</f>
        <v>252</v>
      </c>
      <c r="H453" s="633"/>
      <c r="I453" s="633"/>
      <c r="J453" s="633"/>
      <c r="K453" s="633">
        <f>CCBASE!$I$23*B453/1000</f>
        <v>358.56716874999995</v>
      </c>
      <c r="L453" s="633"/>
      <c r="M453" s="633"/>
      <c r="N453" s="633"/>
      <c r="O453" s="633"/>
      <c r="P453" s="632"/>
      <c r="Q453" s="632"/>
      <c r="R453" s="632"/>
      <c r="S453" s="632"/>
      <c r="T453" s="632"/>
      <c r="U453" s="633"/>
      <c r="V453" s="632"/>
      <c r="W453" s="632"/>
      <c r="X453" s="632"/>
      <c r="Y453" s="632"/>
      <c r="Z453" s="632"/>
      <c r="AA453" s="632"/>
      <c r="AB453" s="632"/>
      <c r="AC453" s="632"/>
      <c r="AD453" s="632"/>
    </row>
    <row r="454" spans="1:30" x14ac:dyDescent="0.2">
      <c r="A454" s="631" t="s">
        <v>766</v>
      </c>
      <c r="B454" s="631">
        <v>1500</v>
      </c>
      <c r="C454" s="631">
        <v>1500</v>
      </c>
      <c r="D454" s="640" t="str">
        <f t="shared" si="175"/>
        <v>CXW15001500</v>
      </c>
      <c r="E454" s="1054">
        <f t="shared" si="167"/>
        <v>682.28060249999999</v>
      </c>
      <c r="F454" s="632">
        <v>7</v>
      </c>
      <c r="G454" s="633">
        <f>F454*CCBASE!$B$51</f>
        <v>252</v>
      </c>
      <c r="H454" s="633"/>
      <c r="I454" s="633"/>
      <c r="J454" s="633"/>
      <c r="K454" s="633">
        <f>CCBASE!$I$23*B454/1000</f>
        <v>430.28060249999999</v>
      </c>
      <c r="L454" s="633"/>
      <c r="M454" s="633"/>
      <c r="N454" s="633"/>
      <c r="O454" s="633"/>
      <c r="P454" s="632"/>
      <c r="Q454" s="632"/>
      <c r="R454" s="632"/>
      <c r="S454" s="632"/>
      <c r="T454" s="632"/>
      <c r="U454" s="633"/>
      <c r="V454" s="632"/>
      <c r="W454" s="632"/>
      <c r="X454" s="632"/>
      <c r="Y454" s="632"/>
      <c r="Z454" s="632"/>
      <c r="AA454" s="632"/>
      <c r="AB454" s="632"/>
      <c r="AC454" s="632"/>
      <c r="AD454" s="632"/>
    </row>
    <row r="455" spans="1:30" x14ac:dyDescent="0.2">
      <c r="A455" s="631" t="s">
        <v>766</v>
      </c>
      <c r="B455" s="631">
        <v>1750</v>
      </c>
      <c r="C455" s="631">
        <v>1500</v>
      </c>
      <c r="D455" s="640" t="str">
        <f t="shared" si="175"/>
        <v>CXW17501500</v>
      </c>
      <c r="E455" s="1054">
        <f t="shared" si="167"/>
        <v>789.99403624999991</v>
      </c>
      <c r="F455" s="632">
        <v>8</v>
      </c>
      <c r="G455" s="633">
        <f>F455*CCBASE!$B$51</f>
        <v>288</v>
      </c>
      <c r="H455" s="633"/>
      <c r="I455" s="633"/>
      <c r="J455" s="633"/>
      <c r="K455" s="633">
        <f>CCBASE!$I$23*B455/1000</f>
        <v>501.99403624999997</v>
      </c>
      <c r="L455" s="633"/>
      <c r="M455" s="633"/>
      <c r="N455" s="633"/>
      <c r="O455" s="633"/>
      <c r="P455" s="632"/>
      <c r="Q455" s="632"/>
      <c r="R455" s="632"/>
      <c r="S455" s="632"/>
      <c r="T455" s="632"/>
      <c r="U455" s="633"/>
      <c r="V455" s="632"/>
      <c r="W455" s="632"/>
      <c r="X455" s="632"/>
      <c r="Y455" s="632"/>
      <c r="Z455" s="632"/>
      <c r="AA455" s="632"/>
      <c r="AB455" s="632"/>
      <c r="AC455" s="632"/>
      <c r="AD455" s="632"/>
    </row>
    <row r="456" spans="1:30" x14ac:dyDescent="0.2">
      <c r="A456" s="631" t="s">
        <v>766</v>
      </c>
      <c r="B456" s="631">
        <v>2000</v>
      </c>
      <c r="C456" s="631">
        <v>1500</v>
      </c>
      <c r="D456" s="640" t="str">
        <f t="shared" si="175"/>
        <v>CXW20001500</v>
      </c>
      <c r="E456" s="1054">
        <f t="shared" si="167"/>
        <v>861.70746999999994</v>
      </c>
      <c r="F456" s="632">
        <v>8</v>
      </c>
      <c r="G456" s="633">
        <f>F456*CCBASE!$B$51</f>
        <v>288</v>
      </c>
      <c r="H456" s="633"/>
      <c r="I456" s="633"/>
      <c r="J456" s="633"/>
      <c r="K456" s="633">
        <f>CCBASE!$I$23*B456/1000</f>
        <v>573.70746999999994</v>
      </c>
      <c r="L456" s="633"/>
      <c r="M456" s="633"/>
      <c r="N456" s="633"/>
      <c r="O456" s="633"/>
      <c r="P456" s="632"/>
      <c r="Q456" s="632"/>
      <c r="R456" s="632"/>
      <c r="S456" s="632"/>
      <c r="T456" s="632"/>
      <c r="U456" s="633"/>
      <c r="V456" s="632"/>
      <c r="W456" s="632"/>
      <c r="X456" s="632"/>
      <c r="Y456" s="632"/>
      <c r="Z456" s="632"/>
      <c r="AA456" s="632"/>
      <c r="AB456" s="632"/>
      <c r="AC456" s="632"/>
      <c r="AD456" s="632"/>
    </row>
    <row r="457" spans="1:30" x14ac:dyDescent="0.2">
      <c r="A457" s="631" t="s">
        <v>766</v>
      </c>
      <c r="B457" s="631">
        <v>2250</v>
      </c>
      <c r="C457" s="631">
        <v>1500</v>
      </c>
      <c r="D457" s="640" t="str">
        <f t="shared" si="175"/>
        <v>CXW22501500</v>
      </c>
      <c r="E457" s="1054">
        <f t="shared" si="167"/>
        <v>933.42090374999998</v>
      </c>
      <c r="F457" s="632">
        <v>8</v>
      </c>
      <c r="G457" s="633">
        <f>F457*CCBASE!$B$51</f>
        <v>288</v>
      </c>
      <c r="H457" s="633"/>
      <c r="I457" s="633"/>
      <c r="J457" s="633"/>
      <c r="K457" s="633">
        <f>CCBASE!$I$23*B457/1000</f>
        <v>645.42090374999998</v>
      </c>
      <c r="L457" s="633"/>
      <c r="M457" s="633"/>
      <c r="N457" s="633"/>
      <c r="O457" s="633"/>
      <c r="P457" s="632"/>
      <c r="Q457" s="632"/>
      <c r="R457" s="632"/>
      <c r="S457" s="632"/>
      <c r="T457" s="632"/>
      <c r="U457" s="633"/>
      <c r="V457" s="632"/>
      <c r="W457" s="632"/>
      <c r="X457" s="632"/>
      <c r="Y457" s="632"/>
      <c r="Z457" s="632"/>
      <c r="AA457" s="632"/>
      <c r="AB457" s="632"/>
      <c r="AC457" s="632"/>
      <c r="AD457" s="632"/>
    </row>
    <row r="458" spans="1:30" x14ac:dyDescent="0.2">
      <c r="A458" s="631" t="s">
        <v>766</v>
      </c>
      <c r="B458" s="631">
        <v>2500</v>
      </c>
      <c r="C458" s="631">
        <v>1500</v>
      </c>
      <c r="D458" s="640" t="str">
        <f t="shared" si="175"/>
        <v>CXW25001500</v>
      </c>
      <c r="E458" s="1054">
        <f t="shared" si="167"/>
        <v>1005.1343374999999</v>
      </c>
      <c r="F458" s="632">
        <v>8</v>
      </c>
      <c r="G458" s="633">
        <f>F458*CCBASE!$B$51</f>
        <v>288</v>
      </c>
      <c r="H458" s="633"/>
      <c r="I458" s="633"/>
      <c r="J458" s="633"/>
      <c r="K458" s="633">
        <f>CCBASE!$I$23*B458/1000</f>
        <v>717.1343374999999</v>
      </c>
      <c r="L458" s="633"/>
      <c r="M458" s="633"/>
      <c r="N458" s="633"/>
      <c r="O458" s="633"/>
      <c r="P458" s="632"/>
      <c r="Q458" s="632"/>
      <c r="R458" s="632"/>
      <c r="S458" s="632"/>
      <c r="T458" s="632"/>
      <c r="U458" s="633"/>
      <c r="V458" s="632"/>
      <c r="W458" s="632"/>
      <c r="X458" s="632"/>
      <c r="Y458" s="632"/>
      <c r="Z458" s="632"/>
      <c r="AA458" s="632"/>
      <c r="AB458" s="632"/>
      <c r="AC458" s="632"/>
      <c r="AD458" s="632"/>
    </row>
    <row r="459" spans="1:30" x14ac:dyDescent="0.2">
      <c r="A459" s="631" t="s">
        <v>766</v>
      </c>
      <c r="B459" s="631">
        <v>2750</v>
      </c>
      <c r="C459" s="631">
        <v>1500</v>
      </c>
      <c r="D459" s="640" t="str">
        <f t="shared" si="175"/>
        <v>CXW27501500</v>
      </c>
      <c r="E459" s="1054">
        <f t="shared" si="167"/>
        <v>1076.8477712499998</v>
      </c>
      <c r="F459" s="632">
        <v>8</v>
      </c>
      <c r="G459" s="633">
        <f>F459*CCBASE!$B$51</f>
        <v>288</v>
      </c>
      <c r="H459" s="633"/>
      <c r="I459" s="633"/>
      <c r="J459" s="633"/>
      <c r="K459" s="633">
        <f>CCBASE!$I$23*B459/1000</f>
        <v>788.84777124999982</v>
      </c>
      <c r="L459" s="633"/>
      <c r="M459" s="633"/>
      <c r="N459" s="633"/>
      <c r="O459" s="633"/>
      <c r="P459" s="632"/>
      <c r="Q459" s="632"/>
      <c r="R459" s="632"/>
      <c r="S459" s="632"/>
      <c r="T459" s="632"/>
      <c r="U459" s="633"/>
      <c r="V459" s="632"/>
      <c r="W459" s="632"/>
      <c r="X459" s="632"/>
      <c r="Y459" s="632"/>
      <c r="Z459" s="632"/>
      <c r="AA459" s="632"/>
      <c r="AB459" s="632"/>
      <c r="AC459" s="632"/>
      <c r="AD459" s="632"/>
    </row>
    <row r="460" spans="1:30" x14ac:dyDescent="0.2">
      <c r="A460" s="631" t="s">
        <v>766</v>
      </c>
      <c r="B460" s="631">
        <v>3000</v>
      </c>
      <c r="C460" s="631">
        <v>1500</v>
      </c>
      <c r="D460" s="640" t="str">
        <f t="shared" si="175"/>
        <v>CXW30001500</v>
      </c>
      <c r="E460" s="1054">
        <f t="shared" si="167"/>
        <v>1148.561205</v>
      </c>
      <c r="F460" s="632">
        <v>8</v>
      </c>
      <c r="G460" s="633">
        <f>F460*CCBASE!$B$51</f>
        <v>288</v>
      </c>
      <c r="H460" s="633"/>
      <c r="I460" s="633"/>
      <c r="J460" s="633"/>
      <c r="K460" s="633">
        <f>CCBASE!$I$23*B460/1000</f>
        <v>860.56120499999997</v>
      </c>
      <c r="L460" s="633"/>
      <c r="M460" s="633"/>
      <c r="N460" s="633"/>
      <c r="O460" s="633"/>
      <c r="P460" s="632"/>
      <c r="Q460" s="632"/>
      <c r="R460" s="632"/>
      <c r="S460" s="632"/>
      <c r="T460" s="632"/>
      <c r="U460" s="633"/>
      <c r="V460" s="632"/>
      <c r="W460" s="632"/>
      <c r="X460" s="632"/>
      <c r="Y460" s="632"/>
      <c r="Z460" s="632"/>
      <c r="AA460" s="632"/>
      <c r="AB460" s="632"/>
      <c r="AC460" s="632"/>
      <c r="AD460" s="632"/>
    </row>
    <row r="461" spans="1:30" x14ac:dyDescent="0.2">
      <c r="A461" s="631" t="s">
        <v>766</v>
      </c>
      <c r="B461" s="631">
        <v>1000</v>
      </c>
      <c r="C461" s="631">
        <v>1750</v>
      </c>
      <c r="D461" s="640" t="str">
        <f t="shared" ref="D461:D469" si="176">$A461&amp;B461&amp;C461</f>
        <v>CXW10001750</v>
      </c>
      <c r="E461" s="1054">
        <f t="shared" si="167"/>
        <v>666.01569999999992</v>
      </c>
      <c r="F461" s="632">
        <v>7</v>
      </c>
      <c r="G461" s="633">
        <f>F461*CCBASE!$B$51</f>
        <v>252</v>
      </c>
      <c r="H461" s="633"/>
      <c r="I461" s="633"/>
      <c r="J461" s="633"/>
      <c r="K461" s="633">
        <f>CCBASE!$I$24*B461/1000</f>
        <v>414.01569999999998</v>
      </c>
      <c r="L461" s="633"/>
      <c r="M461" s="633"/>
      <c r="N461" s="633"/>
      <c r="O461" s="633"/>
      <c r="P461" s="632"/>
      <c r="Q461" s="632"/>
      <c r="R461" s="632"/>
      <c r="S461" s="632"/>
      <c r="T461" s="632"/>
      <c r="U461" s="633"/>
      <c r="V461" s="632"/>
      <c r="W461" s="632"/>
      <c r="X461" s="632"/>
      <c r="Y461" s="632"/>
      <c r="Z461" s="632"/>
      <c r="AA461" s="632"/>
      <c r="AB461" s="632"/>
      <c r="AC461" s="632"/>
      <c r="AD461" s="632"/>
    </row>
    <row r="462" spans="1:30" x14ac:dyDescent="0.2">
      <c r="A462" s="631" t="s">
        <v>766</v>
      </c>
      <c r="B462" s="631">
        <v>1250</v>
      </c>
      <c r="C462" s="631">
        <v>1750</v>
      </c>
      <c r="D462" s="640" t="str">
        <f t="shared" si="176"/>
        <v>CXW12501750</v>
      </c>
      <c r="E462" s="1054">
        <f t="shared" si="167"/>
        <v>769.51962499999991</v>
      </c>
      <c r="F462" s="632">
        <v>7</v>
      </c>
      <c r="G462" s="633">
        <f>F462*CCBASE!$B$51</f>
        <v>252</v>
      </c>
      <c r="H462" s="633"/>
      <c r="I462" s="633"/>
      <c r="J462" s="633"/>
      <c r="K462" s="633">
        <f>CCBASE!$I$24*B462/1000</f>
        <v>517.51962499999991</v>
      </c>
      <c r="L462" s="633"/>
      <c r="M462" s="633"/>
      <c r="N462" s="633"/>
      <c r="O462" s="633"/>
      <c r="P462" s="632"/>
      <c r="Q462" s="632"/>
      <c r="R462" s="632"/>
      <c r="S462" s="632"/>
      <c r="T462" s="632"/>
      <c r="U462" s="633"/>
      <c r="V462" s="632"/>
      <c r="W462" s="632"/>
      <c r="X462" s="632"/>
      <c r="Y462" s="632"/>
      <c r="Z462" s="632"/>
      <c r="AA462" s="632"/>
      <c r="AB462" s="632"/>
      <c r="AC462" s="632"/>
      <c r="AD462" s="632"/>
    </row>
    <row r="463" spans="1:30" x14ac:dyDescent="0.2">
      <c r="A463" s="631" t="s">
        <v>766</v>
      </c>
      <c r="B463" s="631">
        <v>1500</v>
      </c>
      <c r="C463" s="631">
        <v>1750</v>
      </c>
      <c r="D463" s="640" t="str">
        <f t="shared" si="176"/>
        <v>CXW15001750</v>
      </c>
      <c r="E463" s="1054">
        <f t="shared" si="167"/>
        <v>873.02354999999989</v>
      </c>
      <c r="F463" s="632">
        <v>7</v>
      </c>
      <c r="G463" s="633">
        <f>F463*CCBASE!$B$51</f>
        <v>252</v>
      </c>
      <c r="H463" s="633"/>
      <c r="I463" s="633"/>
      <c r="J463" s="633"/>
      <c r="K463" s="633">
        <f>CCBASE!$I$24*B463/1000</f>
        <v>621.02354999999989</v>
      </c>
      <c r="L463" s="633"/>
      <c r="M463" s="633"/>
      <c r="N463" s="633"/>
      <c r="O463" s="633"/>
      <c r="P463" s="632"/>
      <c r="Q463" s="632"/>
      <c r="R463" s="632"/>
      <c r="S463" s="632"/>
      <c r="T463" s="632"/>
      <c r="U463" s="633"/>
      <c r="V463" s="632"/>
      <c r="W463" s="632"/>
      <c r="X463" s="632"/>
      <c r="Y463" s="632"/>
      <c r="Z463" s="632"/>
      <c r="AA463" s="632"/>
      <c r="AB463" s="632"/>
      <c r="AC463" s="632"/>
      <c r="AD463" s="632"/>
    </row>
    <row r="464" spans="1:30" x14ac:dyDescent="0.2">
      <c r="A464" s="631" t="s">
        <v>766</v>
      </c>
      <c r="B464" s="631">
        <v>1750</v>
      </c>
      <c r="C464" s="631">
        <v>1750</v>
      </c>
      <c r="D464" s="640" t="str">
        <f t="shared" si="176"/>
        <v>CXW17501750</v>
      </c>
      <c r="E464" s="1054">
        <f t="shared" si="167"/>
        <v>1012.5274749999999</v>
      </c>
      <c r="F464" s="632">
        <v>8</v>
      </c>
      <c r="G464" s="633">
        <f>F464*CCBASE!$B$51</f>
        <v>288</v>
      </c>
      <c r="H464" s="633"/>
      <c r="I464" s="633"/>
      <c r="J464" s="633"/>
      <c r="K464" s="633">
        <f>CCBASE!$I$24*B464/1000</f>
        <v>724.52747499999987</v>
      </c>
      <c r="L464" s="633"/>
      <c r="M464" s="633"/>
      <c r="N464" s="633"/>
      <c r="O464" s="633"/>
      <c r="P464" s="632"/>
      <c r="Q464" s="632"/>
      <c r="R464" s="632"/>
      <c r="S464" s="632"/>
      <c r="T464" s="632"/>
      <c r="U464" s="633"/>
      <c r="V464" s="632"/>
      <c r="W464" s="632"/>
      <c r="X464" s="632"/>
      <c r="Y464" s="632"/>
      <c r="Z464" s="632"/>
      <c r="AA464" s="632"/>
      <c r="AB464" s="632"/>
      <c r="AC464" s="632"/>
      <c r="AD464" s="632"/>
    </row>
    <row r="465" spans="1:30" x14ac:dyDescent="0.2">
      <c r="A465" s="631" t="s">
        <v>766</v>
      </c>
      <c r="B465" s="631">
        <v>2000</v>
      </c>
      <c r="C465" s="631">
        <v>1750</v>
      </c>
      <c r="D465" s="640" t="str">
        <f t="shared" si="176"/>
        <v>CXW20001750</v>
      </c>
      <c r="E465" s="1054">
        <f t="shared" si="167"/>
        <v>1116.0313999999998</v>
      </c>
      <c r="F465" s="632">
        <v>8</v>
      </c>
      <c r="G465" s="633">
        <f>F465*CCBASE!$B$51</f>
        <v>288</v>
      </c>
      <c r="H465" s="633"/>
      <c r="I465" s="633"/>
      <c r="J465" s="633"/>
      <c r="K465" s="633">
        <f>CCBASE!$I$24*B465/1000</f>
        <v>828.03139999999996</v>
      </c>
      <c r="L465" s="633"/>
      <c r="M465" s="633"/>
      <c r="N465" s="633"/>
      <c r="O465" s="633"/>
      <c r="P465" s="632"/>
      <c r="Q465" s="632"/>
      <c r="R465" s="632"/>
      <c r="S465" s="632"/>
      <c r="T465" s="632"/>
      <c r="U465" s="633"/>
      <c r="V465" s="632"/>
      <c r="W465" s="632"/>
      <c r="X465" s="632"/>
      <c r="Y465" s="632"/>
      <c r="Z465" s="632"/>
      <c r="AA465" s="632"/>
      <c r="AB465" s="632"/>
      <c r="AC465" s="632"/>
      <c r="AD465" s="632"/>
    </row>
    <row r="466" spans="1:30" x14ac:dyDescent="0.2">
      <c r="A466" s="631" t="s">
        <v>766</v>
      </c>
      <c r="B466" s="631">
        <v>2250</v>
      </c>
      <c r="C466" s="631">
        <v>1750</v>
      </c>
      <c r="D466" s="640" t="str">
        <f t="shared" si="176"/>
        <v>CXW22501750</v>
      </c>
      <c r="E466" s="1054">
        <f t="shared" si="167"/>
        <v>1219.5353249999998</v>
      </c>
      <c r="F466" s="632">
        <v>8</v>
      </c>
      <c r="G466" s="633">
        <f>F466*CCBASE!$B$51</f>
        <v>288</v>
      </c>
      <c r="H466" s="633"/>
      <c r="I466" s="633"/>
      <c r="J466" s="633"/>
      <c r="K466" s="633">
        <f>CCBASE!$I$24*B466/1000</f>
        <v>931.53532499999983</v>
      </c>
      <c r="L466" s="633"/>
      <c r="M466" s="633"/>
      <c r="N466" s="633"/>
      <c r="O466" s="633"/>
      <c r="P466" s="632"/>
      <c r="Q466" s="632"/>
      <c r="R466" s="632"/>
      <c r="S466" s="632"/>
      <c r="T466" s="632"/>
      <c r="U466" s="633"/>
      <c r="V466" s="632"/>
      <c r="W466" s="632"/>
      <c r="X466" s="632"/>
      <c r="Y466" s="632"/>
      <c r="Z466" s="632"/>
      <c r="AA466" s="632"/>
      <c r="AB466" s="632"/>
      <c r="AC466" s="632"/>
      <c r="AD466" s="632"/>
    </row>
    <row r="467" spans="1:30" x14ac:dyDescent="0.2">
      <c r="A467" s="631" t="s">
        <v>766</v>
      </c>
      <c r="B467" s="631">
        <v>2500</v>
      </c>
      <c r="C467" s="631">
        <v>1750</v>
      </c>
      <c r="D467" s="640" t="str">
        <f t="shared" si="176"/>
        <v>CXW25001750</v>
      </c>
      <c r="E467" s="1054">
        <f t="shared" si="167"/>
        <v>1323.0392499999998</v>
      </c>
      <c r="F467" s="632">
        <v>8</v>
      </c>
      <c r="G467" s="633">
        <f>F467*CCBASE!$B$51</f>
        <v>288</v>
      </c>
      <c r="H467" s="633"/>
      <c r="I467" s="633"/>
      <c r="J467" s="633"/>
      <c r="K467" s="633">
        <f>CCBASE!$I$24*B467/1000</f>
        <v>1035.0392499999998</v>
      </c>
      <c r="L467" s="633"/>
      <c r="M467" s="633"/>
      <c r="N467" s="633"/>
      <c r="O467" s="633"/>
      <c r="P467" s="632"/>
      <c r="Q467" s="632"/>
      <c r="R467" s="632"/>
      <c r="S467" s="632"/>
      <c r="T467" s="632"/>
      <c r="U467" s="633"/>
      <c r="V467" s="632"/>
      <c r="W467" s="632"/>
      <c r="X467" s="632"/>
      <c r="Y467" s="632"/>
      <c r="Z467" s="632"/>
      <c r="AA467" s="632"/>
      <c r="AB467" s="632"/>
      <c r="AC467" s="632"/>
      <c r="AD467" s="632"/>
    </row>
    <row r="468" spans="1:30" x14ac:dyDescent="0.2">
      <c r="A468" s="631" t="s">
        <v>766</v>
      </c>
      <c r="B468" s="631">
        <v>2750</v>
      </c>
      <c r="C468" s="631">
        <v>1750</v>
      </c>
      <c r="D468" s="640" t="str">
        <f t="shared" si="176"/>
        <v>CXW27501750</v>
      </c>
      <c r="E468" s="1054">
        <f t="shared" si="167"/>
        <v>1426.5431749999998</v>
      </c>
      <c r="F468" s="632">
        <v>8</v>
      </c>
      <c r="G468" s="633">
        <f>F468*CCBASE!$B$51</f>
        <v>288</v>
      </c>
      <c r="H468" s="633"/>
      <c r="I468" s="633"/>
      <c r="J468" s="633"/>
      <c r="K468" s="633">
        <f>CCBASE!$I$24*B468/1000</f>
        <v>1138.5431749999998</v>
      </c>
      <c r="L468" s="633"/>
      <c r="M468" s="633"/>
      <c r="N468" s="633"/>
      <c r="O468" s="633"/>
      <c r="P468" s="632"/>
      <c r="Q468" s="632"/>
      <c r="R468" s="632"/>
      <c r="S468" s="632"/>
      <c r="T468" s="632"/>
      <c r="U468" s="633"/>
      <c r="V468" s="632"/>
      <c r="W468" s="632"/>
      <c r="X468" s="632"/>
      <c r="Y468" s="632"/>
      <c r="Z468" s="632"/>
      <c r="AA468" s="632"/>
      <c r="AB468" s="632"/>
      <c r="AC468" s="632"/>
      <c r="AD468" s="632"/>
    </row>
    <row r="469" spans="1:30" x14ac:dyDescent="0.2">
      <c r="A469" s="631" t="s">
        <v>766</v>
      </c>
      <c r="B469" s="631">
        <v>3000</v>
      </c>
      <c r="C469" s="631">
        <v>1750</v>
      </c>
      <c r="D469" s="640" t="str">
        <f t="shared" si="176"/>
        <v>CXW30001750</v>
      </c>
      <c r="E469" s="1054">
        <f t="shared" ref="E469:E532" si="177">SUM(G469:AD469)</f>
        <v>1530.0470999999998</v>
      </c>
      <c r="F469" s="632">
        <v>8</v>
      </c>
      <c r="G469" s="633">
        <f>F469*CCBASE!$B$51</f>
        <v>288</v>
      </c>
      <c r="H469" s="633"/>
      <c r="I469" s="633"/>
      <c r="J469" s="633"/>
      <c r="K469" s="633">
        <f>CCBASE!$I$24*B469/1000</f>
        <v>1242.0470999999998</v>
      </c>
      <c r="L469" s="633"/>
      <c r="M469" s="633"/>
      <c r="N469" s="633"/>
      <c r="O469" s="633"/>
      <c r="P469" s="632"/>
      <c r="Q469" s="632"/>
      <c r="R469" s="632"/>
      <c r="S469" s="632"/>
      <c r="T469" s="632"/>
      <c r="U469" s="633"/>
      <c r="V469" s="632"/>
      <c r="W469" s="632"/>
      <c r="X469" s="632"/>
      <c r="Y469" s="632"/>
      <c r="Z469" s="632"/>
      <c r="AA469" s="632"/>
      <c r="AB469" s="632"/>
      <c r="AC469" s="632"/>
      <c r="AD469" s="632"/>
    </row>
    <row r="470" spans="1:30" x14ac:dyDescent="0.2">
      <c r="A470" s="631" t="s">
        <v>766</v>
      </c>
      <c r="B470" s="631">
        <v>1000</v>
      </c>
      <c r="C470" s="631">
        <v>2000</v>
      </c>
      <c r="D470" s="640" t="str">
        <f t="shared" ref="D470:D514" si="178">$A470&amp;B470&amp;C470</f>
        <v>CXW10002000</v>
      </c>
      <c r="E470" s="1054">
        <f t="shared" si="177"/>
        <v>710.37452499999995</v>
      </c>
      <c r="F470" s="632">
        <v>7</v>
      </c>
      <c r="G470" s="633">
        <f>F470*CCBASE!$B$51</f>
        <v>252</v>
      </c>
      <c r="H470" s="633"/>
      <c r="I470" s="633"/>
      <c r="J470" s="633"/>
      <c r="K470" s="633">
        <f>CCBASE!$I$25*B470/1000</f>
        <v>458.37452499999995</v>
      </c>
      <c r="L470" s="633"/>
      <c r="M470" s="633"/>
      <c r="N470" s="633"/>
      <c r="O470" s="633"/>
      <c r="P470" s="632"/>
      <c r="Q470" s="632"/>
      <c r="R470" s="632"/>
      <c r="S470" s="632"/>
      <c r="T470" s="632"/>
      <c r="U470" s="633"/>
      <c r="V470" s="632"/>
      <c r="W470" s="632"/>
      <c r="X470" s="632"/>
      <c r="Y470" s="632"/>
      <c r="Z470" s="632"/>
      <c r="AA470" s="632"/>
      <c r="AB470" s="632"/>
      <c r="AC470" s="632"/>
      <c r="AD470" s="632"/>
    </row>
    <row r="471" spans="1:30" x14ac:dyDescent="0.2">
      <c r="A471" s="631" t="s">
        <v>766</v>
      </c>
      <c r="B471" s="631">
        <v>1250</v>
      </c>
      <c r="C471" s="631">
        <v>2000</v>
      </c>
      <c r="D471" s="640" t="str">
        <f t="shared" si="178"/>
        <v>CXW12502000</v>
      </c>
      <c r="E471" s="1054">
        <f t="shared" si="177"/>
        <v>824.96815624999988</v>
      </c>
      <c r="F471" s="632">
        <v>7</v>
      </c>
      <c r="G471" s="633">
        <f>F471*CCBASE!$B$51</f>
        <v>252</v>
      </c>
      <c r="H471" s="633"/>
      <c r="I471" s="633"/>
      <c r="J471" s="633"/>
      <c r="K471" s="633">
        <f>CCBASE!$I$25*B471/1000</f>
        <v>572.96815624999988</v>
      </c>
      <c r="L471" s="633"/>
      <c r="M471" s="633"/>
      <c r="N471" s="633"/>
      <c r="O471" s="633"/>
      <c r="P471" s="632"/>
      <c r="Q471" s="632"/>
      <c r="R471" s="632"/>
      <c r="S471" s="632"/>
      <c r="T471" s="632"/>
      <c r="U471" s="633"/>
      <c r="V471" s="632"/>
      <c r="W471" s="632"/>
      <c r="X471" s="632"/>
      <c r="Y471" s="632"/>
      <c r="Z471" s="632"/>
      <c r="AA471" s="632"/>
      <c r="AB471" s="632"/>
      <c r="AC471" s="632"/>
      <c r="AD471" s="632"/>
    </row>
    <row r="472" spans="1:30" x14ac:dyDescent="0.2">
      <c r="A472" s="631" t="s">
        <v>766</v>
      </c>
      <c r="B472" s="631">
        <v>1500</v>
      </c>
      <c r="C472" s="631">
        <v>2000</v>
      </c>
      <c r="D472" s="640" t="str">
        <f t="shared" si="178"/>
        <v>CXW15002000</v>
      </c>
      <c r="E472" s="1054">
        <f t="shared" si="177"/>
        <v>939.56178749999992</v>
      </c>
      <c r="F472" s="632">
        <v>7</v>
      </c>
      <c r="G472" s="633">
        <f>F472*CCBASE!$B$51</f>
        <v>252</v>
      </c>
      <c r="H472" s="633"/>
      <c r="I472" s="633"/>
      <c r="J472" s="633"/>
      <c r="K472" s="633">
        <f>CCBASE!$I$25*B472/1000</f>
        <v>687.56178749999992</v>
      </c>
      <c r="L472" s="633"/>
      <c r="M472" s="633"/>
      <c r="N472" s="633"/>
      <c r="O472" s="633"/>
      <c r="P472" s="632"/>
      <c r="Q472" s="632"/>
      <c r="R472" s="632"/>
      <c r="S472" s="632"/>
      <c r="T472" s="632"/>
      <c r="U472" s="633"/>
      <c r="V472" s="632"/>
      <c r="W472" s="632"/>
      <c r="X472" s="632"/>
      <c r="Y472" s="632"/>
      <c r="Z472" s="632"/>
      <c r="AA472" s="632"/>
      <c r="AB472" s="632"/>
      <c r="AC472" s="632"/>
      <c r="AD472" s="632"/>
    </row>
    <row r="473" spans="1:30" x14ac:dyDescent="0.2">
      <c r="A473" s="631" t="s">
        <v>766</v>
      </c>
      <c r="B473" s="631">
        <v>1750</v>
      </c>
      <c r="C473" s="631">
        <v>2000</v>
      </c>
      <c r="D473" s="640" t="str">
        <f t="shared" si="178"/>
        <v>CXW17502000</v>
      </c>
      <c r="E473" s="1054">
        <f t="shared" si="177"/>
        <v>1090.1554187500001</v>
      </c>
      <c r="F473" s="632">
        <v>8</v>
      </c>
      <c r="G473" s="633">
        <f>F473*CCBASE!$B$51</f>
        <v>288</v>
      </c>
      <c r="H473" s="633"/>
      <c r="I473" s="633"/>
      <c r="J473" s="633"/>
      <c r="K473" s="633">
        <f>CCBASE!$I$25*B473/1000</f>
        <v>802.15541874999997</v>
      </c>
      <c r="L473" s="633"/>
      <c r="M473" s="633"/>
      <c r="N473" s="633"/>
      <c r="O473" s="633"/>
      <c r="P473" s="632"/>
      <c r="Q473" s="632"/>
      <c r="R473" s="632"/>
      <c r="S473" s="632"/>
      <c r="T473" s="632"/>
      <c r="U473" s="633"/>
      <c r="V473" s="632"/>
      <c r="W473" s="632"/>
      <c r="X473" s="632"/>
      <c r="Y473" s="632"/>
      <c r="Z473" s="632"/>
      <c r="AA473" s="632"/>
      <c r="AB473" s="632"/>
      <c r="AC473" s="632"/>
      <c r="AD473" s="632"/>
    </row>
    <row r="474" spans="1:30" x14ac:dyDescent="0.2">
      <c r="A474" s="631" t="s">
        <v>766</v>
      </c>
      <c r="B474" s="631">
        <v>2000</v>
      </c>
      <c r="C474" s="631">
        <v>2000</v>
      </c>
      <c r="D474" s="640" t="str">
        <f t="shared" si="178"/>
        <v>CXW20002000</v>
      </c>
      <c r="E474" s="1054">
        <f t="shared" si="177"/>
        <v>1204.7490499999999</v>
      </c>
      <c r="F474" s="632">
        <v>8</v>
      </c>
      <c r="G474" s="633">
        <f>F474*CCBASE!$B$51</f>
        <v>288</v>
      </c>
      <c r="H474" s="633"/>
      <c r="I474" s="633"/>
      <c r="J474" s="633"/>
      <c r="K474" s="633">
        <f>CCBASE!$I$25*B474/1000</f>
        <v>916.7490499999999</v>
      </c>
      <c r="L474" s="633"/>
      <c r="M474" s="633"/>
      <c r="N474" s="633"/>
      <c r="O474" s="633"/>
      <c r="P474" s="632"/>
      <c r="Q474" s="632"/>
      <c r="R474" s="632"/>
      <c r="S474" s="632"/>
      <c r="T474" s="632"/>
      <c r="U474" s="633"/>
      <c r="V474" s="632"/>
      <c r="W474" s="632"/>
      <c r="X474" s="632"/>
      <c r="Y474" s="632"/>
      <c r="Z474" s="632"/>
      <c r="AA474" s="632"/>
      <c r="AB474" s="632"/>
      <c r="AC474" s="632"/>
      <c r="AD474" s="632"/>
    </row>
    <row r="475" spans="1:30" x14ac:dyDescent="0.2">
      <c r="A475" s="631" t="s">
        <v>766</v>
      </c>
      <c r="B475" s="631">
        <v>2250</v>
      </c>
      <c r="C475" s="631">
        <v>2000</v>
      </c>
      <c r="D475" s="640" t="str">
        <f t="shared" si="178"/>
        <v>CXW22502000</v>
      </c>
      <c r="E475" s="1054">
        <f t="shared" si="177"/>
        <v>1319.3426812499999</v>
      </c>
      <c r="F475" s="632">
        <v>8</v>
      </c>
      <c r="G475" s="633">
        <f>F475*CCBASE!$B$51</f>
        <v>288</v>
      </c>
      <c r="H475" s="633"/>
      <c r="I475" s="633"/>
      <c r="J475" s="633"/>
      <c r="K475" s="633">
        <f>CCBASE!$I$25*B475/1000</f>
        <v>1031.3426812499999</v>
      </c>
      <c r="L475" s="633"/>
      <c r="M475" s="633"/>
      <c r="N475" s="633"/>
      <c r="O475" s="633"/>
      <c r="P475" s="632"/>
      <c r="Q475" s="632"/>
      <c r="R475" s="632"/>
      <c r="S475" s="632"/>
      <c r="T475" s="632"/>
      <c r="U475" s="633"/>
      <c r="V475" s="632"/>
      <c r="W475" s="632"/>
      <c r="X475" s="632"/>
      <c r="Y475" s="632"/>
      <c r="Z475" s="632"/>
      <c r="AA475" s="632"/>
      <c r="AB475" s="632"/>
      <c r="AC475" s="632"/>
      <c r="AD475" s="632"/>
    </row>
    <row r="476" spans="1:30" x14ac:dyDescent="0.2">
      <c r="A476" s="631" t="s">
        <v>766</v>
      </c>
      <c r="B476" s="631">
        <v>2500</v>
      </c>
      <c r="C476" s="631">
        <v>2000</v>
      </c>
      <c r="D476" s="640" t="str">
        <f t="shared" si="178"/>
        <v>CXW25002000</v>
      </c>
      <c r="E476" s="1054">
        <f t="shared" si="177"/>
        <v>1433.9363124999998</v>
      </c>
      <c r="F476" s="632">
        <v>8</v>
      </c>
      <c r="G476" s="633">
        <f>F476*CCBASE!$B$51</f>
        <v>288</v>
      </c>
      <c r="H476" s="633"/>
      <c r="I476" s="633"/>
      <c r="J476" s="633"/>
      <c r="K476" s="633">
        <f>CCBASE!$I$25*B476/1000</f>
        <v>1145.9363124999998</v>
      </c>
      <c r="L476" s="633"/>
      <c r="M476" s="633"/>
      <c r="N476" s="633"/>
      <c r="O476" s="633"/>
      <c r="P476" s="632"/>
      <c r="Q476" s="632"/>
      <c r="R476" s="632"/>
      <c r="S476" s="632"/>
      <c r="T476" s="632"/>
      <c r="U476" s="633"/>
      <c r="V476" s="632"/>
      <c r="W476" s="632"/>
      <c r="X476" s="632"/>
      <c r="Y476" s="632"/>
      <c r="Z476" s="632"/>
      <c r="AA476" s="632"/>
      <c r="AB476" s="632"/>
      <c r="AC476" s="632"/>
      <c r="AD476" s="632"/>
    </row>
    <row r="477" spans="1:30" x14ac:dyDescent="0.2">
      <c r="A477" s="631" t="s">
        <v>766</v>
      </c>
      <c r="B477" s="631">
        <v>2750</v>
      </c>
      <c r="C477" s="631">
        <v>2000</v>
      </c>
      <c r="D477" s="640" t="str">
        <f t="shared" si="178"/>
        <v>CXW27502000</v>
      </c>
      <c r="E477" s="1054">
        <f t="shared" si="177"/>
        <v>1548.5299437499998</v>
      </c>
      <c r="F477" s="632">
        <v>8</v>
      </c>
      <c r="G477" s="633">
        <f>F477*CCBASE!$B$51</f>
        <v>288</v>
      </c>
      <c r="H477" s="633"/>
      <c r="I477" s="633"/>
      <c r="J477" s="633"/>
      <c r="K477" s="633">
        <f>CCBASE!$I$25*B477/1000</f>
        <v>1260.5299437499998</v>
      </c>
      <c r="L477" s="633"/>
      <c r="M477" s="633"/>
      <c r="N477" s="633"/>
      <c r="O477" s="633"/>
      <c r="P477" s="632"/>
      <c r="Q477" s="632"/>
      <c r="R477" s="632"/>
      <c r="S477" s="632"/>
      <c r="T477" s="632"/>
      <c r="U477" s="633"/>
      <c r="V477" s="632"/>
      <c r="W477" s="632"/>
      <c r="X477" s="632"/>
      <c r="Y477" s="632"/>
      <c r="Z477" s="632"/>
      <c r="AA477" s="632"/>
      <c r="AB477" s="632"/>
      <c r="AC477" s="632"/>
      <c r="AD477" s="632"/>
    </row>
    <row r="478" spans="1:30" x14ac:dyDescent="0.2">
      <c r="A478" s="631" t="s">
        <v>766</v>
      </c>
      <c r="B478" s="631">
        <v>3000</v>
      </c>
      <c r="C478" s="631">
        <v>2000</v>
      </c>
      <c r="D478" s="640" t="str">
        <f t="shared" si="178"/>
        <v>CXW30002000</v>
      </c>
      <c r="E478" s="1054">
        <f t="shared" si="177"/>
        <v>1663.1235749999998</v>
      </c>
      <c r="F478" s="632">
        <v>8</v>
      </c>
      <c r="G478" s="633">
        <f>F478*CCBASE!$B$51</f>
        <v>288</v>
      </c>
      <c r="H478" s="633"/>
      <c r="I478" s="633"/>
      <c r="J478" s="633"/>
      <c r="K478" s="633">
        <f>CCBASE!$I$25*B478/1000</f>
        <v>1375.1235749999998</v>
      </c>
      <c r="L478" s="633"/>
      <c r="M478" s="633"/>
      <c r="N478" s="633"/>
      <c r="O478" s="633"/>
      <c r="P478" s="632"/>
      <c r="Q478" s="632"/>
      <c r="R478" s="632"/>
      <c r="S478" s="632"/>
      <c r="T478" s="632"/>
      <c r="U478" s="633"/>
      <c r="V478" s="632"/>
      <c r="W478" s="632"/>
      <c r="X478" s="632"/>
      <c r="Y478" s="632"/>
      <c r="Z478" s="632"/>
      <c r="AA478" s="632"/>
      <c r="AB478" s="632"/>
      <c r="AC478" s="632"/>
      <c r="AD478" s="632"/>
    </row>
    <row r="479" spans="1:30" x14ac:dyDescent="0.2">
      <c r="A479" s="631" t="s">
        <v>769</v>
      </c>
      <c r="B479" s="631">
        <v>1000</v>
      </c>
      <c r="C479" s="631">
        <v>1000</v>
      </c>
      <c r="D479" s="640" t="str">
        <f t="shared" si="178"/>
        <v>CXW-M10001000</v>
      </c>
      <c r="E479" s="1054">
        <f t="shared" si="177"/>
        <v>797.41089600000009</v>
      </c>
      <c r="F479" s="632">
        <v>15</v>
      </c>
      <c r="G479" s="633">
        <f>F479*CCBASE!$B$51</f>
        <v>540</v>
      </c>
      <c r="H479" s="633"/>
      <c r="I479" s="633"/>
      <c r="J479" s="633"/>
      <c r="K479" s="633">
        <f>CCBASE!$I$21*B479/1000</f>
        <v>218.83687000000003</v>
      </c>
      <c r="L479" s="633"/>
      <c r="M479" s="633"/>
      <c r="N479" s="633">
        <f>(CCBASE!$I$7*B272/1000*C272/1000)*0.45</f>
        <v>14.194026000000001</v>
      </c>
      <c r="O479" s="633">
        <f>CCBASE!$I$45*B479/1000</f>
        <v>9.9700000000000006</v>
      </c>
      <c r="P479" s="632"/>
      <c r="Q479" s="632"/>
      <c r="R479" s="632"/>
      <c r="S479" s="632"/>
      <c r="T479" s="632"/>
      <c r="U479" s="638">
        <f>CCBASE!$I$47</f>
        <v>14.41</v>
      </c>
      <c r="V479" s="632"/>
      <c r="W479" s="632"/>
      <c r="X479" s="632"/>
      <c r="Y479" s="632"/>
      <c r="Z479" s="632"/>
      <c r="AA479" s="632"/>
      <c r="AB479" s="632"/>
      <c r="AC479" s="632"/>
      <c r="AD479" s="632"/>
    </row>
    <row r="480" spans="1:30" x14ac:dyDescent="0.2">
      <c r="A480" s="631" t="s">
        <v>769</v>
      </c>
      <c r="B480" s="631">
        <v>1250</v>
      </c>
      <c r="C480" s="631">
        <v>1000</v>
      </c>
      <c r="D480" s="640" t="str">
        <f t="shared" si="178"/>
        <v>CXW-M12501000</v>
      </c>
      <c r="E480" s="1054">
        <f t="shared" si="177"/>
        <v>858.16111999999998</v>
      </c>
      <c r="F480" s="632">
        <v>15</v>
      </c>
      <c r="G480" s="633">
        <f>F480*CCBASE!$B$51</f>
        <v>540</v>
      </c>
      <c r="H480" s="633"/>
      <c r="I480" s="633"/>
      <c r="J480" s="633"/>
      <c r="K480" s="633">
        <f>CCBASE!$I$21*B480/1000</f>
        <v>273.5460875</v>
      </c>
      <c r="L480" s="633"/>
      <c r="M480" s="633"/>
      <c r="N480" s="633">
        <f>(CCBASE!$I$7*B273/1000*C273/1000)*0.45</f>
        <v>17.742532499999999</v>
      </c>
      <c r="O480" s="633">
        <f>CCBASE!$I$45*B480/1000</f>
        <v>12.4625</v>
      </c>
      <c r="P480" s="632"/>
      <c r="Q480" s="632"/>
      <c r="R480" s="632"/>
      <c r="S480" s="632"/>
      <c r="T480" s="632"/>
      <c r="U480" s="638">
        <f>CCBASE!$I$47</f>
        <v>14.41</v>
      </c>
      <c r="V480" s="632"/>
      <c r="W480" s="632"/>
      <c r="X480" s="632"/>
      <c r="Y480" s="632"/>
      <c r="Z480" s="632"/>
      <c r="AA480" s="632"/>
      <c r="AB480" s="632"/>
      <c r="AC480" s="632"/>
      <c r="AD480" s="632"/>
    </row>
    <row r="481" spans="1:30" x14ac:dyDescent="0.2">
      <c r="A481" s="631" t="s">
        <v>769</v>
      </c>
      <c r="B481" s="631">
        <v>1500</v>
      </c>
      <c r="C481" s="631">
        <v>1000</v>
      </c>
      <c r="D481" s="640" t="str">
        <f t="shared" si="178"/>
        <v>CXW-M15001000</v>
      </c>
      <c r="E481" s="1054">
        <f t="shared" si="177"/>
        <v>918.9113440000001</v>
      </c>
      <c r="F481" s="632">
        <v>15</v>
      </c>
      <c r="G481" s="633">
        <f>F481*CCBASE!$B$51</f>
        <v>540</v>
      </c>
      <c r="H481" s="633"/>
      <c r="I481" s="633"/>
      <c r="J481" s="633"/>
      <c r="K481" s="633">
        <f>CCBASE!$I$21*B481/1000</f>
        <v>328.25530500000008</v>
      </c>
      <c r="L481" s="633"/>
      <c r="M481" s="633"/>
      <c r="N481" s="633">
        <f>(CCBASE!$I$7*B274/1000*C274/1000)*0.45</f>
        <v>21.291039000000005</v>
      </c>
      <c r="O481" s="633">
        <f>CCBASE!$I$45*B481/1000</f>
        <v>14.955000000000002</v>
      </c>
      <c r="P481" s="632"/>
      <c r="Q481" s="632"/>
      <c r="R481" s="632"/>
      <c r="S481" s="632"/>
      <c r="T481" s="632"/>
      <c r="U481" s="638">
        <f>CCBASE!$I$47</f>
        <v>14.41</v>
      </c>
      <c r="V481" s="632"/>
      <c r="W481" s="632"/>
      <c r="X481" s="632"/>
      <c r="Y481" s="632"/>
      <c r="Z481" s="632"/>
      <c r="AA481" s="632"/>
      <c r="AB481" s="632"/>
      <c r="AC481" s="632"/>
      <c r="AD481" s="632"/>
    </row>
    <row r="482" spans="1:30" x14ac:dyDescent="0.2">
      <c r="A482" s="631" t="s">
        <v>769</v>
      </c>
      <c r="B482" s="631">
        <v>1750</v>
      </c>
      <c r="C482" s="631">
        <v>1000</v>
      </c>
      <c r="D482" s="640" t="str">
        <f t="shared" si="178"/>
        <v>CXW-M17501000</v>
      </c>
      <c r="E482" s="1054">
        <f t="shared" si="177"/>
        <v>1015.6615680000001</v>
      </c>
      <c r="F482" s="632">
        <v>16</v>
      </c>
      <c r="G482" s="633">
        <f>F482*CCBASE!$B$51</f>
        <v>576</v>
      </c>
      <c r="H482" s="633"/>
      <c r="I482" s="633"/>
      <c r="J482" s="633"/>
      <c r="K482" s="633">
        <f>CCBASE!$I$21*B482/1000</f>
        <v>382.9645225000001</v>
      </c>
      <c r="L482" s="633"/>
      <c r="M482" s="633"/>
      <c r="N482" s="633">
        <f>(CCBASE!$I$7*B275/1000*C275/1000)*0.45</f>
        <v>24.8395455</v>
      </c>
      <c r="O482" s="633">
        <f>CCBASE!$I$45*B482/1000</f>
        <v>17.447500000000002</v>
      </c>
      <c r="P482" s="632"/>
      <c r="Q482" s="632"/>
      <c r="R482" s="632"/>
      <c r="S482" s="632"/>
      <c r="T482" s="632"/>
      <c r="U482" s="638">
        <f>CCBASE!$I$47</f>
        <v>14.41</v>
      </c>
      <c r="V482" s="632"/>
      <c r="W482" s="632"/>
      <c r="X482" s="632"/>
      <c r="Y482" s="632"/>
      <c r="Z482" s="632"/>
      <c r="AA482" s="632"/>
      <c r="AB482" s="632"/>
      <c r="AC482" s="632"/>
      <c r="AD482" s="632"/>
    </row>
    <row r="483" spans="1:30" x14ac:dyDescent="0.2">
      <c r="A483" s="631" t="s">
        <v>769</v>
      </c>
      <c r="B483" s="631">
        <v>2000</v>
      </c>
      <c r="C483" s="631">
        <v>1000</v>
      </c>
      <c r="D483" s="640" t="str">
        <f t="shared" si="178"/>
        <v>CXW-M20001000</v>
      </c>
      <c r="E483" s="1054">
        <f t="shared" si="177"/>
        <v>1076.4117920000001</v>
      </c>
      <c r="F483" s="632">
        <v>16</v>
      </c>
      <c r="G483" s="633">
        <f>F483*CCBASE!$B$51</f>
        <v>576</v>
      </c>
      <c r="H483" s="633"/>
      <c r="I483" s="633"/>
      <c r="J483" s="633"/>
      <c r="K483" s="633">
        <f>CCBASE!$I$21*B483/1000</f>
        <v>437.67374000000007</v>
      </c>
      <c r="L483" s="633"/>
      <c r="M483" s="633"/>
      <c r="N483" s="633">
        <f>(CCBASE!$I$7*B276/1000*C276/1000)*0.45</f>
        <v>28.388052000000002</v>
      </c>
      <c r="O483" s="633">
        <f>CCBASE!$I$45*B483/1000</f>
        <v>19.940000000000001</v>
      </c>
      <c r="P483" s="632"/>
      <c r="Q483" s="632"/>
      <c r="R483" s="632"/>
      <c r="S483" s="632"/>
      <c r="T483" s="632"/>
      <c r="U483" s="638">
        <f>CCBASE!$I$47</f>
        <v>14.41</v>
      </c>
      <c r="V483" s="632"/>
      <c r="W483" s="632"/>
      <c r="X483" s="632"/>
      <c r="Y483" s="632"/>
      <c r="Z483" s="632"/>
      <c r="AA483" s="632"/>
      <c r="AB483" s="632"/>
      <c r="AC483" s="632"/>
      <c r="AD483" s="632"/>
    </row>
    <row r="484" spans="1:30" x14ac:dyDescent="0.2">
      <c r="A484" s="631" t="s">
        <v>769</v>
      </c>
      <c r="B484" s="631">
        <v>2250</v>
      </c>
      <c r="C484" s="631">
        <v>1000</v>
      </c>
      <c r="D484" s="640" t="str">
        <f t="shared" si="178"/>
        <v>CXW-M22501000</v>
      </c>
      <c r="E484" s="1054">
        <f t="shared" si="177"/>
        <v>1151.5720159999998</v>
      </c>
      <c r="F484" s="632">
        <v>16</v>
      </c>
      <c r="G484" s="633">
        <f>F484*CCBASE!$B$51</f>
        <v>576</v>
      </c>
      <c r="H484" s="633"/>
      <c r="I484" s="633"/>
      <c r="J484" s="633"/>
      <c r="K484" s="633">
        <f>CCBASE!$I$21*B484/1000</f>
        <v>492.38295750000009</v>
      </c>
      <c r="L484" s="633"/>
      <c r="M484" s="633"/>
      <c r="N484" s="633">
        <f>(CCBASE!$I$7*B277/1000*C277/1000)*0.45</f>
        <v>31.936558500000007</v>
      </c>
      <c r="O484" s="633">
        <f>CCBASE!$I$45*B484/1000</f>
        <v>22.432500000000001</v>
      </c>
      <c r="P484" s="632"/>
      <c r="Q484" s="632"/>
      <c r="R484" s="632"/>
      <c r="S484" s="632"/>
      <c r="T484" s="632"/>
      <c r="U484" s="638">
        <f>CCBASE!$I$47*2</f>
        <v>28.82</v>
      </c>
      <c r="V484" s="632"/>
      <c r="W484" s="632"/>
      <c r="X484" s="632"/>
      <c r="Y484" s="632"/>
      <c r="Z484" s="632"/>
      <c r="AA484" s="632"/>
      <c r="AB484" s="632"/>
      <c r="AC484" s="632"/>
      <c r="AD484" s="632"/>
    </row>
    <row r="485" spans="1:30" x14ac:dyDescent="0.2">
      <c r="A485" s="631" t="s">
        <v>769</v>
      </c>
      <c r="B485" s="631">
        <v>2500</v>
      </c>
      <c r="C485" s="631">
        <v>1000</v>
      </c>
      <c r="D485" s="640" t="str">
        <f t="shared" si="178"/>
        <v>CXW-M25001000</v>
      </c>
      <c r="E485" s="1054">
        <f t="shared" si="177"/>
        <v>1212.32224</v>
      </c>
      <c r="F485" s="632">
        <v>16</v>
      </c>
      <c r="G485" s="633">
        <f>F485*CCBASE!$B$51</f>
        <v>576</v>
      </c>
      <c r="H485" s="633"/>
      <c r="I485" s="633"/>
      <c r="J485" s="633"/>
      <c r="K485" s="633">
        <f>CCBASE!$I$21*B485/1000</f>
        <v>547.092175</v>
      </c>
      <c r="L485" s="633"/>
      <c r="M485" s="633"/>
      <c r="N485" s="633">
        <f>(CCBASE!$I$7*B278/1000*C278/1000)*0.45</f>
        <v>35.485064999999999</v>
      </c>
      <c r="O485" s="633">
        <f>CCBASE!$I$45*B485/1000</f>
        <v>24.925000000000001</v>
      </c>
      <c r="P485" s="632"/>
      <c r="Q485" s="632"/>
      <c r="R485" s="632"/>
      <c r="S485" s="632"/>
      <c r="T485" s="632"/>
      <c r="U485" s="638">
        <f>CCBASE!$I$47*2</f>
        <v>28.82</v>
      </c>
      <c r="V485" s="632"/>
      <c r="W485" s="632"/>
      <c r="X485" s="632"/>
      <c r="Y485" s="632"/>
      <c r="Z485" s="632"/>
      <c r="AA485" s="632"/>
      <c r="AB485" s="632"/>
      <c r="AC485" s="632"/>
      <c r="AD485" s="632"/>
    </row>
    <row r="486" spans="1:30" x14ac:dyDescent="0.2">
      <c r="A486" s="631" t="s">
        <v>769</v>
      </c>
      <c r="B486" s="631">
        <v>2750</v>
      </c>
      <c r="C486" s="631">
        <v>1000</v>
      </c>
      <c r="D486" s="640" t="str">
        <f t="shared" si="178"/>
        <v>CXW-M27501000</v>
      </c>
      <c r="E486" s="1054">
        <f t="shared" si="177"/>
        <v>1273.0724640000001</v>
      </c>
      <c r="F486" s="632">
        <v>16</v>
      </c>
      <c r="G486" s="633">
        <f>F486*CCBASE!$B$51</f>
        <v>576</v>
      </c>
      <c r="H486" s="633"/>
      <c r="I486" s="633"/>
      <c r="J486" s="633"/>
      <c r="K486" s="633">
        <f>CCBASE!$I$21*B486/1000</f>
        <v>601.80139250000002</v>
      </c>
      <c r="L486" s="633"/>
      <c r="M486" s="633"/>
      <c r="N486" s="633">
        <f>(CCBASE!$I$7*B279/1000*C279/1000)*0.45</f>
        <v>39.033571500000001</v>
      </c>
      <c r="O486" s="633">
        <f>CCBASE!$I$45*B486/1000</f>
        <v>27.4175</v>
      </c>
      <c r="P486" s="632"/>
      <c r="Q486" s="632"/>
      <c r="R486" s="632"/>
      <c r="S486" s="632"/>
      <c r="T486" s="632"/>
      <c r="U486" s="638">
        <f>CCBASE!$I$47*2</f>
        <v>28.82</v>
      </c>
      <c r="V486" s="632"/>
      <c r="W486" s="632"/>
      <c r="X486" s="632"/>
      <c r="Y486" s="632"/>
      <c r="Z486" s="632"/>
      <c r="AA486" s="632"/>
      <c r="AB486" s="632"/>
      <c r="AC486" s="632"/>
      <c r="AD486" s="632"/>
    </row>
    <row r="487" spans="1:30" x14ac:dyDescent="0.2">
      <c r="A487" s="631" t="s">
        <v>769</v>
      </c>
      <c r="B487" s="631">
        <v>3000</v>
      </c>
      <c r="C487" s="631">
        <v>1000</v>
      </c>
      <c r="D487" s="640" t="str">
        <f t="shared" si="178"/>
        <v>CXW-M30001000</v>
      </c>
      <c r="E487" s="1054">
        <f t="shared" si="177"/>
        <v>1333.8226880000002</v>
      </c>
      <c r="F487" s="632">
        <v>16</v>
      </c>
      <c r="G487" s="633">
        <f>F487*CCBASE!$B$51</f>
        <v>576</v>
      </c>
      <c r="H487" s="633"/>
      <c r="I487" s="633"/>
      <c r="J487" s="633"/>
      <c r="K487" s="633">
        <f>CCBASE!$I$21*B487/1000</f>
        <v>656.51061000000016</v>
      </c>
      <c r="L487" s="633"/>
      <c r="M487" s="633"/>
      <c r="N487" s="633">
        <f>(CCBASE!$I$7*B280/1000*C280/1000)*0.45</f>
        <v>42.58207800000001</v>
      </c>
      <c r="O487" s="633">
        <f>CCBASE!$I$45*B487/1000</f>
        <v>29.910000000000004</v>
      </c>
      <c r="P487" s="632"/>
      <c r="Q487" s="632"/>
      <c r="R487" s="632"/>
      <c r="S487" s="632"/>
      <c r="T487" s="632"/>
      <c r="U487" s="638">
        <f>CCBASE!$I$47*2</f>
        <v>28.82</v>
      </c>
      <c r="V487" s="632"/>
      <c r="W487" s="632"/>
      <c r="X487" s="632"/>
      <c r="Y487" s="632"/>
      <c r="Z487" s="632"/>
      <c r="AA487" s="632"/>
      <c r="AB487" s="632"/>
      <c r="AC487" s="632"/>
      <c r="AD487" s="632"/>
    </row>
    <row r="488" spans="1:30" x14ac:dyDescent="0.2">
      <c r="A488" s="631" t="s">
        <v>769</v>
      </c>
      <c r="B488" s="631">
        <v>1000</v>
      </c>
      <c r="C488" s="631">
        <v>1250</v>
      </c>
      <c r="D488" s="640" t="str">
        <f t="shared" si="178"/>
        <v>CXW-M10001250</v>
      </c>
      <c r="E488" s="1054">
        <f t="shared" si="177"/>
        <v>830.53195249999999</v>
      </c>
      <c r="F488" s="632">
        <v>15</v>
      </c>
      <c r="G488" s="633">
        <f>F488*CCBASE!$B$51</f>
        <v>540</v>
      </c>
      <c r="H488" s="633"/>
      <c r="I488" s="633"/>
      <c r="J488" s="633"/>
      <c r="K488" s="633">
        <f>CCBASE!$I$22*B488/1000</f>
        <v>248.40942000000001</v>
      </c>
      <c r="L488" s="633"/>
      <c r="M488" s="633"/>
      <c r="N488" s="633">
        <f>(CCBASE!$I$7*B281/1000*C281/1000)*0.45</f>
        <v>17.742532499999999</v>
      </c>
      <c r="O488" s="633">
        <f>CCBASE!$I$45*B488/1000</f>
        <v>9.9700000000000006</v>
      </c>
      <c r="P488" s="632"/>
      <c r="Q488" s="632"/>
      <c r="R488" s="632"/>
      <c r="S488" s="632"/>
      <c r="T488" s="632"/>
      <c r="U488" s="638">
        <f>CCBASE!$I$47</f>
        <v>14.41</v>
      </c>
      <c r="V488" s="632"/>
      <c r="W488" s="632"/>
      <c r="X488" s="632"/>
      <c r="Y488" s="632"/>
      <c r="Z488" s="632"/>
      <c r="AA488" s="632"/>
      <c r="AB488" s="632"/>
      <c r="AC488" s="632"/>
      <c r="AD488" s="632"/>
    </row>
    <row r="489" spans="1:30" x14ac:dyDescent="0.2">
      <c r="A489" s="631" t="s">
        <v>769</v>
      </c>
      <c r="B489" s="631">
        <v>1250</v>
      </c>
      <c r="C489" s="631">
        <v>1250</v>
      </c>
      <c r="D489" s="640" t="str">
        <f t="shared" si="178"/>
        <v>CXW-M12501250</v>
      </c>
      <c r="E489" s="1054">
        <f t="shared" si="177"/>
        <v>899.56244062499991</v>
      </c>
      <c r="F489" s="632">
        <v>15</v>
      </c>
      <c r="G489" s="633">
        <f>F489*CCBASE!$B$51</f>
        <v>540</v>
      </c>
      <c r="H489" s="633"/>
      <c r="I489" s="633"/>
      <c r="J489" s="633"/>
      <c r="K489" s="633">
        <f>CCBASE!$I$22*B489/1000</f>
        <v>310.511775</v>
      </c>
      <c r="L489" s="633"/>
      <c r="M489" s="633"/>
      <c r="N489" s="633">
        <f>(CCBASE!$I$7*B282/1000*C282/1000)*0.45</f>
        <v>22.178165625000002</v>
      </c>
      <c r="O489" s="633">
        <f>CCBASE!$I$45*B489/1000</f>
        <v>12.4625</v>
      </c>
      <c r="P489" s="632"/>
      <c r="Q489" s="632"/>
      <c r="R489" s="632"/>
      <c r="S489" s="632"/>
      <c r="T489" s="632"/>
      <c r="U489" s="638">
        <f>CCBASE!$I$47</f>
        <v>14.41</v>
      </c>
      <c r="V489" s="632"/>
      <c r="W489" s="632"/>
      <c r="X489" s="632"/>
      <c r="Y489" s="632"/>
      <c r="Z489" s="632"/>
      <c r="AA489" s="632"/>
      <c r="AB489" s="632"/>
      <c r="AC489" s="632"/>
      <c r="AD489" s="632"/>
    </row>
    <row r="490" spans="1:30" x14ac:dyDescent="0.2">
      <c r="A490" s="631" t="s">
        <v>769</v>
      </c>
      <c r="B490" s="631">
        <v>1500</v>
      </c>
      <c r="C490" s="631">
        <v>1250</v>
      </c>
      <c r="D490" s="640" t="str">
        <f t="shared" si="178"/>
        <v>CXW-M15001250</v>
      </c>
      <c r="E490" s="1054">
        <f t="shared" si="177"/>
        <v>968.59292874999994</v>
      </c>
      <c r="F490" s="632">
        <v>15</v>
      </c>
      <c r="G490" s="633">
        <f>F490*CCBASE!$B$51</f>
        <v>540</v>
      </c>
      <c r="H490" s="633"/>
      <c r="I490" s="633"/>
      <c r="J490" s="633"/>
      <c r="K490" s="633">
        <f>CCBASE!$I$22*B490/1000</f>
        <v>372.61412999999999</v>
      </c>
      <c r="L490" s="633"/>
      <c r="M490" s="633"/>
      <c r="N490" s="633">
        <f>(CCBASE!$I$7*B283/1000*C283/1000)*0.45</f>
        <v>26.613798750000004</v>
      </c>
      <c r="O490" s="633">
        <f>CCBASE!$I$45*B490/1000</f>
        <v>14.955000000000002</v>
      </c>
      <c r="P490" s="632"/>
      <c r="Q490" s="632"/>
      <c r="R490" s="632"/>
      <c r="S490" s="632"/>
      <c r="T490" s="632"/>
      <c r="U490" s="638">
        <f>CCBASE!$I$47</f>
        <v>14.41</v>
      </c>
      <c r="V490" s="632"/>
      <c r="W490" s="632"/>
      <c r="X490" s="632"/>
      <c r="Y490" s="632"/>
      <c r="Z490" s="632"/>
      <c r="AA490" s="632"/>
      <c r="AB490" s="632"/>
      <c r="AC490" s="632"/>
      <c r="AD490" s="632"/>
    </row>
    <row r="491" spans="1:30" x14ac:dyDescent="0.2">
      <c r="A491" s="631" t="s">
        <v>769</v>
      </c>
      <c r="B491" s="631">
        <v>1750</v>
      </c>
      <c r="C491" s="631">
        <v>1250</v>
      </c>
      <c r="D491" s="640" t="str">
        <f t="shared" si="178"/>
        <v>CXW-M17501250</v>
      </c>
      <c r="E491" s="1054">
        <f t="shared" si="177"/>
        <v>1073.6234168750002</v>
      </c>
      <c r="F491" s="632">
        <v>16</v>
      </c>
      <c r="G491" s="633">
        <f>F491*CCBASE!$B$51</f>
        <v>576</v>
      </c>
      <c r="H491" s="633"/>
      <c r="I491" s="633"/>
      <c r="J491" s="633"/>
      <c r="K491" s="633">
        <f>CCBASE!$I$22*B491/1000</f>
        <v>434.71648500000003</v>
      </c>
      <c r="L491" s="633"/>
      <c r="M491" s="633"/>
      <c r="N491" s="633">
        <f>(CCBASE!$I$7*B284/1000*C284/1000)*0.45</f>
        <v>31.049431875000003</v>
      </c>
      <c r="O491" s="633">
        <f>CCBASE!$I$45*B491/1000</f>
        <v>17.447500000000002</v>
      </c>
      <c r="P491" s="632"/>
      <c r="Q491" s="632"/>
      <c r="R491" s="632"/>
      <c r="S491" s="632"/>
      <c r="T491" s="632"/>
      <c r="U491" s="638">
        <f>CCBASE!$I$47</f>
        <v>14.41</v>
      </c>
      <c r="V491" s="632"/>
      <c r="W491" s="632"/>
      <c r="X491" s="632"/>
      <c r="Y491" s="632"/>
      <c r="Z491" s="632"/>
      <c r="AA491" s="632"/>
      <c r="AB491" s="632"/>
      <c r="AC491" s="632"/>
      <c r="AD491" s="632"/>
    </row>
    <row r="492" spans="1:30" x14ac:dyDescent="0.2">
      <c r="A492" s="631" t="s">
        <v>769</v>
      </c>
      <c r="B492" s="631">
        <v>2000</v>
      </c>
      <c r="C492" s="631">
        <v>1250</v>
      </c>
      <c r="D492" s="640" t="str">
        <f t="shared" si="178"/>
        <v>CXW-M20001250</v>
      </c>
      <c r="E492" s="1054">
        <f t="shared" si="177"/>
        <v>1142.6539050000001</v>
      </c>
      <c r="F492" s="632">
        <v>16</v>
      </c>
      <c r="G492" s="633">
        <f>F492*CCBASE!$B$51</f>
        <v>576</v>
      </c>
      <c r="H492" s="633"/>
      <c r="I492" s="633"/>
      <c r="J492" s="633"/>
      <c r="K492" s="633">
        <f>CCBASE!$I$22*B492/1000</f>
        <v>496.81884000000002</v>
      </c>
      <c r="L492" s="633"/>
      <c r="M492" s="633"/>
      <c r="N492" s="633">
        <f>(CCBASE!$I$7*B285/1000*C285/1000)*0.45</f>
        <v>35.485064999999999</v>
      </c>
      <c r="O492" s="633">
        <f>CCBASE!$I$45*B492/1000</f>
        <v>19.940000000000001</v>
      </c>
      <c r="P492" s="632"/>
      <c r="Q492" s="632"/>
      <c r="R492" s="632"/>
      <c r="S492" s="632"/>
      <c r="T492" s="632"/>
      <c r="U492" s="638">
        <f>CCBASE!$I$47</f>
        <v>14.41</v>
      </c>
      <c r="V492" s="632"/>
      <c r="W492" s="632"/>
      <c r="X492" s="632"/>
      <c r="Y492" s="632"/>
      <c r="Z492" s="632"/>
      <c r="AA492" s="632"/>
      <c r="AB492" s="632"/>
      <c r="AC492" s="632"/>
      <c r="AD492" s="632"/>
    </row>
    <row r="493" spans="1:30" x14ac:dyDescent="0.2">
      <c r="A493" s="631" t="s">
        <v>769</v>
      </c>
      <c r="B493" s="631">
        <v>2250</v>
      </c>
      <c r="C493" s="631">
        <v>1250</v>
      </c>
      <c r="D493" s="640" t="str">
        <f t="shared" si="178"/>
        <v>CXW-M22501250</v>
      </c>
      <c r="E493" s="1054">
        <f t="shared" si="177"/>
        <v>1226.0943931249997</v>
      </c>
      <c r="F493" s="632">
        <v>16</v>
      </c>
      <c r="G493" s="633">
        <f>F493*CCBASE!$B$51</f>
        <v>576</v>
      </c>
      <c r="H493" s="633"/>
      <c r="I493" s="633"/>
      <c r="J493" s="633"/>
      <c r="K493" s="633">
        <f>CCBASE!$I$22*B493/1000</f>
        <v>558.92119500000001</v>
      </c>
      <c r="L493" s="633"/>
      <c r="M493" s="633"/>
      <c r="N493" s="633">
        <f>(CCBASE!$I$7*B286/1000*C286/1000)*0.45</f>
        <v>39.920698125000008</v>
      </c>
      <c r="O493" s="633">
        <f>CCBASE!$I$45*B493/1000</f>
        <v>22.432500000000001</v>
      </c>
      <c r="P493" s="632"/>
      <c r="Q493" s="632"/>
      <c r="R493" s="632"/>
      <c r="S493" s="632"/>
      <c r="T493" s="632"/>
      <c r="U493" s="638">
        <f>CCBASE!$I$47*2</f>
        <v>28.82</v>
      </c>
      <c r="V493" s="632"/>
      <c r="W493" s="632"/>
      <c r="X493" s="632"/>
      <c r="Y493" s="632"/>
      <c r="Z493" s="632"/>
      <c r="AA493" s="632"/>
      <c r="AB493" s="632"/>
      <c r="AC493" s="632"/>
      <c r="AD493" s="632"/>
    </row>
    <row r="494" spans="1:30" x14ac:dyDescent="0.2">
      <c r="A494" s="631" t="s">
        <v>769</v>
      </c>
      <c r="B494" s="631">
        <v>2500</v>
      </c>
      <c r="C494" s="631">
        <v>1250</v>
      </c>
      <c r="D494" s="640" t="str">
        <f t="shared" si="178"/>
        <v>CXW-M25001250</v>
      </c>
      <c r="E494" s="1054">
        <f t="shared" si="177"/>
        <v>1295.1248812499998</v>
      </c>
      <c r="F494" s="632">
        <v>16</v>
      </c>
      <c r="G494" s="633">
        <f>F494*CCBASE!$B$51</f>
        <v>576</v>
      </c>
      <c r="H494" s="633"/>
      <c r="I494" s="633"/>
      <c r="J494" s="633"/>
      <c r="K494" s="633">
        <f>CCBASE!$I$22*B494/1000</f>
        <v>621.02355</v>
      </c>
      <c r="L494" s="633"/>
      <c r="M494" s="633"/>
      <c r="N494" s="633">
        <f>(CCBASE!$I$7*B287/1000*C287/1000)*0.45</f>
        <v>44.356331250000004</v>
      </c>
      <c r="O494" s="633">
        <f>CCBASE!$I$45*B494/1000</f>
        <v>24.925000000000001</v>
      </c>
      <c r="P494" s="632"/>
      <c r="Q494" s="632"/>
      <c r="R494" s="632"/>
      <c r="S494" s="632"/>
      <c r="T494" s="632"/>
      <c r="U494" s="638">
        <f>CCBASE!$I$47*2</f>
        <v>28.82</v>
      </c>
      <c r="V494" s="632"/>
      <c r="W494" s="632"/>
      <c r="X494" s="632"/>
      <c r="Y494" s="632"/>
      <c r="Z494" s="632"/>
      <c r="AA494" s="632"/>
      <c r="AB494" s="632"/>
      <c r="AC494" s="632"/>
      <c r="AD494" s="632"/>
    </row>
    <row r="495" spans="1:30" x14ac:dyDescent="0.2">
      <c r="A495" s="631" t="s">
        <v>769</v>
      </c>
      <c r="B495" s="631">
        <v>2750</v>
      </c>
      <c r="C495" s="631">
        <v>1250</v>
      </c>
      <c r="D495" s="640" t="str">
        <f t="shared" si="178"/>
        <v>CXW-M27501250</v>
      </c>
      <c r="E495" s="1054">
        <f t="shared" si="177"/>
        <v>1364.1553693749997</v>
      </c>
      <c r="F495" s="632">
        <v>16</v>
      </c>
      <c r="G495" s="633">
        <f>F495*CCBASE!$B$51</f>
        <v>576</v>
      </c>
      <c r="H495" s="633"/>
      <c r="I495" s="633"/>
      <c r="J495" s="633"/>
      <c r="K495" s="633">
        <f>CCBASE!$I$22*B495/1000</f>
        <v>683.12590499999999</v>
      </c>
      <c r="L495" s="633"/>
      <c r="M495" s="633"/>
      <c r="N495" s="633">
        <f>(CCBASE!$I$7*B288/1000*C288/1000)*0.45</f>
        <v>48.791964374999999</v>
      </c>
      <c r="O495" s="633">
        <f>CCBASE!$I$45*B495/1000</f>
        <v>27.4175</v>
      </c>
      <c r="P495" s="632"/>
      <c r="Q495" s="632"/>
      <c r="R495" s="632"/>
      <c r="S495" s="632"/>
      <c r="T495" s="632"/>
      <c r="U495" s="638">
        <f>CCBASE!$I$47*2</f>
        <v>28.82</v>
      </c>
      <c r="V495" s="632"/>
      <c r="W495" s="632"/>
      <c r="X495" s="632"/>
      <c r="Y495" s="632"/>
      <c r="Z495" s="632"/>
      <c r="AA495" s="632"/>
      <c r="AB495" s="632"/>
      <c r="AC495" s="632"/>
      <c r="AD495" s="632"/>
    </row>
    <row r="496" spans="1:30" x14ac:dyDescent="0.2">
      <c r="A496" s="631" t="s">
        <v>769</v>
      </c>
      <c r="B496" s="631">
        <v>3000</v>
      </c>
      <c r="C496" s="631">
        <v>1250</v>
      </c>
      <c r="D496" s="640" t="str">
        <f t="shared" si="178"/>
        <v>CXW-M30001250</v>
      </c>
      <c r="E496" s="1054">
        <f t="shared" si="177"/>
        <v>1433.1858574999999</v>
      </c>
      <c r="F496" s="632">
        <v>16</v>
      </c>
      <c r="G496" s="633">
        <f>F496*CCBASE!$B$51</f>
        <v>576</v>
      </c>
      <c r="H496" s="633"/>
      <c r="I496" s="633"/>
      <c r="J496" s="633"/>
      <c r="K496" s="633">
        <f>CCBASE!$I$22*B496/1000</f>
        <v>745.22825999999998</v>
      </c>
      <c r="L496" s="633"/>
      <c r="M496" s="633"/>
      <c r="N496" s="633">
        <f>(CCBASE!$I$7*B289/1000*C289/1000)*0.45</f>
        <v>53.227597500000009</v>
      </c>
      <c r="O496" s="633">
        <f>CCBASE!$I$45*B496/1000</f>
        <v>29.910000000000004</v>
      </c>
      <c r="P496" s="632"/>
      <c r="Q496" s="632"/>
      <c r="R496" s="632"/>
      <c r="S496" s="632"/>
      <c r="T496" s="632"/>
      <c r="U496" s="638">
        <f>CCBASE!$I$47*2</f>
        <v>28.82</v>
      </c>
      <c r="V496" s="632"/>
      <c r="W496" s="632"/>
      <c r="X496" s="632"/>
      <c r="Y496" s="632"/>
      <c r="Z496" s="632"/>
      <c r="AA496" s="632"/>
      <c r="AB496" s="632"/>
      <c r="AC496" s="632"/>
      <c r="AD496" s="632"/>
    </row>
    <row r="497" spans="1:30" x14ac:dyDescent="0.2">
      <c r="A497" s="631" t="s">
        <v>769</v>
      </c>
      <c r="B497" s="631">
        <v>1000</v>
      </c>
      <c r="C497" s="631">
        <v>1500</v>
      </c>
      <c r="D497" s="640" t="str">
        <f t="shared" si="178"/>
        <v>CXW-M10001500</v>
      </c>
      <c r="E497" s="1054">
        <f t="shared" si="177"/>
        <v>872.52477399999987</v>
      </c>
      <c r="F497" s="632">
        <v>15</v>
      </c>
      <c r="G497" s="633">
        <f>F497*CCBASE!$B$51</f>
        <v>540</v>
      </c>
      <c r="H497" s="633"/>
      <c r="I497" s="633"/>
      <c r="J497" s="633"/>
      <c r="K497" s="633">
        <f>CCBASE!$I$23*B497/1000</f>
        <v>286.85373499999997</v>
      </c>
      <c r="L497" s="633"/>
      <c r="M497" s="633"/>
      <c r="N497" s="633">
        <f>(CCBASE!$I$7*B290/1000*C290/1000)*0.45</f>
        <v>21.291039000000005</v>
      </c>
      <c r="O497" s="633">
        <f>CCBASE!$I$45*B497/1000</f>
        <v>9.9700000000000006</v>
      </c>
      <c r="P497" s="632"/>
      <c r="Q497" s="632"/>
      <c r="R497" s="632"/>
      <c r="S497" s="632"/>
      <c r="T497" s="632"/>
      <c r="U497" s="638">
        <f>CCBASE!$I$47</f>
        <v>14.41</v>
      </c>
      <c r="V497" s="632"/>
      <c r="W497" s="632"/>
      <c r="X497" s="632"/>
      <c r="Y497" s="632"/>
      <c r="Z497" s="632"/>
      <c r="AA497" s="632"/>
      <c r="AB497" s="632"/>
      <c r="AC497" s="632"/>
      <c r="AD497" s="632"/>
    </row>
    <row r="498" spans="1:30" x14ac:dyDescent="0.2">
      <c r="A498" s="631" t="s">
        <v>769</v>
      </c>
      <c r="B498" s="631">
        <v>1250</v>
      </c>
      <c r="C498" s="631">
        <v>1500</v>
      </c>
      <c r="D498" s="640" t="str">
        <f t="shared" si="178"/>
        <v>CXW-M12501500</v>
      </c>
      <c r="E498" s="1054">
        <f t="shared" si="177"/>
        <v>952.0534674999999</v>
      </c>
      <c r="F498" s="632">
        <v>15</v>
      </c>
      <c r="G498" s="633">
        <f>F498*CCBASE!$B$51</f>
        <v>540</v>
      </c>
      <c r="H498" s="633"/>
      <c r="I498" s="633"/>
      <c r="J498" s="633"/>
      <c r="K498" s="633">
        <f>CCBASE!$I$23*B498/1000</f>
        <v>358.56716874999995</v>
      </c>
      <c r="L498" s="633"/>
      <c r="M498" s="633"/>
      <c r="N498" s="633">
        <f>(CCBASE!$I$7*B291/1000*C291/1000)*0.45</f>
        <v>26.613798750000001</v>
      </c>
      <c r="O498" s="633">
        <f>CCBASE!$I$45*B498/1000</f>
        <v>12.4625</v>
      </c>
      <c r="P498" s="632"/>
      <c r="Q498" s="632"/>
      <c r="R498" s="632"/>
      <c r="S498" s="632"/>
      <c r="T498" s="632"/>
      <c r="U498" s="638">
        <f>CCBASE!$I$47</f>
        <v>14.41</v>
      </c>
      <c r="V498" s="632"/>
      <c r="W498" s="632"/>
      <c r="X498" s="632"/>
      <c r="Y498" s="632"/>
      <c r="Z498" s="632"/>
      <c r="AA498" s="632"/>
      <c r="AB498" s="632"/>
      <c r="AC498" s="632"/>
      <c r="AD498" s="632"/>
    </row>
    <row r="499" spans="1:30" x14ac:dyDescent="0.2">
      <c r="A499" s="631" t="s">
        <v>769</v>
      </c>
      <c r="B499" s="631">
        <v>1500</v>
      </c>
      <c r="C499" s="631">
        <v>1500</v>
      </c>
      <c r="D499" s="640" t="str">
        <f t="shared" si="178"/>
        <v>CXW-M15001500</v>
      </c>
      <c r="E499" s="1054">
        <f t="shared" si="177"/>
        <v>1031.582161</v>
      </c>
      <c r="F499" s="632">
        <v>15</v>
      </c>
      <c r="G499" s="633">
        <f>F499*CCBASE!$B$51</f>
        <v>540</v>
      </c>
      <c r="H499" s="633"/>
      <c r="I499" s="633"/>
      <c r="J499" s="633"/>
      <c r="K499" s="633">
        <f>CCBASE!$I$23*B499/1000</f>
        <v>430.28060249999999</v>
      </c>
      <c r="L499" s="633"/>
      <c r="M499" s="633"/>
      <c r="N499" s="633">
        <f>(CCBASE!$I$7*B292/1000*C292/1000)*0.45</f>
        <v>31.936558500000007</v>
      </c>
      <c r="O499" s="633">
        <f>CCBASE!$I$45*B499/1000</f>
        <v>14.955000000000002</v>
      </c>
      <c r="P499" s="632"/>
      <c r="Q499" s="632"/>
      <c r="R499" s="632"/>
      <c r="S499" s="632"/>
      <c r="T499" s="632"/>
      <c r="U499" s="638">
        <f>CCBASE!$I$47</f>
        <v>14.41</v>
      </c>
      <c r="V499" s="632"/>
      <c r="W499" s="632"/>
      <c r="X499" s="632"/>
      <c r="Y499" s="632"/>
      <c r="Z499" s="632"/>
      <c r="AA499" s="632"/>
      <c r="AB499" s="632"/>
      <c r="AC499" s="632"/>
      <c r="AD499" s="632"/>
    </row>
    <row r="500" spans="1:30" x14ac:dyDescent="0.2">
      <c r="A500" s="631" t="s">
        <v>769</v>
      </c>
      <c r="B500" s="631">
        <v>1750</v>
      </c>
      <c r="C500" s="631">
        <v>1500</v>
      </c>
      <c r="D500" s="640" t="str">
        <f t="shared" si="178"/>
        <v>CXW-M17501500</v>
      </c>
      <c r="E500" s="1054">
        <f t="shared" si="177"/>
        <v>1147.1108545</v>
      </c>
      <c r="F500" s="632">
        <v>16</v>
      </c>
      <c r="G500" s="633">
        <f>F500*CCBASE!$B$51</f>
        <v>576</v>
      </c>
      <c r="H500" s="633"/>
      <c r="I500" s="633"/>
      <c r="J500" s="633"/>
      <c r="K500" s="633">
        <f>CCBASE!$I$23*B500/1000</f>
        <v>501.99403624999997</v>
      </c>
      <c r="L500" s="633"/>
      <c r="M500" s="633"/>
      <c r="N500" s="633">
        <f>(CCBASE!$I$7*B293/1000*C293/1000)*0.45</f>
        <v>37.25931825</v>
      </c>
      <c r="O500" s="633">
        <f>CCBASE!$I$45*B500/1000</f>
        <v>17.447500000000002</v>
      </c>
      <c r="P500" s="632"/>
      <c r="Q500" s="632"/>
      <c r="R500" s="632"/>
      <c r="S500" s="632"/>
      <c r="T500" s="632"/>
      <c r="U500" s="638">
        <f>CCBASE!$I$47</f>
        <v>14.41</v>
      </c>
      <c r="V500" s="632"/>
      <c r="W500" s="632"/>
      <c r="X500" s="632"/>
      <c r="Y500" s="632"/>
      <c r="Z500" s="632"/>
      <c r="AA500" s="632"/>
      <c r="AB500" s="632"/>
      <c r="AC500" s="632"/>
      <c r="AD500" s="632"/>
    </row>
    <row r="501" spans="1:30" x14ac:dyDescent="0.2">
      <c r="A501" s="631" t="s">
        <v>769</v>
      </c>
      <c r="B501" s="631">
        <v>2000</v>
      </c>
      <c r="C501" s="631">
        <v>1500</v>
      </c>
      <c r="D501" s="640" t="str">
        <f t="shared" si="178"/>
        <v>CXW-M20001500</v>
      </c>
      <c r="E501" s="1054">
        <f t="shared" si="177"/>
        <v>1226.6395479999999</v>
      </c>
      <c r="F501" s="632">
        <v>16</v>
      </c>
      <c r="G501" s="633">
        <f>F501*CCBASE!$B$51</f>
        <v>576</v>
      </c>
      <c r="H501" s="633"/>
      <c r="I501" s="633"/>
      <c r="J501" s="633"/>
      <c r="K501" s="633">
        <f>CCBASE!$I$23*B501/1000</f>
        <v>573.70746999999994</v>
      </c>
      <c r="L501" s="633"/>
      <c r="M501" s="633"/>
      <c r="N501" s="633">
        <f>(CCBASE!$I$7*B294/1000*C294/1000)*0.45</f>
        <v>42.58207800000001</v>
      </c>
      <c r="O501" s="633">
        <f>CCBASE!$I$45*B501/1000</f>
        <v>19.940000000000001</v>
      </c>
      <c r="P501" s="632"/>
      <c r="Q501" s="632"/>
      <c r="R501" s="632"/>
      <c r="S501" s="632"/>
      <c r="T501" s="632"/>
      <c r="U501" s="638">
        <f>CCBASE!$I$47</f>
        <v>14.41</v>
      </c>
      <c r="V501" s="632"/>
      <c r="W501" s="632"/>
      <c r="X501" s="632"/>
      <c r="Y501" s="632"/>
      <c r="Z501" s="632"/>
      <c r="AA501" s="632"/>
      <c r="AB501" s="632"/>
      <c r="AC501" s="632"/>
      <c r="AD501" s="632"/>
    </row>
    <row r="502" spans="1:30" x14ac:dyDescent="0.2">
      <c r="A502" s="631" t="s">
        <v>769</v>
      </c>
      <c r="B502" s="631">
        <v>2250</v>
      </c>
      <c r="C502" s="631">
        <v>1500</v>
      </c>
      <c r="D502" s="640" t="str">
        <f t="shared" si="178"/>
        <v>CXW-M22501500</v>
      </c>
      <c r="E502" s="1054">
        <f t="shared" si="177"/>
        <v>1320.5782414999999</v>
      </c>
      <c r="F502" s="632">
        <v>16</v>
      </c>
      <c r="G502" s="633">
        <f>F502*CCBASE!$B$51</f>
        <v>576</v>
      </c>
      <c r="H502" s="633"/>
      <c r="I502" s="633"/>
      <c r="J502" s="633"/>
      <c r="K502" s="633">
        <f>CCBASE!$I$23*B502/1000</f>
        <v>645.42090374999998</v>
      </c>
      <c r="L502" s="633"/>
      <c r="M502" s="633"/>
      <c r="N502" s="633">
        <f>(CCBASE!$I$7*B295/1000*C295/1000)*0.45</f>
        <v>47.904837750000006</v>
      </c>
      <c r="O502" s="633">
        <f>CCBASE!$I$45*B502/1000</f>
        <v>22.432500000000001</v>
      </c>
      <c r="P502" s="632"/>
      <c r="Q502" s="632"/>
      <c r="R502" s="632"/>
      <c r="S502" s="632"/>
      <c r="T502" s="632"/>
      <c r="U502" s="638">
        <f>CCBASE!$I$47*2</f>
        <v>28.82</v>
      </c>
      <c r="V502" s="632"/>
      <c r="W502" s="632"/>
      <c r="X502" s="632"/>
      <c r="Y502" s="632"/>
      <c r="Z502" s="632"/>
      <c r="AA502" s="632"/>
      <c r="AB502" s="632"/>
      <c r="AC502" s="632"/>
      <c r="AD502" s="632"/>
    </row>
    <row r="503" spans="1:30" x14ac:dyDescent="0.2">
      <c r="A503" s="631" t="s">
        <v>769</v>
      </c>
      <c r="B503" s="631">
        <v>2500</v>
      </c>
      <c r="C503" s="631">
        <v>1500</v>
      </c>
      <c r="D503" s="640" t="str">
        <f t="shared" si="178"/>
        <v>CXW-M25001500</v>
      </c>
      <c r="E503" s="1054">
        <f t="shared" si="177"/>
        <v>1400.1069349999998</v>
      </c>
      <c r="F503" s="632">
        <v>16</v>
      </c>
      <c r="G503" s="633">
        <f>F503*CCBASE!$B$51</f>
        <v>576</v>
      </c>
      <c r="H503" s="633"/>
      <c r="I503" s="633"/>
      <c r="J503" s="633"/>
      <c r="K503" s="633">
        <f>CCBASE!$I$23*B503/1000</f>
        <v>717.1343374999999</v>
      </c>
      <c r="L503" s="633"/>
      <c r="M503" s="633"/>
      <c r="N503" s="633">
        <f>(CCBASE!$I$7*B296/1000*C296/1000)*0.45</f>
        <v>53.227597500000002</v>
      </c>
      <c r="O503" s="633">
        <f>CCBASE!$I$45*B503/1000</f>
        <v>24.925000000000001</v>
      </c>
      <c r="P503" s="632"/>
      <c r="Q503" s="632"/>
      <c r="R503" s="632"/>
      <c r="S503" s="632"/>
      <c r="T503" s="632"/>
      <c r="U503" s="638">
        <f>CCBASE!$I$47*2</f>
        <v>28.82</v>
      </c>
      <c r="V503" s="632"/>
      <c r="W503" s="632"/>
      <c r="X503" s="632"/>
      <c r="Y503" s="632"/>
      <c r="Z503" s="632"/>
      <c r="AA503" s="632"/>
      <c r="AB503" s="632"/>
      <c r="AC503" s="632"/>
      <c r="AD503" s="632"/>
    </row>
    <row r="504" spans="1:30" x14ac:dyDescent="0.2">
      <c r="A504" s="631" t="s">
        <v>769</v>
      </c>
      <c r="B504" s="631">
        <v>2750</v>
      </c>
      <c r="C504" s="631">
        <v>1500</v>
      </c>
      <c r="D504" s="640" t="str">
        <f t="shared" si="178"/>
        <v>CXW-M27501500</v>
      </c>
      <c r="E504" s="1054">
        <f t="shared" si="177"/>
        <v>1479.6356284999997</v>
      </c>
      <c r="F504" s="632">
        <v>16</v>
      </c>
      <c r="G504" s="633">
        <f>F504*CCBASE!$B$51</f>
        <v>576</v>
      </c>
      <c r="H504" s="633"/>
      <c r="I504" s="633"/>
      <c r="J504" s="633"/>
      <c r="K504" s="633">
        <f>CCBASE!$I$23*B504/1000</f>
        <v>788.84777124999982</v>
      </c>
      <c r="L504" s="633"/>
      <c r="M504" s="633"/>
      <c r="N504" s="633">
        <f>(CCBASE!$I$7*B297/1000*C297/1000)*0.45</f>
        <v>58.550357250000005</v>
      </c>
      <c r="O504" s="633">
        <f>CCBASE!$I$45*B504/1000</f>
        <v>27.4175</v>
      </c>
      <c r="P504" s="632"/>
      <c r="Q504" s="632"/>
      <c r="R504" s="632"/>
      <c r="S504" s="632"/>
      <c r="T504" s="632"/>
      <c r="U504" s="638">
        <f>CCBASE!$I$47*2</f>
        <v>28.82</v>
      </c>
      <c r="V504" s="632"/>
      <c r="W504" s="632"/>
      <c r="X504" s="632"/>
      <c r="Y504" s="632"/>
      <c r="Z504" s="632"/>
      <c r="AA504" s="632"/>
      <c r="AB504" s="632"/>
      <c r="AC504" s="632"/>
      <c r="AD504" s="632"/>
    </row>
    <row r="505" spans="1:30" x14ac:dyDescent="0.2">
      <c r="A505" s="631" t="s">
        <v>769</v>
      </c>
      <c r="B505" s="631">
        <v>3000</v>
      </c>
      <c r="C505" s="631">
        <v>1500</v>
      </c>
      <c r="D505" s="640" t="str">
        <f t="shared" si="178"/>
        <v>CXW-M30001500</v>
      </c>
      <c r="E505" s="1054">
        <f t="shared" si="177"/>
        <v>1559.1643220000001</v>
      </c>
      <c r="F505" s="632">
        <v>16</v>
      </c>
      <c r="G505" s="633">
        <f>F505*CCBASE!$B$51</f>
        <v>576</v>
      </c>
      <c r="H505" s="633"/>
      <c r="I505" s="633"/>
      <c r="J505" s="633"/>
      <c r="K505" s="633">
        <f>CCBASE!$I$23*B505/1000</f>
        <v>860.56120499999997</v>
      </c>
      <c r="L505" s="633"/>
      <c r="M505" s="633"/>
      <c r="N505" s="633">
        <f>(CCBASE!$I$7*B298/1000*C298/1000)*0.45</f>
        <v>63.873117000000015</v>
      </c>
      <c r="O505" s="633">
        <f>CCBASE!$I$45*B505/1000</f>
        <v>29.910000000000004</v>
      </c>
      <c r="P505" s="632"/>
      <c r="Q505" s="632"/>
      <c r="R505" s="632"/>
      <c r="S505" s="632"/>
      <c r="T505" s="632"/>
      <c r="U505" s="638">
        <f>CCBASE!$I$47*2</f>
        <v>28.82</v>
      </c>
      <c r="V505" s="632"/>
      <c r="W505" s="632"/>
      <c r="X505" s="632"/>
      <c r="Y505" s="632"/>
      <c r="Z505" s="632"/>
      <c r="AA505" s="632"/>
      <c r="AB505" s="632"/>
      <c r="AC505" s="632"/>
      <c r="AD505" s="632"/>
    </row>
    <row r="506" spans="1:30" x14ac:dyDescent="0.2">
      <c r="A506" s="631" t="s">
        <v>769</v>
      </c>
      <c r="B506" s="631">
        <v>1000</v>
      </c>
      <c r="C506" s="631">
        <v>1750</v>
      </c>
      <c r="D506" s="640" t="str">
        <f t="shared" si="178"/>
        <v>CXW-M10001750</v>
      </c>
      <c r="E506" s="1054">
        <f t="shared" si="177"/>
        <v>1003.2352454999999</v>
      </c>
      <c r="F506" s="632">
        <v>15</v>
      </c>
      <c r="G506" s="633">
        <f>F506*CCBASE!$B$51</f>
        <v>540</v>
      </c>
      <c r="H506" s="633"/>
      <c r="I506" s="633"/>
      <c r="J506" s="633"/>
      <c r="K506" s="633">
        <f>CCBASE!$I$24*B506/1000</f>
        <v>414.01569999999998</v>
      </c>
      <c r="L506" s="633"/>
      <c r="M506" s="633"/>
      <c r="N506" s="633">
        <f>(CCBASE!$I$7*B299/1000*C299/1000)*0.45</f>
        <v>24.8395455</v>
      </c>
      <c r="O506" s="633">
        <f>CCBASE!$I$45*B506/1000</f>
        <v>9.9700000000000006</v>
      </c>
      <c r="P506" s="632"/>
      <c r="Q506" s="632"/>
      <c r="R506" s="632"/>
      <c r="S506" s="632"/>
      <c r="T506" s="632"/>
      <c r="U506" s="638">
        <f>CCBASE!$I$47</f>
        <v>14.41</v>
      </c>
      <c r="V506" s="632"/>
      <c r="W506" s="632"/>
      <c r="X506" s="632"/>
      <c r="Y506" s="632"/>
      <c r="Z506" s="632"/>
      <c r="AA506" s="632"/>
      <c r="AB506" s="632"/>
      <c r="AC506" s="632"/>
      <c r="AD506" s="632"/>
    </row>
    <row r="507" spans="1:30" x14ac:dyDescent="0.2">
      <c r="A507" s="631" t="s">
        <v>769</v>
      </c>
      <c r="B507" s="631">
        <v>1250</v>
      </c>
      <c r="C507" s="631">
        <v>1750</v>
      </c>
      <c r="D507" s="640" t="str">
        <f t="shared" si="178"/>
        <v>CXW-M12501750</v>
      </c>
      <c r="E507" s="1054">
        <f t="shared" si="177"/>
        <v>1115.4415568750001</v>
      </c>
      <c r="F507" s="632">
        <v>15</v>
      </c>
      <c r="G507" s="633">
        <f>F507*CCBASE!$B$51</f>
        <v>540</v>
      </c>
      <c r="H507" s="633"/>
      <c r="I507" s="633"/>
      <c r="J507" s="633"/>
      <c r="K507" s="633">
        <f>CCBASE!$I$24*B507/1000</f>
        <v>517.51962499999991</v>
      </c>
      <c r="L507" s="633"/>
      <c r="M507" s="633"/>
      <c r="N507" s="633">
        <f>(CCBASE!$I$7*B300/1000*C300/1000)*0.45</f>
        <v>31.049431875000003</v>
      </c>
      <c r="O507" s="633">
        <f>CCBASE!$I$45*B507/1000</f>
        <v>12.4625</v>
      </c>
      <c r="P507" s="632"/>
      <c r="Q507" s="632"/>
      <c r="R507" s="632"/>
      <c r="S507" s="632"/>
      <c r="T507" s="632"/>
      <c r="U507" s="638">
        <f>CCBASE!$I$47</f>
        <v>14.41</v>
      </c>
      <c r="V507" s="632"/>
      <c r="W507" s="632"/>
      <c r="X507" s="632"/>
      <c r="Y507" s="632"/>
      <c r="Z507" s="632"/>
      <c r="AA507" s="632"/>
      <c r="AB507" s="632"/>
      <c r="AC507" s="632"/>
      <c r="AD507" s="632"/>
    </row>
    <row r="508" spans="1:30" x14ac:dyDescent="0.2">
      <c r="A508" s="631" t="s">
        <v>769</v>
      </c>
      <c r="B508" s="631">
        <v>1500</v>
      </c>
      <c r="C508" s="631">
        <v>1750</v>
      </c>
      <c r="D508" s="640" t="str">
        <f t="shared" si="178"/>
        <v>CXW-M15001750</v>
      </c>
      <c r="E508" s="1054">
        <f t="shared" si="177"/>
        <v>1227.6478682499999</v>
      </c>
      <c r="F508" s="632">
        <v>15</v>
      </c>
      <c r="G508" s="633">
        <f>F508*CCBASE!$B$51</f>
        <v>540</v>
      </c>
      <c r="H508" s="633"/>
      <c r="I508" s="633"/>
      <c r="J508" s="633"/>
      <c r="K508" s="633">
        <f>CCBASE!$I$24*B508/1000</f>
        <v>621.02354999999989</v>
      </c>
      <c r="L508" s="633"/>
      <c r="M508" s="633"/>
      <c r="N508" s="633">
        <f>(CCBASE!$I$7*B301/1000*C301/1000)*0.45</f>
        <v>37.259318250000007</v>
      </c>
      <c r="O508" s="633">
        <f>CCBASE!$I$45*B508/1000</f>
        <v>14.955000000000002</v>
      </c>
      <c r="P508" s="632"/>
      <c r="Q508" s="632"/>
      <c r="R508" s="632"/>
      <c r="S508" s="632"/>
      <c r="T508" s="632"/>
      <c r="U508" s="638">
        <f>CCBASE!$I$47</f>
        <v>14.41</v>
      </c>
      <c r="V508" s="632"/>
      <c r="W508" s="632"/>
      <c r="X508" s="632"/>
      <c r="Y508" s="632"/>
      <c r="Z508" s="632"/>
      <c r="AA508" s="632"/>
      <c r="AB508" s="632"/>
      <c r="AC508" s="632"/>
      <c r="AD508" s="632"/>
    </row>
    <row r="509" spans="1:30" x14ac:dyDescent="0.2">
      <c r="A509" s="631" t="s">
        <v>769</v>
      </c>
      <c r="B509" s="631">
        <v>1750</v>
      </c>
      <c r="C509" s="631">
        <v>1750</v>
      </c>
      <c r="D509" s="640" t="str">
        <f t="shared" si="178"/>
        <v>CXW-M17501750</v>
      </c>
      <c r="E509" s="1054">
        <f t="shared" si="177"/>
        <v>1375.8541796249999</v>
      </c>
      <c r="F509" s="632">
        <v>16</v>
      </c>
      <c r="G509" s="633">
        <f>F509*CCBASE!$B$51</f>
        <v>576</v>
      </c>
      <c r="H509" s="633"/>
      <c r="I509" s="633"/>
      <c r="J509" s="633"/>
      <c r="K509" s="633">
        <f>CCBASE!$I$24*B509/1000</f>
        <v>724.52747499999987</v>
      </c>
      <c r="L509" s="633"/>
      <c r="M509" s="633"/>
      <c r="N509" s="633">
        <f>(CCBASE!$I$7*B302/1000*C302/1000)*0.45</f>
        <v>43.469204624999996</v>
      </c>
      <c r="O509" s="633">
        <f>CCBASE!$I$45*B509/1000</f>
        <v>17.447500000000002</v>
      </c>
      <c r="P509" s="632"/>
      <c r="Q509" s="632"/>
      <c r="R509" s="632"/>
      <c r="S509" s="632"/>
      <c r="T509" s="632"/>
      <c r="U509" s="638">
        <f>CCBASE!$I$47</f>
        <v>14.41</v>
      </c>
      <c r="V509" s="632"/>
      <c r="W509" s="632"/>
      <c r="X509" s="632"/>
      <c r="Y509" s="632"/>
      <c r="Z509" s="632"/>
      <c r="AA509" s="632"/>
      <c r="AB509" s="632"/>
      <c r="AC509" s="632"/>
      <c r="AD509" s="632"/>
    </row>
    <row r="510" spans="1:30" x14ac:dyDescent="0.2">
      <c r="A510" s="631" t="s">
        <v>769</v>
      </c>
      <c r="B510" s="631">
        <v>2000</v>
      </c>
      <c r="C510" s="631">
        <v>1750</v>
      </c>
      <c r="D510" s="640" t="str">
        <f t="shared" si="178"/>
        <v>CXW-M20001750</v>
      </c>
      <c r="E510" s="1054">
        <f t="shared" si="177"/>
        <v>1488.060491</v>
      </c>
      <c r="F510" s="632">
        <v>16</v>
      </c>
      <c r="G510" s="633">
        <f>F510*CCBASE!$B$51</f>
        <v>576</v>
      </c>
      <c r="H510" s="633"/>
      <c r="I510" s="633"/>
      <c r="J510" s="633"/>
      <c r="K510" s="633">
        <f>CCBASE!$I$24*B510/1000</f>
        <v>828.03139999999996</v>
      </c>
      <c r="L510" s="633"/>
      <c r="M510" s="633"/>
      <c r="N510" s="633">
        <f>(CCBASE!$I$7*B303/1000*C303/1000)*0.45</f>
        <v>49.679091</v>
      </c>
      <c r="O510" s="633">
        <f>CCBASE!$I$45*B510/1000</f>
        <v>19.940000000000001</v>
      </c>
      <c r="P510" s="632"/>
      <c r="Q510" s="632"/>
      <c r="R510" s="632"/>
      <c r="S510" s="632"/>
      <c r="T510" s="632"/>
      <c r="U510" s="638">
        <f>CCBASE!$I$47</f>
        <v>14.41</v>
      </c>
      <c r="V510" s="632"/>
      <c r="W510" s="632"/>
      <c r="X510" s="632"/>
      <c r="Y510" s="632"/>
      <c r="Z510" s="632"/>
      <c r="AA510" s="632"/>
      <c r="AB510" s="632"/>
      <c r="AC510" s="632"/>
      <c r="AD510" s="632"/>
    </row>
    <row r="511" spans="1:30" x14ac:dyDescent="0.2">
      <c r="A511" s="631" t="s">
        <v>769</v>
      </c>
      <c r="B511" s="631">
        <v>2250</v>
      </c>
      <c r="C511" s="631">
        <v>1750</v>
      </c>
      <c r="D511" s="640" t="str">
        <f t="shared" si="178"/>
        <v>CXW-M22501750</v>
      </c>
      <c r="E511" s="1054">
        <f t="shared" si="177"/>
        <v>1614.6768023749996</v>
      </c>
      <c r="F511" s="632">
        <v>16</v>
      </c>
      <c r="G511" s="633">
        <f>F511*CCBASE!$B$51</f>
        <v>576</v>
      </c>
      <c r="H511" s="633"/>
      <c r="I511" s="633"/>
      <c r="J511" s="633"/>
      <c r="K511" s="633">
        <f>CCBASE!$I$24*B511/1000</f>
        <v>931.53532499999983</v>
      </c>
      <c r="L511" s="633"/>
      <c r="M511" s="633"/>
      <c r="N511" s="633">
        <f>(CCBASE!$I$7*B304/1000*C304/1000)*0.45</f>
        <v>55.88897737500001</v>
      </c>
      <c r="O511" s="633">
        <f>CCBASE!$I$45*B511/1000</f>
        <v>22.432500000000001</v>
      </c>
      <c r="P511" s="632"/>
      <c r="Q511" s="632"/>
      <c r="R511" s="632"/>
      <c r="S511" s="632"/>
      <c r="T511" s="632"/>
      <c r="U511" s="638">
        <f>CCBASE!$I$47*2</f>
        <v>28.82</v>
      </c>
      <c r="V511" s="632"/>
      <c r="W511" s="632"/>
      <c r="X511" s="632"/>
      <c r="Y511" s="632"/>
      <c r="Z511" s="632"/>
      <c r="AA511" s="632"/>
      <c r="AB511" s="632"/>
      <c r="AC511" s="632"/>
      <c r="AD511" s="632"/>
    </row>
    <row r="512" spans="1:30" x14ac:dyDescent="0.2">
      <c r="A512" s="631" t="s">
        <v>769</v>
      </c>
      <c r="B512" s="631">
        <v>2500</v>
      </c>
      <c r="C512" s="631">
        <v>1750</v>
      </c>
      <c r="D512" s="640" t="str">
        <f t="shared" si="178"/>
        <v>CXW-M25001750</v>
      </c>
      <c r="E512" s="1054">
        <f t="shared" si="177"/>
        <v>1726.8831137499997</v>
      </c>
      <c r="F512" s="632">
        <v>16</v>
      </c>
      <c r="G512" s="633">
        <f>F512*CCBASE!$B$51</f>
        <v>576</v>
      </c>
      <c r="H512" s="633"/>
      <c r="I512" s="633"/>
      <c r="J512" s="633"/>
      <c r="K512" s="633">
        <f>CCBASE!$I$24*B512/1000</f>
        <v>1035.0392499999998</v>
      </c>
      <c r="L512" s="633"/>
      <c r="M512" s="633"/>
      <c r="N512" s="633">
        <f>(CCBASE!$I$7*B305/1000*C305/1000)*0.45</f>
        <v>62.098863750000007</v>
      </c>
      <c r="O512" s="633">
        <f>CCBASE!$I$45*B512/1000</f>
        <v>24.925000000000001</v>
      </c>
      <c r="P512" s="632"/>
      <c r="Q512" s="632"/>
      <c r="R512" s="632"/>
      <c r="S512" s="632"/>
      <c r="T512" s="632"/>
      <c r="U512" s="638">
        <f>CCBASE!$I$47*2</f>
        <v>28.82</v>
      </c>
      <c r="V512" s="632"/>
      <c r="W512" s="632"/>
      <c r="X512" s="632"/>
      <c r="Y512" s="632"/>
      <c r="Z512" s="632"/>
      <c r="AA512" s="632"/>
      <c r="AB512" s="632"/>
      <c r="AC512" s="632"/>
      <c r="AD512" s="632"/>
    </row>
    <row r="513" spans="1:30" x14ac:dyDescent="0.2">
      <c r="A513" s="631" t="s">
        <v>769</v>
      </c>
      <c r="B513" s="631">
        <v>2750</v>
      </c>
      <c r="C513" s="631">
        <v>1750</v>
      </c>
      <c r="D513" s="640" t="str">
        <f t="shared" si="178"/>
        <v>CXW-M27501750</v>
      </c>
      <c r="E513" s="1054">
        <f t="shared" si="177"/>
        <v>1839.0894251249997</v>
      </c>
      <c r="F513" s="632">
        <v>16</v>
      </c>
      <c r="G513" s="633">
        <f>F513*CCBASE!$B$51</f>
        <v>576</v>
      </c>
      <c r="H513" s="633"/>
      <c r="I513" s="633"/>
      <c r="J513" s="633"/>
      <c r="K513" s="633">
        <f>CCBASE!$I$24*B513/1000</f>
        <v>1138.5431749999998</v>
      </c>
      <c r="L513" s="633"/>
      <c r="M513" s="633"/>
      <c r="N513" s="633">
        <f>(CCBASE!$I$7*B306/1000*C306/1000)*0.45</f>
        <v>68.308750125000003</v>
      </c>
      <c r="O513" s="633">
        <f>CCBASE!$I$45*B513/1000</f>
        <v>27.4175</v>
      </c>
      <c r="P513" s="632"/>
      <c r="Q513" s="632"/>
      <c r="R513" s="632"/>
      <c r="S513" s="632"/>
      <c r="T513" s="632"/>
      <c r="U513" s="638">
        <f>CCBASE!$I$47*2</f>
        <v>28.82</v>
      </c>
      <c r="V513" s="632"/>
      <c r="W513" s="632"/>
      <c r="X513" s="632"/>
      <c r="Y513" s="632"/>
      <c r="Z513" s="632"/>
      <c r="AA513" s="632"/>
      <c r="AB513" s="632"/>
      <c r="AC513" s="632"/>
      <c r="AD513" s="632"/>
    </row>
    <row r="514" spans="1:30" x14ac:dyDescent="0.2">
      <c r="A514" s="631" t="s">
        <v>769</v>
      </c>
      <c r="B514" s="631">
        <v>3000</v>
      </c>
      <c r="C514" s="631">
        <v>1750</v>
      </c>
      <c r="D514" s="640" t="str">
        <f t="shared" si="178"/>
        <v>CXW-M30001750</v>
      </c>
      <c r="E514" s="1054">
        <f t="shared" si="177"/>
        <v>1951.2957364999997</v>
      </c>
      <c r="F514" s="632">
        <v>16</v>
      </c>
      <c r="G514" s="633">
        <f>F514*CCBASE!$B$51</f>
        <v>576</v>
      </c>
      <c r="H514" s="633"/>
      <c r="I514" s="633"/>
      <c r="J514" s="633"/>
      <c r="K514" s="633">
        <f>CCBASE!$I$24*B514/1000</f>
        <v>1242.0470999999998</v>
      </c>
      <c r="L514" s="633"/>
      <c r="M514" s="633"/>
      <c r="N514" s="633">
        <f>(CCBASE!$I$7*B307/1000*C307/1000)*0.45</f>
        <v>74.518636500000014</v>
      </c>
      <c r="O514" s="633">
        <f>CCBASE!$I$45*B514/1000</f>
        <v>29.910000000000004</v>
      </c>
      <c r="P514" s="632"/>
      <c r="Q514" s="632"/>
      <c r="R514" s="632"/>
      <c r="S514" s="632"/>
      <c r="T514" s="632"/>
      <c r="U514" s="638">
        <f>CCBASE!$I$47*2</f>
        <v>28.82</v>
      </c>
      <c r="V514" s="632"/>
      <c r="W514" s="632"/>
      <c r="X514" s="632"/>
      <c r="Y514" s="632"/>
      <c r="Z514" s="632"/>
      <c r="AA514" s="632"/>
      <c r="AB514" s="632"/>
      <c r="AC514" s="632"/>
      <c r="AD514" s="632"/>
    </row>
    <row r="515" spans="1:30" x14ac:dyDescent="0.2">
      <c r="A515" s="631" t="s">
        <v>769</v>
      </c>
      <c r="B515" s="631">
        <v>1000</v>
      </c>
      <c r="C515" s="631">
        <v>2000</v>
      </c>
      <c r="D515" s="640" t="str">
        <f t="shared" ref="D515:D572" si="179">$A515&amp;B515&amp;C515</f>
        <v>CXW-M10002000</v>
      </c>
      <c r="E515" s="1054">
        <f t="shared" si="177"/>
        <v>1036.948551</v>
      </c>
      <c r="F515" s="632">
        <v>15</v>
      </c>
      <c r="G515" s="633">
        <f>F515*CCBASE!$B$51</f>
        <v>540</v>
      </c>
      <c r="H515" s="633"/>
      <c r="I515" s="633"/>
      <c r="J515" s="633"/>
      <c r="K515" s="633">
        <f>CCBASE!$I$25*B515/1000</f>
        <v>458.37452499999995</v>
      </c>
      <c r="L515" s="633"/>
      <c r="M515" s="633"/>
      <c r="N515" s="633">
        <f>(CCBASE!$I$7*B317/1000*C317/1000)*0.45</f>
        <v>14.194026000000001</v>
      </c>
      <c r="O515" s="633">
        <f>CCBASE!$I$45*B515/1000</f>
        <v>9.9700000000000006</v>
      </c>
      <c r="P515" s="632"/>
      <c r="Q515" s="632"/>
      <c r="R515" s="632"/>
      <c r="S515" s="632"/>
      <c r="T515" s="632"/>
      <c r="U515" s="638">
        <f>CCBASE!$I$47</f>
        <v>14.41</v>
      </c>
      <c r="V515" s="632"/>
      <c r="W515" s="632"/>
      <c r="X515" s="632"/>
      <c r="Y515" s="632"/>
      <c r="Z515" s="632"/>
      <c r="AA515" s="632"/>
      <c r="AB515" s="632"/>
      <c r="AC515" s="632"/>
      <c r="AD515" s="632"/>
    </row>
    <row r="516" spans="1:30" x14ac:dyDescent="0.2">
      <c r="A516" s="631" t="s">
        <v>769</v>
      </c>
      <c r="B516" s="631">
        <v>1250</v>
      </c>
      <c r="C516" s="631">
        <v>2000</v>
      </c>
      <c r="D516" s="640" t="str">
        <f t="shared" si="179"/>
        <v>CXW-M12502000</v>
      </c>
      <c r="E516" s="1054">
        <f t="shared" si="177"/>
        <v>1157.5831887500001</v>
      </c>
      <c r="F516" s="632">
        <v>15</v>
      </c>
      <c r="G516" s="633">
        <f>F516*CCBASE!$B$51</f>
        <v>540</v>
      </c>
      <c r="H516" s="633"/>
      <c r="I516" s="633"/>
      <c r="J516" s="633"/>
      <c r="K516" s="633">
        <f>CCBASE!$I$25*B516/1000</f>
        <v>572.96815624999988</v>
      </c>
      <c r="L516" s="633"/>
      <c r="M516" s="633"/>
      <c r="N516" s="633">
        <f>(CCBASE!$I$7*B318/1000*C318/1000)*0.45</f>
        <v>17.742532499999999</v>
      </c>
      <c r="O516" s="633">
        <f>CCBASE!$I$45*B516/1000</f>
        <v>12.4625</v>
      </c>
      <c r="P516" s="632"/>
      <c r="Q516" s="632"/>
      <c r="R516" s="632"/>
      <c r="S516" s="632"/>
      <c r="T516" s="632"/>
      <c r="U516" s="638">
        <f>CCBASE!$I$47</f>
        <v>14.41</v>
      </c>
      <c r="V516" s="632"/>
      <c r="W516" s="632"/>
      <c r="X516" s="632"/>
      <c r="Y516" s="632"/>
      <c r="Z516" s="632"/>
      <c r="AA516" s="632"/>
      <c r="AB516" s="632"/>
      <c r="AC516" s="632"/>
      <c r="AD516" s="632"/>
    </row>
    <row r="517" spans="1:30" x14ac:dyDescent="0.2">
      <c r="A517" s="631" t="s">
        <v>769</v>
      </c>
      <c r="B517" s="631">
        <v>1500</v>
      </c>
      <c r="C517" s="631">
        <v>2000</v>
      </c>
      <c r="D517" s="640" t="str">
        <f t="shared" si="179"/>
        <v>CXW-M15002000</v>
      </c>
      <c r="E517" s="1054">
        <f t="shared" si="177"/>
        <v>1278.2178264999998</v>
      </c>
      <c r="F517" s="632">
        <v>15</v>
      </c>
      <c r="G517" s="633">
        <f>F517*CCBASE!$B$51</f>
        <v>540</v>
      </c>
      <c r="H517" s="633"/>
      <c r="I517" s="633"/>
      <c r="J517" s="633"/>
      <c r="K517" s="633">
        <f>CCBASE!$I$25*B517/1000</f>
        <v>687.56178749999992</v>
      </c>
      <c r="L517" s="633"/>
      <c r="M517" s="633"/>
      <c r="N517" s="633">
        <f>(CCBASE!$I$7*B319/1000*C319/1000)*0.45</f>
        <v>21.291039000000005</v>
      </c>
      <c r="O517" s="633">
        <f>CCBASE!$I$45*B517/1000</f>
        <v>14.955000000000002</v>
      </c>
      <c r="P517" s="632"/>
      <c r="Q517" s="632"/>
      <c r="R517" s="632"/>
      <c r="S517" s="632"/>
      <c r="T517" s="632"/>
      <c r="U517" s="638">
        <f>CCBASE!$I$47</f>
        <v>14.41</v>
      </c>
      <c r="V517" s="632"/>
      <c r="W517" s="632"/>
      <c r="X517" s="632"/>
      <c r="Y517" s="632"/>
      <c r="Z517" s="632"/>
      <c r="AA517" s="632"/>
      <c r="AB517" s="632"/>
      <c r="AC517" s="632"/>
      <c r="AD517" s="632"/>
    </row>
    <row r="518" spans="1:30" x14ac:dyDescent="0.2">
      <c r="A518" s="631" t="s">
        <v>769</v>
      </c>
      <c r="B518" s="631">
        <v>1750</v>
      </c>
      <c r="C518" s="631">
        <v>2000</v>
      </c>
      <c r="D518" s="640" t="str">
        <f t="shared" si="179"/>
        <v>CXW-M17502000</v>
      </c>
      <c r="E518" s="1054">
        <f t="shared" si="177"/>
        <v>1434.8524642500001</v>
      </c>
      <c r="F518" s="632">
        <v>16</v>
      </c>
      <c r="G518" s="633">
        <f>F518*CCBASE!$B$51</f>
        <v>576</v>
      </c>
      <c r="H518" s="633"/>
      <c r="I518" s="633"/>
      <c r="J518" s="633"/>
      <c r="K518" s="633">
        <f>CCBASE!$I$25*B518/1000</f>
        <v>802.15541874999997</v>
      </c>
      <c r="L518" s="633"/>
      <c r="M518" s="633"/>
      <c r="N518" s="633">
        <f>(CCBASE!$I$7*B320/1000*C320/1000)*0.45</f>
        <v>24.8395455</v>
      </c>
      <c r="O518" s="633">
        <f>CCBASE!$I$45*B518/1000</f>
        <v>17.447500000000002</v>
      </c>
      <c r="P518" s="632"/>
      <c r="Q518" s="632"/>
      <c r="R518" s="632"/>
      <c r="S518" s="632"/>
      <c r="T518" s="632"/>
      <c r="U518" s="638">
        <f>CCBASE!$I$47</f>
        <v>14.41</v>
      </c>
      <c r="V518" s="632"/>
      <c r="W518" s="632"/>
      <c r="X518" s="632"/>
      <c r="Y518" s="632"/>
      <c r="Z518" s="632"/>
      <c r="AA518" s="632"/>
      <c r="AB518" s="632"/>
      <c r="AC518" s="632"/>
      <c r="AD518" s="632"/>
    </row>
    <row r="519" spans="1:30" x14ac:dyDescent="0.2">
      <c r="A519" s="631" t="s">
        <v>769</v>
      </c>
      <c r="B519" s="631">
        <v>2000</v>
      </c>
      <c r="C519" s="631">
        <v>2000</v>
      </c>
      <c r="D519" s="640" t="str">
        <f t="shared" si="179"/>
        <v>CXW-M20002000</v>
      </c>
      <c r="E519" s="1054">
        <f t="shared" si="177"/>
        <v>1555.487102</v>
      </c>
      <c r="F519" s="632">
        <v>16</v>
      </c>
      <c r="G519" s="633">
        <f>F519*CCBASE!$B$51</f>
        <v>576</v>
      </c>
      <c r="H519" s="633"/>
      <c r="I519" s="633"/>
      <c r="J519" s="633"/>
      <c r="K519" s="633">
        <f>CCBASE!$I$25*B519/1000</f>
        <v>916.7490499999999</v>
      </c>
      <c r="L519" s="633"/>
      <c r="M519" s="633"/>
      <c r="N519" s="633">
        <f>(CCBASE!$I$7*B321/1000*C321/1000)*0.45</f>
        <v>28.388052000000002</v>
      </c>
      <c r="O519" s="633">
        <f>CCBASE!$I$45*B519/1000</f>
        <v>19.940000000000001</v>
      </c>
      <c r="P519" s="632"/>
      <c r="Q519" s="632"/>
      <c r="R519" s="632"/>
      <c r="S519" s="632"/>
      <c r="T519" s="632"/>
      <c r="U519" s="638">
        <f>CCBASE!$I$47</f>
        <v>14.41</v>
      </c>
      <c r="V519" s="632"/>
      <c r="W519" s="632"/>
      <c r="X519" s="632"/>
      <c r="Y519" s="632"/>
      <c r="Z519" s="632"/>
      <c r="AA519" s="632"/>
      <c r="AB519" s="632"/>
      <c r="AC519" s="632"/>
      <c r="AD519" s="632"/>
    </row>
    <row r="520" spans="1:30" x14ac:dyDescent="0.2">
      <c r="A520" s="631" t="s">
        <v>769</v>
      </c>
      <c r="B520" s="631">
        <v>2250</v>
      </c>
      <c r="C520" s="631">
        <v>2000</v>
      </c>
      <c r="D520" s="640" t="str">
        <f t="shared" si="179"/>
        <v>CXW-M22502000</v>
      </c>
      <c r="E520" s="1054">
        <f t="shared" si="177"/>
        <v>1690.5317397499998</v>
      </c>
      <c r="F520" s="632">
        <v>16</v>
      </c>
      <c r="G520" s="633">
        <f>F520*CCBASE!$B$51</f>
        <v>576</v>
      </c>
      <c r="H520" s="633"/>
      <c r="I520" s="633"/>
      <c r="J520" s="633"/>
      <c r="K520" s="633">
        <f>CCBASE!$I$25*B520/1000</f>
        <v>1031.3426812499999</v>
      </c>
      <c r="L520" s="633"/>
      <c r="M520" s="633"/>
      <c r="N520" s="633">
        <f>(CCBASE!$I$7*B322/1000*C322/1000)*0.45</f>
        <v>31.936558500000007</v>
      </c>
      <c r="O520" s="633">
        <f>CCBASE!$I$45*B520/1000</f>
        <v>22.432500000000001</v>
      </c>
      <c r="P520" s="632"/>
      <c r="Q520" s="632"/>
      <c r="R520" s="632"/>
      <c r="S520" s="632"/>
      <c r="T520" s="632"/>
      <c r="U520" s="638">
        <f>CCBASE!$I$47*2</f>
        <v>28.82</v>
      </c>
      <c r="V520" s="632"/>
      <c r="W520" s="632"/>
      <c r="X520" s="632"/>
      <c r="Y520" s="632"/>
      <c r="Z520" s="632"/>
      <c r="AA520" s="632"/>
      <c r="AB520" s="632"/>
      <c r="AC520" s="632"/>
      <c r="AD520" s="632"/>
    </row>
    <row r="521" spans="1:30" x14ac:dyDescent="0.2">
      <c r="A521" s="631" t="s">
        <v>769</v>
      </c>
      <c r="B521" s="631">
        <v>2500</v>
      </c>
      <c r="C521" s="631">
        <v>2000</v>
      </c>
      <c r="D521" s="640" t="str">
        <f t="shared" si="179"/>
        <v>CXW-M25002000</v>
      </c>
      <c r="E521" s="1054">
        <f t="shared" si="177"/>
        <v>1811.1663774999997</v>
      </c>
      <c r="F521" s="632">
        <v>16</v>
      </c>
      <c r="G521" s="633">
        <f>F521*CCBASE!$B$51</f>
        <v>576</v>
      </c>
      <c r="H521" s="633"/>
      <c r="I521" s="633"/>
      <c r="J521" s="633"/>
      <c r="K521" s="633">
        <f>CCBASE!$I$25*B521/1000</f>
        <v>1145.9363124999998</v>
      </c>
      <c r="L521" s="633"/>
      <c r="M521" s="633"/>
      <c r="N521" s="633">
        <f>(CCBASE!$I$7*B323/1000*C323/1000)*0.45</f>
        <v>35.485064999999999</v>
      </c>
      <c r="O521" s="633">
        <f>CCBASE!$I$45*B521/1000</f>
        <v>24.925000000000001</v>
      </c>
      <c r="P521" s="632"/>
      <c r="Q521" s="632"/>
      <c r="R521" s="632"/>
      <c r="S521" s="632"/>
      <c r="T521" s="632"/>
      <c r="U521" s="638">
        <f>CCBASE!$I$47*2</f>
        <v>28.82</v>
      </c>
      <c r="V521" s="632"/>
      <c r="W521" s="632"/>
      <c r="X521" s="632"/>
      <c r="Y521" s="632"/>
      <c r="Z521" s="632"/>
      <c r="AA521" s="632"/>
      <c r="AB521" s="632"/>
      <c r="AC521" s="632"/>
      <c r="AD521" s="632"/>
    </row>
    <row r="522" spans="1:30" x14ac:dyDescent="0.2">
      <c r="A522" s="631" t="s">
        <v>769</v>
      </c>
      <c r="B522" s="631">
        <v>2750</v>
      </c>
      <c r="C522" s="631">
        <v>2000</v>
      </c>
      <c r="D522" s="640" t="str">
        <f t="shared" si="179"/>
        <v>CXW-M27502000</v>
      </c>
      <c r="E522" s="1054">
        <f t="shared" si="177"/>
        <v>1931.8010152499999</v>
      </c>
      <c r="F522" s="632">
        <v>16</v>
      </c>
      <c r="G522" s="633">
        <f>F522*CCBASE!$B$51</f>
        <v>576</v>
      </c>
      <c r="H522" s="633"/>
      <c r="I522" s="633"/>
      <c r="J522" s="633"/>
      <c r="K522" s="633">
        <f>CCBASE!$I$25*B522/1000</f>
        <v>1260.5299437499998</v>
      </c>
      <c r="L522" s="633"/>
      <c r="M522" s="633"/>
      <c r="N522" s="633">
        <f>(CCBASE!$I$7*B324/1000*C324/1000)*0.45</f>
        <v>39.033571500000001</v>
      </c>
      <c r="O522" s="633">
        <f>CCBASE!$I$45*B522/1000</f>
        <v>27.4175</v>
      </c>
      <c r="P522" s="632"/>
      <c r="Q522" s="632"/>
      <c r="R522" s="632"/>
      <c r="S522" s="632"/>
      <c r="T522" s="632"/>
      <c r="U522" s="638">
        <f>CCBASE!$I$47*2</f>
        <v>28.82</v>
      </c>
      <c r="V522" s="632"/>
      <c r="W522" s="632"/>
      <c r="X522" s="632"/>
      <c r="Y522" s="632"/>
      <c r="Z522" s="632"/>
      <c r="AA522" s="632"/>
      <c r="AB522" s="632"/>
      <c r="AC522" s="632"/>
      <c r="AD522" s="632"/>
    </row>
    <row r="523" spans="1:30" x14ac:dyDescent="0.2">
      <c r="A523" s="631" t="s">
        <v>769</v>
      </c>
      <c r="B523" s="631">
        <v>3000</v>
      </c>
      <c r="C523" s="631">
        <v>2000</v>
      </c>
      <c r="D523" s="640" t="str">
        <f t="shared" si="179"/>
        <v>CXW-M30002000</v>
      </c>
      <c r="E523" s="1054">
        <f t="shared" si="177"/>
        <v>2052.435653</v>
      </c>
      <c r="F523" s="632">
        <v>16</v>
      </c>
      <c r="G523" s="633">
        <f>F523*CCBASE!$B$51</f>
        <v>576</v>
      </c>
      <c r="H523" s="633"/>
      <c r="I523" s="633"/>
      <c r="J523" s="633"/>
      <c r="K523" s="633">
        <f>CCBASE!$I$25*B523/1000</f>
        <v>1375.1235749999998</v>
      </c>
      <c r="L523" s="633"/>
      <c r="M523" s="633"/>
      <c r="N523" s="633">
        <f>(CCBASE!$I$7*B325/1000*C325/1000)*0.45</f>
        <v>42.58207800000001</v>
      </c>
      <c r="O523" s="633">
        <f>CCBASE!$I$45*B523/1000</f>
        <v>29.910000000000004</v>
      </c>
      <c r="P523" s="632"/>
      <c r="Q523" s="632"/>
      <c r="R523" s="632"/>
      <c r="S523" s="632"/>
      <c r="T523" s="632"/>
      <c r="U523" s="638">
        <f>CCBASE!$I$47*2</f>
        <v>28.82</v>
      </c>
      <c r="V523" s="632"/>
      <c r="W523" s="632"/>
      <c r="X523" s="632"/>
      <c r="Y523" s="632"/>
      <c r="Z523" s="632"/>
      <c r="AA523" s="632"/>
      <c r="AB523" s="632"/>
      <c r="AC523" s="632"/>
      <c r="AD523" s="632"/>
    </row>
    <row r="524" spans="1:30" x14ac:dyDescent="0.2">
      <c r="A524" s="631" t="s">
        <v>348</v>
      </c>
      <c r="B524" s="631">
        <v>1000</v>
      </c>
      <c r="C524" s="631">
        <v>1000</v>
      </c>
      <c r="D524" s="640" t="str">
        <f t="shared" si="179"/>
        <v>KVV10001000</v>
      </c>
      <c r="E524" s="1054">
        <f t="shared" si="177"/>
        <v>626.15295000000003</v>
      </c>
      <c r="F524" s="632">
        <v>10</v>
      </c>
      <c r="G524" s="633">
        <f>F524*CCBASE!$B$51</f>
        <v>360</v>
      </c>
      <c r="H524" s="633"/>
      <c r="I524" s="633"/>
      <c r="J524" s="633">
        <f>CCBASE!$I$26*B524/1000</f>
        <v>266.15295000000003</v>
      </c>
      <c r="K524" s="633"/>
      <c r="L524" s="633"/>
      <c r="M524" s="633"/>
      <c r="N524" s="633"/>
      <c r="O524" s="633"/>
      <c r="P524" s="632"/>
      <c r="Q524" s="632"/>
      <c r="R524" s="632"/>
      <c r="S524" s="632"/>
      <c r="T524" s="632"/>
      <c r="U524" s="632"/>
      <c r="V524" s="632"/>
      <c r="W524" s="632"/>
      <c r="X524" s="632"/>
      <c r="Y524" s="632"/>
      <c r="Z524" s="632"/>
      <c r="AA524" s="632"/>
      <c r="AB524" s="632"/>
      <c r="AC524" s="632"/>
      <c r="AD524" s="632"/>
    </row>
    <row r="525" spans="1:30" x14ac:dyDescent="0.2">
      <c r="A525" s="631" t="s">
        <v>348</v>
      </c>
      <c r="B525" s="631">
        <v>1250</v>
      </c>
      <c r="C525" s="631">
        <v>1000</v>
      </c>
      <c r="D525" s="640" t="str">
        <f t="shared" si="179"/>
        <v>KVV12501000</v>
      </c>
      <c r="E525" s="1054">
        <f t="shared" si="177"/>
        <v>692.69118750000007</v>
      </c>
      <c r="F525" s="632">
        <v>10</v>
      </c>
      <c r="G525" s="633">
        <f>F525*CCBASE!$B$51</f>
        <v>360</v>
      </c>
      <c r="H525" s="633"/>
      <c r="I525" s="633"/>
      <c r="J525" s="633">
        <f>CCBASE!$I$26*B525/1000</f>
        <v>332.69118750000007</v>
      </c>
      <c r="K525" s="633"/>
      <c r="L525" s="633"/>
      <c r="M525" s="633"/>
      <c r="N525" s="633"/>
      <c r="O525" s="633"/>
      <c r="P525" s="632"/>
      <c r="Q525" s="632"/>
      <c r="R525" s="632"/>
      <c r="S525" s="632"/>
      <c r="T525" s="632"/>
      <c r="U525" s="632"/>
      <c r="V525" s="632"/>
      <c r="W525" s="632"/>
      <c r="X525" s="632"/>
      <c r="Y525" s="632"/>
      <c r="Z525" s="632"/>
      <c r="AA525" s="632"/>
      <c r="AB525" s="632"/>
      <c r="AC525" s="632"/>
      <c r="AD525" s="632"/>
    </row>
    <row r="526" spans="1:30" x14ac:dyDescent="0.2">
      <c r="A526" s="631" t="s">
        <v>348</v>
      </c>
      <c r="B526" s="631">
        <v>1500</v>
      </c>
      <c r="C526" s="631">
        <v>1000</v>
      </c>
      <c r="D526" s="640" t="str">
        <f t="shared" si="179"/>
        <v>KVV15001000</v>
      </c>
      <c r="E526" s="1054">
        <f t="shared" si="177"/>
        <v>759.22942499999999</v>
      </c>
      <c r="F526" s="632">
        <v>10</v>
      </c>
      <c r="G526" s="633">
        <f>F526*CCBASE!$B$51</f>
        <v>360</v>
      </c>
      <c r="H526" s="633"/>
      <c r="I526" s="633"/>
      <c r="J526" s="633">
        <f>CCBASE!$I$26*B526/1000</f>
        <v>399.22942500000005</v>
      </c>
      <c r="K526" s="633"/>
      <c r="L526" s="633"/>
      <c r="M526" s="633"/>
      <c r="N526" s="633"/>
      <c r="O526" s="633"/>
      <c r="P526" s="632"/>
      <c r="Q526" s="632"/>
      <c r="R526" s="632"/>
      <c r="S526" s="632"/>
      <c r="T526" s="632"/>
      <c r="U526" s="632"/>
      <c r="V526" s="632"/>
      <c r="W526" s="632"/>
      <c r="X526" s="632"/>
      <c r="Y526" s="632"/>
      <c r="Z526" s="632"/>
      <c r="AA526" s="632"/>
      <c r="AB526" s="632"/>
      <c r="AC526" s="632"/>
      <c r="AD526" s="632"/>
    </row>
    <row r="527" spans="1:30" x14ac:dyDescent="0.2">
      <c r="A527" s="631" t="s">
        <v>348</v>
      </c>
      <c r="B527" s="631">
        <v>1750</v>
      </c>
      <c r="C527" s="631">
        <v>1000</v>
      </c>
      <c r="D527" s="640" t="str">
        <f t="shared" si="179"/>
        <v>KVV17501000</v>
      </c>
      <c r="E527" s="1054">
        <f t="shared" si="177"/>
        <v>897.76766250000003</v>
      </c>
      <c r="F527" s="632">
        <v>12</v>
      </c>
      <c r="G527" s="633">
        <f>F527*CCBASE!$B$51</f>
        <v>432</v>
      </c>
      <c r="H527" s="633"/>
      <c r="I527" s="633"/>
      <c r="J527" s="633">
        <f>CCBASE!$I$26*B527/1000</f>
        <v>465.76766250000003</v>
      </c>
      <c r="K527" s="633"/>
      <c r="L527" s="633"/>
      <c r="M527" s="633"/>
      <c r="N527" s="633"/>
      <c r="O527" s="633"/>
      <c r="P527" s="632"/>
      <c r="Q527" s="632"/>
      <c r="R527" s="632"/>
      <c r="S527" s="632"/>
      <c r="T527" s="632"/>
      <c r="U527" s="632"/>
      <c r="V527" s="632"/>
      <c r="W527" s="632"/>
      <c r="X527" s="632"/>
      <c r="Y527" s="632"/>
      <c r="Z527" s="632"/>
      <c r="AA527" s="632"/>
      <c r="AB527" s="632"/>
      <c r="AC527" s="632"/>
      <c r="AD527" s="632"/>
    </row>
    <row r="528" spans="1:30" x14ac:dyDescent="0.2">
      <c r="A528" s="631" t="s">
        <v>348</v>
      </c>
      <c r="B528" s="631">
        <v>2000</v>
      </c>
      <c r="C528" s="631">
        <v>1000</v>
      </c>
      <c r="D528" s="640" t="str">
        <f t="shared" si="179"/>
        <v>KVV20001000</v>
      </c>
      <c r="E528" s="1054">
        <f t="shared" si="177"/>
        <v>964.30590000000007</v>
      </c>
      <c r="F528" s="632">
        <v>12</v>
      </c>
      <c r="G528" s="633">
        <f>F528*CCBASE!$B$51</f>
        <v>432</v>
      </c>
      <c r="H528" s="633"/>
      <c r="I528" s="633"/>
      <c r="J528" s="633">
        <f>CCBASE!$I$26*B528/1000</f>
        <v>532.30590000000007</v>
      </c>
      <c r="K528" s="633"/>
      <c r="L528" s="633"/>
      <c r="M528" s="633"/>
      <c r="N528" s="633"/>
      <c r="O528" s="633"/>
      <c r="P528" s="632"/>
      <c r="Q528" s="632"/>
      <c r="R528" s="632"/>
      <c r="S528" s="632"/>
      <c r="T528" s="632"/>
      <c r="U528" s="632"/>
      <c r="V528" s="632"/>
      <c r="W528" s="632"/>
      <c r="X528" s="632"/>
      <c r="Y528" s="632"/>
      <c r="Z528" s="632"/>
      <c r="AA528" s="632"/>
      <c r="AB528" s="632"/>
      <c r="AC528" s="632"/>
      <c r="AD528" s="632"/>
    </row>
    <row r="529" spans="1:30" x14ac:dyDescent="0.2">
      <c r="A529" s="631" t="s">
        <v>348</v>
      </c>
      <c r="B529" s="631">
        <v>2250</v>
      </c>
      <c r="C529" s="631">
        <v>1000</v>
      </c>
      <c r="D529" s="640" t="str">
        <f t="shared" si="179"/>
        <v>KVV22501000</v>
      </c>
      <c r="E529" s="1054">
        <f t="shared" si="177"/>
        <v>1030.8441375000002</v>
      </c>
      <c r="F529" s="632">
        <v>12</v>
      </c>
      <c r="G529" s="633">
        <f>F529*CCBASE!$B$51</f>
        <v>432</v>
      </c>
      <c r="H529" s="633"/>
      <c r="I529" s="633"/>
      <c r="J529" s="633">
        <f>CCBASE!$I$26*B529/1000</f>
        <v>598.8441375000001</v>
      </c>
      <c r="K529" s="633"/>
      <c r="L529" s="633"/>
      <c r="M529" s="633"/>
      <c r="N529" s="633"/>
      <c r="O529" s="633"/>
      <c r="P529" s="632"/>
      <c r="Q529" s="632"/>
      <c r="R529" s="632"/>
      <c r="S529" s="632"/>
      <c r="T529" s="632"/>
      <c r="U529" s="632"/>
      <c r="V529" s="632"/>
      <c r="W529" s="632"/>
      <c r="X529" s="632"/>
      <c r="Y529" s="632"/>
      <c r="Z529" s="632"/>
      <c r="AA529" s="632"/>
      <c r="AB529" s="632"/>
      <c r="AC529" s="632"/>
      <c r="AD529" s="632"/>
    </row>
    <row r="530" spans="1:30" x14ac:dyDescent="0.2">
      <c r="A530" s="631" t="s">
        <v>348</v>
      </c>
      <c r="B530" s="631">
        <v>2500</v>
      </c>
      <c r="C530" s="631">
        <v>1000</v>
      </c>
      <c r="D530" s="640" t="str">
        <f t="shared" si="179"/>
        <v>KVV25001000</v>
      </c>
      <c r="E530" s="1054">
        <f t="shared" si="177"/>
        <v>1205.3823750000001</v>
      </c>
      <c r="F530" s="632">
        <v>15</v>
      </c>
      <c r="G530" s="633">
        <f>F530*CCBASE!$B$51</f>
        <v>540</v>
      </c>
      <c r="H530" s="633"/>
      <c r="I530" s="633"/>
      <c r="J530" s="633">
        <f>CCBASE!$I$26*B530/1000</f>
        <v>665.38237500000014</v>
      </c>
      <c r="K530" s="633"/>
      <c r="L530" s="633"/>
      <c r="M530" s="633"/>
      <c r="N530" s="633"/>
      <c r="O530" s="633"/>
      <c r="P530" s="632"/>
      <c r="Q530" s="632"/>
      <c r="R530" s="632"/>
      <c r="S530" s="632"/>
      <c r="T530" s="632"/>
      <c r="U530" s="632"/>
      <c r="V530" s="632"/>
      <c r="W530" s="632"/>
      <c r="X530" s="632"/>
      <c r="Y530" s="632"/>
      <c r="Z530" s="632"/>
      <c r="AA530" s="632"/>
      <c r="AB530" s="632"/>
      <c r="AC530" s="632"/>
      <c r="AD530" s="632"/>
    </row>
    <row r="531" spans="1:30" x14ac:dyDescent="0.2">
      <c r="A531" s="631" t="s">
        <v>348</v>
      </c>
      <c r="B531" s="631">
        <v>2750</v>
      </c>
      <c r="C531" s="631">
        <v>1000</v>
      </c>
      <c r="D531" s="640" t="str">
        <f t="shared" si="179"/>
        <v>KVV27501000</v>
      </c>
      <c r="E531" s="1054">
        <f t="shared" si="177"/>
        <v>1271.9206125000001</v>
      </c>
      <c r="F531" s="632">
        <v>15</v>
      </c>
      <c r="G531" s="633">
        <f>F531*CCBASE!$B$51</f>
        <v>540</v>
      </c>
      <c r="H531" s="633"/>
      <c r="I531" s="633"/>
      <c r="J531" s="633">
        <f>CCBASE!$I$26*B531/1000</f>
        <v>731.92061250000006</v>
      </c>
      <c r="K531" s="633"/>
      <c r="L531" s="633"/>
      <c r="M531" s="633"/>
      <c r="N531" s="633"/>
      <c r="O531" s="633"/>
      <c r="P531" s="632"/>
      <c r="Q531" s="632"/>
      <c r="R531" s="632"/>
      <c r="S531" s="632"/>
      <c r="T531" s="632"/>
      <c r="U531" s="632"/>
      <c r="V531" s="632"/>
      <c r="W531" s="632"/>
      <c r="X531" s="632"/>
      <c r="Y531" s="632"/>
      <c r="Z531" s="632"/>
      <c r="AA531" s="632"/>
      <c r="AB531" s="632"/>
      <c r="AC531" s="632"/>
      <c r="AD531" s="632"/>
    </row>
    <row r="532" spans="1:30" x14ac:dyDescent="0.2">
      <c r="A532" s="631" t="s">
        <v>348</v>
      </c>
      <c r="B532" s="631">
        <v>3000</v>
      </c>
      <c r="C532" s="631">
        <v>1000</v>
      </c>
      <c r="D532" s="640" t="str">
        <f t="shared" si="179"/>
        <v>KVV30001000</v>
      </c>
      <c r="E532" s="1054">
        <f t="shared" si="177"/>
        <v>1338.45885</v>
      </c>
      <c r="F532" s="632">
        <v>15</v>
      </c>
      <c r="G532" s="633">
        <f>F532*CCBASE!$B$51</f>
        <v>540</v>
      </c>
      <c r="H532" s="633"/>
      <c r="I532" s="633"/>
      <c r="J532" s="633">
        <f>CCBASE!$I$26*B532/1000</f>
        <v>798.4588500000001</v>
      </c>
      <c r="K532" s="633"/>
      <c r="L532" s="633"/>
      <c r="M532" s="633"/>
      <c r="N532" s="633"/>
      <c r="O532" s="633"/>
      <c r="P532" s="632"/>
      <c r="Q532" s="632"/>
      <c r="R532" s="632"/>
      <c r="S532" s="632"/>
      <c r="T532" s="632"/>
      <c r="U532" s="632"/>
      <c r="V532" s="632"/>
      <c r="W532" s="632"/>
      <c r="X532" s="632"/>
      <c r="Y532" s="632"/>
      <c r="Z532" s="632"/>
      <c r="AA532" s="632"/>
      <c r="AB532" s="632"/>
      <c r="AC532" s="632"/>
      <c r="AD532" s="632"/>
    </row>
    <row r="533" spans="1:30" x14ac:dyDescent="0.2">
      <c r="A533" s="631" t="s">
        <v>348</v>
      </c>
      <c r="B533" s="631">
        <v>1000</v>
      </c>
      <c r="C533" s="631">
        <v>1250</v>
      </c>
      <c r="D533" s="640" t="str">
        <f t="shared" si="179"/>
        <v>KVV10001250</v>
      </c>
      <c r="E533" s="1054">
        <f t="shared" ref="E533:E596" si="180">SUM(G533:AD533)</f>
        <v>691.21255999999994</v>
      </c>
      <c r="F533" s="632">
        <v>10</v>
      </c>
      <c r="G533" s="633">
        <f>F533*CCBASE!$B$51</f>
        <v>360</v>
      </c>
      <c r="H533" s="633"/>
      <c r="I533" s="633"/>
      <c r="J533" s="633">
        <f>CCBASE!$I$27*B533/1000</f>
        <v>331.21256</v>
      </c>
      <c r="K533" s="633"/>
      <c r="L533" s="633"/>
      <c r="M533" s="633"/>
      <c r="N533" s="633"/>
      <c r="O533" s="633"/>
      <c r="P533" s="632"/>
      <c r="Q533" s="632"/>
      <c r="R533" s="632"/>
      <c r="S533" s="632"/>
      <c r="T533" s="632"/>
      <c r="U533" s="632"/>
      <c r="V533" s="632"/>
      <c r="W533" s="632"/>
      <c r="X533" s="632"/>
      <c r="Y533" s="632"/>
      <c r="Z533" s="632"/>
      <c r="AA533" s="632"/>
      <c r="AB533" s="632"/>
      <c r="AC533" s="632"/>
      <c r="AD533" s="632"/>
    </row>
    <row r="534" spans="1:30" x14ac:dyDescent="0.2">
      <c r="A534" s="631" t="s">
        <v>348</v>
      </c>
      <c r="B534" s="631">
        <v>1250</v>
      </c>
      <c r="C534" s="631">
        <v>1250</v>
      </c>
      <c r="D534" s="640" t="str">
        <f t="shared" si="179"/>
        <v>KVV12501250</v>
      </c>
      <c r="E534" s="1054">
        <f t="shared" si="180"/>
        <v>774.01570000000004</v>
      </c>
      <c r="F534" s="632">
        <v>10</v>
      </c>
      <c r="G534" s="633">
        <f>F534*CCBASE!$B$51</f>
        <v>360</v>
      </c>
      <c r="H534" s="633"/>
      <c r="I534" s="633"/>
      <c r="J534" s="633">
        <f>CCBASE!$I$27*B534/1000</f>
        <v>414.01570000000004</v>
      </c>
      <c r="K534" s="633"/>
      <c r="L534" s="633"/>
      <c r="M534" s="633"/>
      <c r="N534" s="633"/>
      <c r="O534" s="633"/>
      <c r="P534" s="632"/>
      <c r="Q534" s="632"/>
      <c r="R534" s="632"/>
      <c r="S534" s="632"/>
      <c r="T534" s="632"/>
      <c r="U534" s="632"/>
      <c r="V534" s="632"/>
      <c r="W534" s="632"/>
      <c r="X534" s="632"/>
      <c r="Y534" s="632"/>
      <c r="Z534" s="632"/>
      <c r="AA534" s="632"/>
      <c r="AB534" s="632"/>
      <c r="AC534" s="632"/>
      <c r="AD534" s="632"/>
    </row>
    <row r="535" spans="1:30" x14ac:dyDescent="0.2">
      <c r="A535" s="631" t="s">
        <v>348</v>
      </c>
      <c r="B535" s="631">
        <v>1500</v>
      </c>
      <c r="C535" s="631">
        <v>1250</v>
      </c>
      <c r="D535" s="640" t="str">
        <f t="shared" si="179"/>
        <v>KVV15001250</v>
      </c>
      <c r="E535" s="1054">
        <f t="shared" si="180"/>
        <v>856.81883999999991</v>
      </c>
      <c r="F535" s="632">
        <v>10</v>
      </c>
      <c r="G535" s="633">
        <f>F535*CCBASE!$B$51</f>
        <v>360</v>
      </c>
      <c r="H535" s="633"/>
      <c r="I535" s="633"/>
      <c r="J535" s="633">
        <f>CCBASE!$I$27*B535/1000</f>
        <v>496.81883999999997</v>
      </c>
      <c r="K535" s="633"/>
      <c r="L535" s="633"/>
      <c r="M535" s="633"/>
      <c r="N535" s="633"/>
      <c r="O535" s="633"/>
      <c r="P535" s="632"/>
      <c r="Q535" s="632"/>
      <c r="R535" s="632"/>
      <c r="S535" s="632"/>
      <c r="T535" s="632"/>
      <c r="U535" s="632"/>
      <c r="V535" s="632"/>
      <c r="W535" s="632"/>
      <c r="X535" s="632"/>
      <c r="Y535" s="632"/>
      <c r="Z535" s="632"/>
      <c r="AA535" s="632"/>
      <c r="AB535" s="632"/>
      <c r="AC535" s="632"/>
      <c r="AD535" s="632"/>
    </row>
    <row r="536" spans="1:30" x14ac:dyDescent="0.2">
      <c r="A536" s="631" t="s">
        <v>348</v>
      </c>
      <c r="B536" s="631">
        <v>1750</v>
      </c>
      <c r="C536" s="631">
        <v>1250</v>
      </c>
      <c r="D536" s="640" t="str">
        <f t="shared" si="179"/>
        <v>KVV17501250</v>
      </c>
      <c r="E536" s="1054">
        <f t="shared" si="180"/>
        <v>1011.62198</v>
      </c>
      <c r="F536" s="632">
        <v>12</v>
      </c>
      <c r="G536" s="633">
        <f>F536*CCBASE!$B$51</f>
        <v>432</v>
      </c>
      <c r="H536" s="633"/>
      <c r="I536" s="633"/>
      <c r="J536" s="633">
        <f>CCBASE!$I$27*B536/1000</f>
        <v>579.62198000000001</v>
      </c>
      <c r="K536" s="633"/>
      <c r="L536" s="633"/>
      <c r="M536" s="633"/>
      <c r="N536" s="633"/>
      <c r="O536" s="633"/>
      <c r="P536" s="632"/>
      <c r="Q536" s="632"/>
      <c r="R536" s="632"/>
      <c r="S536" s="632"/>
      <c r="T536" s="632"/>
      <c r="U536" s="632"/>
      <c r="V536" s="632"/>
      <c r="W536" s="632"/>
      <c r="X536" s="632"/>
      <c r="Y536" s="632"/>
      <c r="Z536" s="632"/>
      <c r="AA536" s="632"/>
      <c r="AB536" s="632"/>
      <c r="AC536" s="632"/>
      <c r="AD536" s="632"/>
    </row>
    <row r="537" spans="1:30" x14ac:dyDescent="0.2">
      <c r="A537" s="631" t="s">
        <v>348</v>
      </c>
      <c r="B537" s="631">
        <v>2000</v>
      </c>
      <c r="C537" s="631">
        <v>1250</v>
      </c>
      <c r="D537" s="640" t="str">
        <f t="shared" si="179"/>
        <v>KVV20001250</v>
      </c>
      <c r="E537" s="1054">
        <f t="shared" si="180"/>
        <v>1094.4251199999999</v>
      </c>
      <c r="F537" s="632">
        <v>12</v>
      </c>
      <c r="G537" s="633">
        <f>F537*CCBASE!$B$51</f>
        <v>432</v>
      </c>
      <c r="H537" s="633"/>
      <c r="I537" s="633"/>
      <c r="J537" s="633">
        <f>CCBASE!$I$27*B537/1000</f>
        <v>662.42511999999999</v>
      </c>
      <c r="K537" s="633"/>
      <c r="L537" s="633"/>
      <c r="M537" s="633"/>
      <c r="N537" s="633"/>
      <c r="O537" s="633"/>
      <c r="P537" s="632"/>
      <c r="Q537" s="632"/>
      <c r="R537" s="632"/>
      <c r="S537" s="632"/>
      <c r="T537" s="632"/>
      <c r="U537" s="632"/>
      <c r="V537" s="632"/>
      <c r="W537" s="632"/>
      <c r="X537" s="632"/>
      <c r="Y537" s="632"/>
      <c r="Z537" s="632"/>
      <c r="AA537" s="632"/>
      <c r="AB537" s="632"/>
      <c r="AC537" s="632"/>
      <c r="AD537" s="632"/>
    </row>
    <row r="538" spans="1:30" x14ac:dyDescent="0.2">
      <c r="A538" s="631" t="s">
        <v>348</v>
      </c>
      <c r="B538" s="631">
        <v>2250</v>
      </c>
      <c r="C538" s="631">
        <v>1250</v>
      </c>
      <c r="D538" s="640" t="str">
        <f t="shared" si="179"/>
        <v>KVV22501250</v>
      </c>
      <c r="E538" s="1054">
        <f t="shared" si="180"/>
        <v>1177.2282599999999</v>
      </c>
      <c r="F538" s="632">
        <v>12</v>
      </c>
      <c r="G538" s="633">
        <f>F538*CCBASE!$B$51</f>
        <v>432</v>
      </c>
      <c r="H538" s="633"/>
      <c r="I538" s="633"/>
      <c r="J538" s="633">
        <f>CCBASE!$I$27*B538/1000</f>
        <v>745.22825999999998</v>
      </c>
      <c r="K538" s="633"/>
      <c r="L538" s="633"/>
      <c r="M538" s="633"/>
      <c r="N538" s="633"/>
      <c r="O538" s="633"/>
      <c r="P538" s="632"/>
      <c r="Q538" s="632"/>
      <c r="R538" s="632"/>
      <c r="S538" s="632"/>
      <c r="T538" s="632"/>
      <c r="U538" s="632"/>
      <c r="V538" s="632"/>
      <c r="W538" s="632"/>
      <c r="X538" s="632"/>
      <c r="Y538" s="632"/>
      <c r="Z538" s="632"/>
      <c r="AA538" s="632"/>
      <c r="AB538" s="632"/>
      <c r="AC538" s="632"/>
      <c r="AD538" s="632"/>
    </row>
    <row r="539" spans="1:30" x14ac:dyDescent="0.2">
      <c r="A539" s="631" t="s">
        <v>348</v>
      </c>
      <c r="B539" s="631">
        <v>2500</v>
      </c>
      <c r="C539" s="631">
        <v>1250</v>
      </c>
      <c r="D539" s="640" t="str">
        <f t="shared" si="179"/>
        <v>KVV25001250</v>
      </c>
      <c r="E539" s="1054">
        <f t="shared" si="180"/>
        <v>1368.0314000000001</v>
      </c>
      <c r="F539" s="632">
        <v>15</v>
      </c>
      <c r="G539" s="633">
        <f>F539*CCBASE!$B$51</f>
        <v>540</v>
      </c>
      <c r="H539" s="633"/>
      <c r="I539" s="633"/>
      <c r="J539" s="633">
        <f>CCBASE!$I$27*B539/1000</f>
        <v>828.03140000000008</v>
      </c>
      <c r="K539" s="633"/>
      <c r="L539" s="633"/>
      <c r="M539" s="633"/>
      <c r="N539" s="633"/>
      <c r="O539" s="633"/>
      <c r="P539" s="632"/>
      <c r="Q539" s="632"/>
      <c r="R539" s="632"/>
      <c r="S539" s="632"/>
      <c r="T539" s="632"/>
      <c r="U539" s="632"/>
      <c r="V539" s="632"/>
      <c r="W539" s="632"/>
      <c r="X539" s="632"/>
      <c r="Y539" s="632"/>
      <c r="Z539" s="632"/>
      <c r="AA539" s="632"/>
      <c r="AB539" s="632"/>
      <c r="AC539" s="632"/>
      <c r="AD539" s="632"/>
    </row>
    <row r="540" spans="1:30" x14ac:dyDescent="0.2">
      <c r="A540" s="631" t="s">
        <v>348</v>
      </c>
      <c r="B540" s="631">
        <v>2750</v>
      </c>
      <c r="C540" s="631">
        <v>1250</v>
      </c>
      <c r="D540" s="640" t="str">
        <f t="shared" si="179"/>
        <v>KVV27501250</v>
      </c>
      <c r="E540" s="1054">
        <f t="shared" si="180"/>
        <v>1450.8345400000001</v>
      </c>
      <c r="F540" s="632">
        <v>15</v>
      </c>
      <c r="G540" s="633">
        <f>F540*CCBASE!$B$51</f>
        <v>540</v>
      </c>
      <c r="H540" s="633"/>
      <c r="I540" s="633"/>
      <c r="J540" s="633">
        <f>CCBASE!$I$27*B540/1000</f>
        <v>910.83454000000006</v>
      </c>
      <c r="K540" s="633"/>
      <c r="L540" s="633"/>
      <c r="M540" s="633"/>
      <c r="N540" s="633"/>
      <c r="O540" s="633"/>
      <c r="P540" s="632"/>
      <c r="Q540" s="632"/>
      <c r="R540" s="632"/>
      <c r="S540" s="632"/>
      <c r="T540" s="632"/>
      <c r="U540" s="632"/>
      <c r="V540" s="632"/>
      <c r="W540" s="632"/>
      <c r="X540" s="632"/>
      <c r="Y540" s="632"/>
      <c r="Z540" s="632"/>
      <c r="AA540" s="632"/>
      <c r="AB540" s="632"/>
      <c r="AC540" s="632"/>
      <c r="AD540" s="632"/>
    </row>
    <row r="541" spans="1:30" x14ac:dyDescent="0.2">
      <c r="A541" s="631" t="s">
        <v>348</v>
      </c>
      <c r="B541" s="631">
        <v>3000</v>
      </c>
      <c r="C541" s="631">
        <v>1250</v>
      </c>
      <c r="D541" s="640" t="str">
        <f t="shared" si="179"/>
        <v>KVV30001250</v>
      </c>
      <c r="E541" s="1054">
        <f t="shared" si="180"/>
        <v>1533.6376799999998</v>
      </c>
      <c r="F541" s="632">
        <v>15</v>
      </c>
      <c r="G541" s="633">
        <f>F541*CCBASE!$B$51</f>
        <v>540</v>
      </c>
      <c r="H541" s="633"/>
      <c r="I541" s="633"/>
      <c r="J541" s="633">
        <f>CCBASE!$I$27*B541/1000</f>
        <v>993.63767999999993</v>
      </c>
      <c r="K541" s="633"/>
      <c r="L541" s="633"/>
      <c r="M541" s="633"/>
      <c r="N541" s="633"/>
      <c r="O541" s="633"/>
      <c r="P541" s="632"/>
      <c r="Q541" s="632"/>
      <c r="R541" s="632"/>
      <c r="S541" s="632"/>
      <c r="T541" s="632"/>
      <c r="U541" s="632"/>
      <c r="V541" s="632"/>
      <c r="W541" s="632"/>
      <c r="X541" s="632"/>
      <c r="Y541" s="632"/>
      <c r="Z541" s="632"/>
      <c r="AA541" s="632"/>
      <c r="AB541" s="632"/>
      <c r="AC541" s="632"/>
      <c r="AD541" s="632"/>
    </row>
    <row r="542" spans="1:30" x14ac:dyDescent="0.2">
      <c r="A542" s="631" t="s">
        <v>348</v>
      </c>
      <c r="B542" s="631">
        <v>1000</v>
      </c>
      <c r="C542" s="631">
        <v>1500</v>
      </c>
      <c r="D542" s="640" t="str">
        <f t="shared" si="179"/>
        <v>KVV10001500</v>
      </c>
      <c r="E542" s="1054">
        <f t="shared" si="180"/>
        <v>759.22942499999999</v>
      </c>
      <c r="F542" s="632">
        <v>10</v>
      </c>
      <c r="G542" s="633">
        <f>F542*CCBASE!$B$51</f>
        <v>360</v>
      </c>
      <c r="H542" s="633"/>
      <c r="I542" s="633"/>
      <c r="J542" s="633">
        <f>CCBASE!$I$28*B542/1000</f>
        <v>399.22942499999999</v>
      </c>
      <c r="K542" s="633"/>
      <c r="L542" s="633"/>
      <c r="M542" s="633"/>
      <c r="N542" s="633"/>
      <c r="O542" s="633"/>
      <c r="P542" s="632"/>
      <c r="Q542" s="632"/>
      <c r="R542" s="632"/>
      <c r="S542" s="632"/>
      <c r="T542" s="632"/>
      <c r="U542" s="632"/>
      <c r="V542" s="632"/>
      <c r="W542" s="632"/>
      <c r="X542" s="632"/>
      <c r="Y542" s="632"/>
      <c r="Z542" s="632"/>
      <c r="AA542" s="632"/>
      <c r="AB542" s="632"/>
      <c r="AC542" s="632"/>
      <c r="AD542" s="632"/>
    </row>
    <row r="543" spans="1:30" x14ac:dyDescent="0.2">
      <c r="A543" s="631" t="s">
        <v>348</v>
      </c>
      <c r="B543" s="631">
        <v>1250</v>
      </c>
      <c r="C543" s="631">
        <v>1500</v>
      </c>
      <c r="D543" s="640" t="str">
        <f t="shared" si="179"/>
        <v>KVV12501500</v>
      </c>
      <c r="E543" s="1054">
        <f t="shared" si="180"/>
        <v>859.03678124999999</v>
      </c>
      <c r="F543" s="632">
        <v>10</v>
      </c>
      <c r="G543" s="633">
        <f>F543*CCBASE!$B$51</f>
        <v>360</v>
      </c>
      <c r="H543" s="633"/>
      <c r="I543" s="633"/>
      <c r="J543" s="633">
        <f>CCBASE!$I$28*B543/1000</f>
        <v>499.03678124999999</v>
      </c>
      <c r="K543" s="633"/>
      <c r="L543" s="633"/>
      <c r="M543" s="633"/>
      <c r="N543" s="633"/>
      <c r="O543" s="633"/>
      <c r="P543" s="632"/>
      <c r="Q543" s="632"/>
      <c r="R543" s="632"/>
      <c r="S543" s="632"/>
      <c r="T543" s="632"/>
      <c r="U543" s="632"/>
      <c r="V543" s="632"/>
      <c r="W543" s="632"/>
      <c r="X543" s="632"/>
      <c r="Y543" s="632"/>
      <c r="Z543" s="632"/>
      <c r="AA543" s="632"/>
      <c r="AB543" s="632"/>
      <c r="AC543" s="632"/>
      <c r="AD543" s="632"/>
    </row>
    <row r="544" spans="1:30" x14ac:dyDescent="0.2">
      <c r="A544" s="631" t="s">
        <v>348</v>
      </c>
      <c r="B544" s="631">
        <v>1500</v>
      </c>
      <c r="C544" s="631">
        <v>1500</v>
      </c>
      <c r="D544" s="640" t="str">
        <f t="shared" si="179"/>
        <v>KVV15001500</v>
      </c>
      <c r="E544" s="1054">
        <f t="shared" si="180"/>
        <v>958.84413749999999</v>
      </c>
      <c r="F544" s="632">
        <v>10</v>
      </c>
      <c r="G544" s="633">
        <f>F544*CCBASE!$B$51</f>
        <v>360</v>
      </c>
      <c r="H544" s="633"/>
      <c r="I544" s="633"/>
      <c r="J544" s="633">
        <f>CCBASE!$I$28*B544/1000</f>
        <v>598.84413749999999</v>
      </c>
      <c r="K544" s="633"/>
      <c r="L544" s="633"/>
      <c r="M544" s="633"/>
      <c r="N544" s="633"/>
      <c r="O544" s="633"/>
      <c r="P544" s="632"/>
      <c r="Q544" s="632"/>
      <c r="R544" s="632"/>
      <c r="S544" s="632"/>
      <c r="T544" s="632"/>
      <c r="U544" s="632"/>
      <c r="V544" s="632"/>
      <c r="W544" s="632"/>
      <c r="X544" s="632"/>
      <c r="Y544" s="632"/>
      <c r="Z544" s="632"/>
      <c r="AA544" s="632"/>
      <c r="AB544" s="632"/>
      <c r="AC544" s="632"/>
      <c r="AD544" s="632"/>
    </row>
    <row r="545" spans="1:30" x14ac:dyDescent="0.2">
      <c r="A545" s="631" t="s">
        <v>348</v>
      </c>
      <c r="B545" s="631">
        <v>1750</v>
      </c>
      <c r="C545" s="631">
        <v>1500</v>
      </c>
      <c r="D545" s="640" t="str">
        <f t="shared" si="179"/>
        <v>KVV17501500</v>
      </c>
      <c r="E545" s="1054">
        <f t="shared" si="180"/>
        <v>1130.6514937500001</v>
      </c>
      <c r="F545" s="632">
        <v>12</v>
      </c>
      <c r="G545" s="633">
        <f>F545*CCBASE!$B$51</f>
        <v>432</v>
      </c>
      <c r="H545" s="633"/>
      <c r="I545" s="633"/>
      <c r="J545" s="633">
        <f>CCBASE!$I$28*B545/1000</f>
        <v>698.65149374999999</v>
      </c>
      <c r="K545" s="633"/>
      <c r="L545" s="633"/>
      <c r="M545" s="633"/>
      <c r="N545" s="633"/>
      <c r="O545" s="633"/>
      <c r="P545" s="632"/>
      <c r="Q545" s="632"/>
      <c r="R545" s="632"/>
      <c r="S545" s="632"/>
      <c r="T545" s="632"/>
      <c r="U545" s="632"/>
      <c r="V545" s="632"/>
      <c r="W545" s="632"/>
      <c r="X545" s="632"/>
      <c r="Y545" s="632"/>
      <c r="Z545" s="632"/>
      <c r="AA545" s="632"/>
      <c r="AB545" s="632"/>
      <c r="AC545" s="632"/>
      <c r="AD545" s="632"/>
    </row>
    <row r="546" spans="1:30" x14ac:dyDescent="0.2">
      <c r="A546" s="631" t="s">
        <v>348</v>
      </c>
      <c r="B546" s="631">
        <v>2000</v>
      </c>
      <c r="C546" s="631">
        <v>1500</v>
      </c>
      <c r="D546" s="640" t="str">
        <f t="shared" si="179"/>
        <v>KVV20001500</v>
      </c>
      <c r="E546" s="1054">
        <f t="shared" si="180"/>
        <v>1230.45885</v>
      </c>
      <c r="F546" s="632">
        <v>12</v>
      </c>
      <c r="G546" s="633">
        <f>F546*CCBASE!$B$51</f>
        <v>432</v>
      </c>
      <c r="H546" s="633"/>
      <c r="I546" s="633"/>
      <c r="J546" s="633">
        <f>CCBASE!$I$28*B546/1000</f>
        <v>798.45884999999998</v>
      </c>
      <c r="K546" s="633"/>
      <c r="L546" s="633"/>
      <c r="M546" s="633"/>
      <c r="N546" s="633"/>
      <c r="O546" s="633"/>
      <c r="P546" s="632"/>
      <c r="Q546" s="632"/>
      <c r="R546" s="632"/>
      <c r="S546" s="632"/>
      <c r="T546" s="632"/>
      <c r="U546" s="632"/>
      <c r="V546" s="632"/>
      <c r="W546" s="632"/>
      <c r="X546" s="632"/>
      <c r="Y546" s="632"/>
      <c r="Z546" s="632"/>
      <c r="AA546" s="632"/>
      <c r="AB546" s="632"/>
      <c r="AC546" s="632"/>
      <c r="AD546" s="632"/>
    </row>
    <row r="547" spans="1:30" x14ac:dyDescent="0.2">
      <c r="A547" s="631" t="s">
        <v>348</v>
      </c>
      <c r="B547" s="631">
        <v>2250</v>
      </c>
      <c r="C547" s="631">
        <v>1500</v>
      </c>
      <c r="D547" s="640" t="str">
        <f t="shared" si="179"/>
        <v>KVV22501500</v>
      </c>
      <c r="E547" s="1054">
        <f t="shared" si="180"/>
        <v>1330.2662062499999</v>
      </c>
      <c r="F547" s="632">
        <v>12</v>
      </c>
      <c r="G547" s="633">
        <f>F547*CCBASE!$B$51</f>
        <v>432</v>
      </c>
      <c r="H547" s="633"/>
      <c r="I547" s="633"/>
      <c r="J547" s="633">
        <f>CCBASE!$I$28*B547/1000</f>
        <v>898.26620624999998</v>
      </c>
      <c r="K547" s="633"/>
      <c r="L547" s="633"/>
      <c r="M547" s="633"/>
      <c r="N547" s="633"/>
      <c r="O547" s="633"/>
      <c r="P547" s="632"/>
      <c r="Q547" s="632"/>
      <c r="R547" s="632"/>
      <c r="S547" s="632"/>
      <c r="T547" s="632"/>
      <c r="U547" s="632"/>
      <c r="V547" s="632"/>
      <c r="W547" s="632"/>
      <c r="X547" s="632"/>
      <c r="Y547" s="632"/>
      <c r="Z547" s="632"/>
      <c r="AA547" s="632"/>
      <c r="AB547" s="632"/>
      <c r="AC547" s="632"/>
      <c r="AD547" s="632"/>
    </row>
    <row r="548" spans="1:30" x14ac:dyDescent="0.2">
      <c r="A548" s="631" t="s">
        <v>348</v>
      </c>
      <c r="B548" s="631">
        <v>2500</v>
      </c>
      <c r="C548" s="631">
        <v>1500</v>
      </c>
      <c r="D548" s="640" t="str">
        <f t="shared" si="179"/>
        <v>KVV25001500</v>
      </c>
      <c r="E548" s="1054">
        <f t="shared" si="180"/>
        <v>1538.0735625</v>
      </c>
      <c r="F548" s="632">
        <v>15</v>
      </c>
      <c r="G548" s="633">
        <f>F548*CCBASE!$B$51</f>
        <v>540</v>
      </c>
      <c r="H548" s="633"/>
      <c r="I548" s="633"/>
      <c r="J548" s="633">
        <f>CCBASE!$I$28*B548/1000</f>
        <v>998.07356249999998</v>
      </c>
      <c r="K548" s="633"/>
      <c r="L548" s="633"/>
      <c r="M548" s="633"/>
      <c r="N548" s="633"/>
      <c r="O548" s="633"/>
      <c r="P548" s="632"/>
      <c r="Q548" s="632"/>
      <c r="R548" s="632"/>
      <c r="S548" s="632"/>
      <c r="T548" s="632"/>
      <c r="U548" s="632"/>
      <c r="V548" s="632"/>
      <c r="W548" s="632"/>
      <c r="X548" s="632"/>
      <c r="Y548" s="632"/>
      <c r="Z548" s="632"/>
      <c r="AA548" s="632"/>
      <c r="AB548" s="632"/>
      <c r="AC548" s="632"/>
      <c r="AD548" s="632"/>
    </row>
    <row r="549" spans="1:30" x14ac:dyDescent="0.2">
      <c r="A549" s="631" t="s">
        <v>348</v>
      </c>
      <c r="B549" s="631">
        <v>2750</v>
      </c>
      <c r="C549" s="631">
        <v>1500</v>
      </c>
      <c r="D549" s="640" t="str">
        <f t="shared" si="179"/>
        <v>KVV27501500</v>
      </c>
      <c r="E549" s="1054">
        <f t="shared" si="180"/>
        <v>1637.8809187499999</v>
      </c>
      <c r="F549" s="632">
        <v>15</v>
      </c>
      <c r="G549" s="633">
        <f>F549*CCBASE!$B$51</f>
        <v>540</v>
      </c>
      <c r="H549" s="633"/>
      <c r="I549" s="633"/>
      <c r="J549" s="633">
        <f>CCBASE!$I$28*B549/1000</f>
        <v>1097.8809187499999</v>
      </c>
      <c r="K549" s="633"/>
      <c r="L549" s="633"/>
      <c r="M549" s="633"/>
      <c r="N549" s="633"/>
      <c r="O549" s="633"/>
      <c r="P549" s="632"/>
      <c r="Q549" s="632"/>
      <c r="R549" s="632"/>
      <c r="S549" s="632"/>
      <c r="T549" s="632"/>
      <c r="U549" s="632"/>
      <c r="V549" s="632"/>
      <c r="W549" s="632"/>
      <c r="X549" s="632"/>
      <c r="Y549" s="632"/>
      <c r="Z549" s="632"/>
      <c r="AA549" s="632"/>
      <c r="AB549" s="632"/>
      <c r="AC549" s="632"/>
      <c r="AD549" s="632"/>
    </row>
    <row r="550" spans="1:30" x14ac:dyDescent="0.2">
      <c r="A550" s="631" t="s">
        <v>348</v>
      </c>
      <c r="B550" s="631">
        <v>3000</v>
      </c>
      <c r="C550" s="631">
        <v>1500</v>
      </c>
      <c r="D550" s="640" t="str">
        <f t="shared" si="179"/>
        <v>KVV30001500</v>
      </c>
      <c r="E550" s="1054">
        <f t="shared" si="180"/>
        <v>1737.688275</v>
      </c>
      <c r="F550" s="632">
        <v>15</v>
      </c>
      <c r="G550" s="633">
        <f>F550*CCBASE!$B$51</f>
        <v>540</v>
      </c>
      <c r="H550" s="633"/>
      <c r="I550" s="633"/>
      <c r="J550" s="633">
        <f>CCBASE!$I$28*B550/1000</f>
        <v>1197.688275</v>
      </c>
      <c r="K550" s="633"/>
      <c r="L550" s="633"/>
      <c r="M550" s="633"/>
      <c r="N550" s="633"/>
      <c r="O550" s="633"/>
      <c r="P550" s="632"/>
      <c r="Q550" s="632"/>
      <c r="R550" s="632"/>
      <c r="S550" s="632"/>
      <c r="T550" s="632"/>
      <c r="U550" s="632"/>
      <c r="V550" s="632"/>
      <c r="W550" s="632"/>
      <c r="X550" s="632"/>
      <c r="Y550" s="632"/>
      <c r="Z550" s="632"/>
      <c r="AA550" s="632"/>
      <c r="AB550" s="632"/>
      <c r="AC550" s="632"/>
      <c r="AD550" s="632"/>
    </row>
    <row r="551" spans="1:30" x14ac:dyDescent="0.2">
      <c r="A551" s="631" t="s">
        <v>348</v>
      </c>
      <c r="B551" s="631">
        <v>1000</v>
      </c>
      <c r="C551" s="631">
        <v>1750</v>
      </c>
      <c r="D551" s="640" t="str">
        <f t="shared" si="179"/>
        <v>KVV10001750</v>
      </c>
      <c r="E551" s="1054">
        <f t="shared" si="180"/>
        <v>826.06338800000003</v>
      </c>
      <c r="F551" s="632">
        <v>10</v>
      </c>
      <c r="G551" s="633">
        <f>F551*CCBASE!$B$51</f>
        <v>360</v>
      </c>
      <c r="H551" s="633"/>
      <c r="I551" s="633"/>
      <c r="J551" s="633">
        <f>CCBASE!$I$29*B551/1000</f>
        <v>466.06338799999997</v>
      </c>
      <c r="K551" s="633"/>
      <c r="L551" s="633"/>
      <c r="M551" s="633"/>
      <c r="N551" s="633"/>
      <c r="O551" s="633"/>
      <c r="P551" s="632"/>
      <c r="Q551" s="632"/>
      <c r="R551" s="632"/>
      <c r="S551" s="632"/>
      <c r="T551" s="632"/>
      <c r="U551" s="632"/>
      <c r="V551" s="632"/>
      <c r="W551" s="632"/>
      <c r="X551" s="632"/>
      <c r="Y551" s="632"/>
      <c r="Z551" s="632"/>
      <c r="AA551" s="632"/>
      <c r="AB551" s="632"/>
      <c r="AC551" s="632"/>
      <c r="AD551" s="632"/>
    </row>
    <row r="552" spans="1:30" x14ac:dyDescent="0.2">
      <c r="A552" s="631" t="s">
        <v>348</v>
      </c>
      <c r="B552" s="631">
        <v>1250</v>
      </c>
      <c r="C552" s="631">
        <v>1750</v>
      </c>
      <c r="D552" s="640" t="str">
        <f t="shared" si="179"/>
        <v>KVV12501750</v>
      </c>
      <c r="E552" s="1054">
        <f t="shared" si="180"/>
        <v>942.57923500000004</v>
      </c>
      <c r="F552" s="632">
        <v>10</v>
      </c>
      <c r="G552" s="633">
        <f>F552*CCBASE!$B$51</f>
        <v>360</v>
      </c>
      <c r="H552" s="633"/>
      <c r="I552" s="633"/>
      <c r="J552" s="633">
        <f>CCBASE!$I$29*B552/1000</f>
        <v>582.57923500000004</v>
      </c>
      <c r="K552" s="633"/>
      <c r="L552" s="633"/>
      <c r="M552" s="633"/>
      <c r="N552" s="633"/>
      <c r="O552" s="633"/>
      <c r="P552" s="632"/>
      <c r="Q552" s="632"/>
      <c r="R552" s="632"/>
      <c r="S552" s="632"/>
      <c r="T552" s="632"/>
      <c r="U552" s="632"/>
      <c r="V552" s="632"/>
      <c r="W552" s="632"/>
      <c r="X552" s="632"/>
      <c r="Y552" s="632"/>
      <c r="Z552" s="632"/>
      <c r="AA552" s="632"/>
      <c r="AB552" s="632"/>
      <c r="AC552" s="632"/>
      <c r="AD552" s="632"/>
    </row>
    <row r="553" spans="1:30" x14ac:dyDescent="0.2">
      <c r="A553" s="631" t="s">
        <v>348</v>
      </c>
      <c r="B553" s="631">
        <v>1500</v>
      </c>
      <c r="C553" s="631">
        <v>1750</v>
      </c>
      <c r="D553" s="640" t="str">
        <f t="shared" si="179"/>
        <v>KVV15001750</v>
      </c>
      <c r="E553" s="1054">
        <f t="shared" si="180"/>
        <v>1059.0950819999998</v>
      </c>
      <c r="F553" s="632">
        <v>10</v>
      </c>
      <c r="G553" s="633">
        <f>F553*CCBASE!$B$51</f>
        <v>360</v>
      </c>
      <c r="H553" s="633"/>
      <c r="I553" s="633"/>
      <c r="J553" s="633">
        <f>CCBASE!$I$29*B553/1000</f>
        <v>699.09508199999993</v>
      </c>
      <c r="K553" s="633"/>
      <c r="L553" s="633"/>
      <c r="M553" s="633"/>
      <c r="N553" s="633"/>
      <c r="O553" s="633"/>
      <c r="P553" s="632"/>
      <c r="Q553" s="632"/>
      <c r="R553" s="632"/>
      <c r="S553" s="632"/>
      <c r="T553" s="632"/>
      <c r="U553" s="632"/>
      <c r="V553" s="632"/>
      <c r="W553" s="632"/>
      <c r="X553" s="632"/>
      <c r="Y553" s="632"/>
      <c r="Z553" s="632"/>
      <c r="AA553" s="632"/>
      <c r="AB553" s="632"/>
      <c r="AC553" s="632"/>
      <c r="AD553" s="632"/>
    </row>
    <row r="554" spans="1:30" x14ac:dyDescent="0.2">
      <c r="A554" s="631" t="s">
        <v>348</v>
      </c>
      <c r="B554" s="631">
        <v>1750</v>
      </c>
      <c r="C554" s="631">
        <v>1750</v>
      </c>
      <c r="D554" s="640" t="str">
        <f t="shared" si="179"/>
        <v>KVV17501750</v>
      </c>
      <c r="E554" s="1054">
        <f t="shared" si="180"/>
        <v>1247.6109289999999</v>
      </c>
      <c r="F554" s="632">
        <v>12</v>
      </c>
      <c r="G554" s="633">
        <f>F554*CCBASE!$B$51</f>
        <v>432</v>
      </c>
      <c r="H554" s="633"/>
      <c r="I554" s="633"/>
      <c r="J554" s="633">
        <f>CCBASE!$I$29*B554/1000</f>
        <v>815.61092900000006</v>
      </c>
      <c r="K554" s="633"/>
      <c r="L554" s="633"/>
      <c r="M554" s="633"/>
      <c r="N554" s="633"/>
      <c r="O554" s="633"/>
      <c r="P554" s="632"/>
      <c r="Q554" s="632"/>
      <c r="R554" s="632"/>
      <c r="S554" s="632"/>
      <c r="T554" s="632"/>
      <c r="U554" s="632"/>
      <c r="V554" s="632"/>
      <c r="W554" s="632"/>
      <c r="X554" s="632"/>
      <c r="Y554" s="632"/>
      <c r="Z554" s="632"/>
      <c r="AA554" s="632"/>
      <c r="AB554" s="632"/>
      <c r="AC554" s="632"/>
      <c r="AD554" s="632"/>
    </row>
    <row r="555" spans="1:30" x14ac:dyDescent="0.2">
      <c r="A555" s="631" t="s">
        <v>348</v>
      </c>
      <c r="B555" s="631">
        <v>2000</v>
      </c>
      <c r="C555" s="631">
        <v>1750</v>
      </c>
      <c r="D555" s="640" t="str">
        <f t="shared" si="179"/>
        <v>KVV20001750</v>
      </c>
      <c r="E555" s="1054">
        <f t="shared" si="180"/>
        <v>1364.1267760000001</v>
      </c>
      <c r="F555" s="632">
        <v>12</v>
      </c>
      <c r="G555" s="633">
        <f>F555*CCBASE!$B$51</f>
        <v>432</v>
      </c>
      <c r="H555" s="633"/>
      <c r="I555" s="633"/>
      <c r="J555" s="633">
        <f>CCBASE!$I$29*B555/1000</f>
        <v>932.12677599999995</v>
      </c>
      <c r="K555" s="633"/>
      <c r="L555" s="633"/>
      <c r="M555" s="633"/>
      <c r="N555" s="633"/>
      <c r="O555" s="633"/>
      <c r="P555" s="632"/>
      <c r="Q555" s="632"/>
      <c r="R555" s="632"/>
      <c r="S555" s="632"/>
      <c r="T555" s="632"/>
      <c r="U555" s="632"/>
      <c r="V555" s="632"/>
      <c r="W555" s="632"/>
      <c r="X555" s="632"/>
      <c r="Y555" s="632"/>
      <c r="Z555" s="632"/>
      <c r="AA555" s="632"/>
      <c r="AB555" s="632"/>
      <c r="AC555" s="632"/>
      <c r="AD555" s="632"/>
    </row>
    <row r="556" spans="1:30" x14ac:dyDescent="0.2">
      <c r="A556" s="631" t="s">
        <v>348</v>
      </c>
      <c r="B556" s="631">
        <v>2250</v>
      </c>
      <c r="C556" s="631">
        <v>1750</v>
      </c>
      <c r="D556" s="640" t="str">
        <f t="shared" si="179"/>
        <v>KVV22501750</v>
      </c>
      <c r="E556" s="1054">
        <f t="shared" si="180"/>
        <v>1480.642623</v>
      </c>
      <c r="F556" s="632">
        <v>12</v>
      </c>
      <c r="G556" s="633">
        <f>F556*CCBASE!$B$51</f>
        <v>432</v>
      </c>
      <c r="H556" s="633"/>
      <c r="I556" s="633"/>
      <c r="J556" s="633">
        <f>CCBASE!$I$29*B556/1000</f>
        <v>1048.642623</v>
      </c>
      <c r="K556" s="633"/>
      <c r="L556" s="633"/>
      <c r="M556" s="633"/>
      <c r="N556" s="633"/>
      <c r="O556" s="633"/>
      <c r="P556" s="632"/>
      <c r="Q556" s="632"/>
      <c r="R556" s="632"/>
      <c r="S556" s="632"/>
      <c r="T556" s="632"/>
      <c r="U556" s="632"/>
      <c r="V556" s="632"/>
      <c r="W556" s="632"/>
      <c r="X556" s="632"/>
      <c r="Y556" s="632"/>
      <c r="Z556" s="632"/>
      <c r="AA556" s="632"/>
      <c r="AB556" s="632"/>
      <c r="AC556" s="632"/>
      <c r="AD556" s="632"/>
    </row>
    <row r="557" spans="1:30" x14ac:dyDescent="0.2">
      <c r="A557" s="631" t="s">
        <v>348</v>
      </c>
      <c r="B557" s="631">
        <v>2500</v>
      </c>
      <c r="C557" s="631">
        <v>1750</v>
      </c>
      <c r="D557" s="640" t="str">
        <f t="shared" si="179"/>
        <v>KVV25001750</v>
      </c>
      <c r="E557" s="1054">
        <f t="shared" si="180"/>
        <v>1705.1584700000001</v>
      </c>
      <c r="F557" s="632">
        <v>15</v>
      </c>
      <c r="G557" s="633">
        <f>F557*CCBASE!$B$51</f>
        <v>540</v>
      </c>
      <c r="H557" s="633"/>
      <c r="I557" s="633"/>
      <c r="J557" s="633">
        <f>CCBASE!$I$29*B557/1000</f>
        <v>1165.1584700000001</v>
      </c>
      <c r="K557" s="633"/>
      <c r="L557" s="633"/>
      <c r="M557" s="633"/>
      <c r="N557" s="633"/>
      <c r="O557" s="633"/>
      <c r="P557" s="632"/>
      <c r="Q557" s="632"/>
      <c r="R557" s="632"/>
      <c r="S557" s="632"/>
      <c r="T557" s="632"/>
      <c r="U557" s="632"/>
      <c r="V557" s="632"/>
      <c r="W557" s="632"/>
      <c r="X557" s="632"/>
      <c r="Y557" s="632"/>
      <c r="Z557" s="632"/>
      <c r="AA557" s="632"/>
      <c r="AB557" s="632"/>
      <c r="AC557" s="632"/>
      <c r="AD557" s="632"/>
    </row>
    <row r="558" spans="1:30" x14ac:dyDescent="0.2">
      <c r="A558" s="631" t="s">
        <v>348</v>
      </c>
      <c r="B558" s="631">
        <v>2750</v>
      </c>
      <c r="C558" s="631">
        <v>1750</v>
      </c>
      <c r="D558" s="640" t="str">
        <f t="shared" si="179"/>
        <v>KVV27501750</v>
      </c>
      <c r="E558" s="1054">
        <f t="shared" si="180"/>
        <v>1821.674317</v>
      </c>
      <c r="F558" s="632">
        <v>15</v>
      </c>
      <c r="G558" s="633">
        <f>F558*CCBASE!$B$51</f>
        <v>540</v>
      </c>
      <c r="H558" s="633"/>
      <c r="I558" s="633"/>
      <c r="J558" s="633">
        <f>CCBASE!$I$29*B558/1000</f>
        <v>1281.674317</v>
      </c>
      <c r="K558" s="633"/>
      <c r="L558" s="633"/>
      <c r="M558" s="633"/>
      <c r="N558" s="633"/>
      <c r="O558" s="633"/>
      <c r="P558" s="632"/>
      <c r="Q558" s="632"/>
      <c r="R558" s="632"/>
      <c r="S558" s="632"/>
      <c r="T558" s="632"/>
      <c r="U558" s="632"/>
      <c r="V558" s="632"/>
      <c r="W558" s="632"/>
      <c r="X558" s="632"/>
      <c r="Y558" s="632"/>
      <c r="Z558" s="632"/>
      <c r="AA558" s="632"/>
      <c r="AB558" s="632"/>
      <c r="AC558" s="632"/>
      <c r="AD558" s="632"/>
    </row>
    <row r="559" spans="1:30" x14ac:dyDescent="0.2">
      <c r="A559" s="631" t="s">
        <v>348</v>
      </c>
      <c r="B559" s="631">
        <v>3000</v>
      </c>
      <c r="C559" s="631">
        <v>1750</v>
      </c>
      <c r="D559" s="640" t="str">
        <f t="shared" si="179"/>
        <v>KVV30001750</v>
      </c>
      <c r="E559" s="1054">
        <f t="shared" si="180"/>
        <v>1938.1901639999999</v>
      </c>
      <c r="F559" s="632">
        <v>15</v>
      </c>
      <c r="G559" s="633">
        <f>F559*CCBASE!$B$51</f>
        <v>540</v>
      </c>
      <c r="H559" s="633"/>
      <c r="I559" s="633"/>
      <c r="J559" s="633">
        <f>CCBASE!$I$29*B559/1000</f>
        <v>1398.1901639999999</v>
      </c>
      <c r="K559" s="633"/>
      <c r="L559" s="633"/>
      <c r="M559" s="633"/>
      <c r="N559" s="633"/>
      <c r="O559" s="633"/>
      <c r="P559" s="632"/>
      <c r="Q559" s="632"/>
      <c r="R559" s="632"/>
      <c r="S559" s="632"/>
      <c r="T559" s="632"/>
      <c r="U559" s="632"/>
      <c r="V559" s="632"/>
      <c r="W559" s="632"/>
      <c r="X559" s="632"/>
      <c r="Y559" s="632"/>
      <c r="Z559" s="632"/>
      <c r="AA559" s="632"/>
      <c r="AB559" s="632"/>
      <c r="AC559" s="632"/>
      <c r="AD559" s="632"/>
    </row>
    <row r="560" spans="1:30" x14ac:dyDescent="0.2">
      <c r="A560" s="631" t="s">
        <v>348</v>
      </c>
      <c r="B560" s="631">
        <v>1000</v>
      </c>
      <c r="C560" s="631">
        <v>2000</v>
      </c>
      <c r="D560" s="640" t="str">
        <f t="shared" si="179"/>
        <v>KVV10002000</v>
      </c>
      <c r="E560" s="1054">
        <f t="shared" si="180"/>
        <v>892.30590000000007</v>
      </c>
      <c r="F560" s="632">
        <v>10</v>
      </c>
      <c r="G560" s="633">
        <f>F560*CCBASE!$B$51</f>
        <v>360</v>
      </c>
      <c r="H560" s="633"/>
      <c r="I560" s="633"/>
      <c r="J560" s="633">
        <f>CCBASE!$I$30*B560/1000</f>
        <v>532.30590000000007</v>
      </c>
      <c r="K560" s="633"/>
      <c r="L560" s="633"/>
      <c r="M560" s="633"/>
      <c r="N560" s="633"/>
      <c r="O560" s="633"/>
      <c r="P560" s="632"/>
      <c r="Q560" s="632"/>
      <c r="R560" s="632"/>
      <c r="S560" s="632"/>
      <c r="T560" s="632"/>
      <c r="U560" s="632"/>
      <c r="V560" s="632"/>
      <c r="W560" s="632"/>
      <c r="X560" s="632"/>
      <c r="Y560" s="632"/>
      <c r="Z560" s="632"/>
      <c r="AA560" s="632"/>
      <c r="AB560" s="632"/>
      <c r="AC560" s="632"/>
      <c r="AD560" s="632"/>
    </row>
    <row r="561" spans="1:45" x14ac:dyDescent="0.2">
      <c r="A561" s="631" t="s">
        <v>348</v>
      </c>
      <c r="B561" s="631">
        <v>1250</v>
      </c>
      <c r="C561" s="631">
        <v>2000</v>
      </c>
      <c r="D561" s="640" t="str">
        <f t="shared" si="179"/>
        <v>KVV12502000</v>
      </c>
      <c r="E561" s="1054">
        <f t="shared" si="180"/>
        <v>1025.3823750000001</v>
      </c>
      <c r="F561" s="632">
        <v>10</v>
      </c>
      <c r="G561" s="633">
        <f>F561*CCBASE!$B$51</f>
        <v>360</v>
      </c>
      <c r="H561" s="633"/>
      <c r="I561" s="633"/>
      <c r="J561" s="633">
        <f>CCBASE!$I$30*B561/1000</f>
        <v>665.38237500000014</v>
      </c>
      <c r="K561" s="633"/>
      <c r="L561" s="633"/>
      <c r="M561" s="633"/>
      <c r="N561" s="633"/>
      <c r="O561" s="633"/>
      <c r="P561" s="632"/>
      <c r="Q561" s="632"/>
      <c r="R561" s="632"/>
      <c r="S561" s="632"/>
      <c r="T561" s="632"/>
      <c r="U561" s="632"/>
      <c r="V561" s="632"/>
      <c r="W561" s="632"/>
      <c r="X561" s="632"/>
      <c r="Y561" s="632"/>
      <c r="Z561" s="632"/>
      <c r="AA561" s="632"/>
      <c r="AB561" s="632"/>
      <c r="AC561" s="632"/>
      <c r="AD561" s="632"/>
    </row>
    <row r="562" spans="1:45" x14ac:dyDescent="0.2">
      <c r="A562" s="631" t="s">
        <v>348</v>
      </c>
      <c r="B562" s="631">
        <v>1500</v>
      </c>
      <c r="C562" s="631">
        <v>2000</v>
      </c>
      <c r="D562" s="640" t="str">
        <f t="shared" si="179"/>
        <v>KVV15002000</v>
      </c>
      <c r="E562" s="1054">
        <f t="shared" si="180"/>
        <v>1158.45885</v>
      </c>
      <c r="F562" s="632">
        <v>10</v>
      </c>
      <c r="G562" s="633">
        <f>F562*CCBASE!$B$51</f>
        <v>360</v>
      </c>
      <c r="H562" s="633"/>
      <c r="I562" s="633"/>
      <c r="J562" s="633">
        <f>CCBASE!$I$30*B562/1000</f>
        <v>798.4588500000001</v>
      </c>
      <c r="K562" s="633"/>
      <c r="L562" s="633"/>
      <c r="M562" s="633"/>
      <c r="N562" s="633"/>
      <c r="O562" s="633"/>
      <c r="P562" s="632"/>
      <c r="Q562" s="632"/>
      <c r="R562" s="632"/>
      <c r="S562" s="632"/>
      <c r="T562" s="632"/>
      <c r="U562" s="632"/>
      <c r="V562" s="632"/>
      <c r="W562" s="632"/>
      <c r="X562" s="632"/>
      <c r="Y562" s="632"/>
      <c r="Z562" s="632"/>
      <c r="AA562" s="632"/>
      <c r="AB562" s="632"/>
      <c r="AC562" s="632"/>
      <c r="AD562" s="632"/>
    </row>
    <row r="563" spans="1:45" x14ac:dyDescent="0.2">
      <c r="A563" s="631" t="s">
        <v>348</v>
      </c>
      <c r="B563" s="631">
        <v>1750</v>
      </c>
      <c r="C563" s="631">
        <v>2000</v>
      </c>
      <c r="D563" s="640" t="str">
        <f t="shared" si="179"/>
        <v>KVV17502000</v>
      </c>
      <c r="E563" s="1054">
        <f t="shared" si="180"/>
        <v>1363.5353250000001</v>
      </c>
      <c r="F563" s="632">
        <v>12</v>
      </c>
      <c r="G563" s="633">
        <f>F563*CCBASE!$B$51</f>
        <v>432</v>
      </c>
      <c r="H563" s="633"/>
      <c r="I563" s="633"/>
      <c r="J563" s="633">
        <f>CCBASE!$I$30*B563/1000</f>
        <v>931.53532500000006</v>
      </c>
      <c r="K563" s="633"/>
      <c r="L563" s="633"/>
      <c r="M563" s="633"/>
      <c r="N563" s="633"/>
      <c r="O563" s="633"/>
      <c r="P563" s="632"/>
      <c r="Q563" s="632"/>
      <c r="R563" s="632"/>
      <c r="S563" s="632"/>
      <c r="T563" s="632"/>
      <c r="U563" s="632"/>
      <c r="V563" s="632"/>
      <c r="W563" s="632"/>
      <c r="X563" s="632"/>
      <c r="Y563" s="632"/>
      <c r="Z563" s="632"/>
      <c r="AA563" s="632"/>
      <c r="AB563" s="632"/>
      <c r="AC563" s="632"/>
      <c r="AD563" s="632"/>
    </row>
    <row r="564" spans="1:45" x14ac:dyDescent="0.2">
      <c r="A564" s="631" t="s">
        <v>348</v>
      </c>
      <c r="B564" s="631">
        <v>2000</v>
      </c>
      <c r="C564" s="631">
        <v>2000</v>
      </c>
      <c r="D564" s="640" t="str">
        <f t="shared" si="179"/>
        <v>KVV20002000</v>
      </c>
      <c r="E564" s="1054">
        <f t="shared" si="180"/>
        <v>1496.6118000000001</v>
      </c>
      <c r="F564" s="632">
        <v>12</v>
      </c>
      <c r="G564" s="633">
        <f>F564*CCBASE!$B$51</f>
        <v>432</v>
      </c>
      <c r="H564" s="633"/>
      <c r="I564" s="633"/>
      <c r="J564" s="633">
        <f>CCBASE!$I$30*B564/1000</f>
        <v>1064.6118000000001</v>
      </c>
      <c r="K564" s="633"/>
      <c r="L564" s="633"/>
      <c r="M564" s="633"/>
      <c r="N564" s="633"/>
      <c r="O564" s="633"/>
      <c r="P564" s="632"/>
      <c r="Q564" s="632"/>
      <c r="R564" s="632"/>
      <c r="S564" s="632"/>
      <c r="T564" s="632"/>
      <c r="U564" s="632"/>
      <c r="V564" s="632"/>
      <c r="W564" s="632"/>
      <c r="X564" s="632"/>
      <c r="Y564" s="632"/>
      <c r="Z564" s="632"/>
      <c r="AA564" s="632"/>
      <c r="AB564" s="632"/>
      <c r="AC564" s="632"/>
      <c r="AD564" s="632"/>
    </row>
    <row r="565" spans="1:45" x14ac:dyDescent="0.2">
      <c r="A565" s="631" t="s">
        <v>348</v>
      </c>
      <c r="B565" s="631">
        <v>2250</v>
      </c>
      <c r="C565" s="631">
        <v>2000</v>
      </c>
      <c r="D565" s="640" t="str">
        <f t="shared" si="179"/>
        <v>KVV22502000</v>
      </c>
      <c r="E565" s="1054">
        <f t="shared" si="180"/>
        <v>1629.6882750000002</v>
      </c>
      <c r="F565" s="632">
        <v>12</v>
      </c>
      <c r="G565" s="633">
        <f>F565*CCBASE!$B$51</f>
        <v>432</v>
      </c>
      <c r="H565" s="633"/>
      <c r="I565" s="633"/>
      <c r="J565" s="633">
        <f>CCBASE!$I$30*B565/1000</f>
        <v>1197.6882750000002</v>
      </c>
      <c r="K565" s="633"/>
      <c r="L565" s="633"/>
      <c r="M565" s="633"/>
      <c r="N565" s="633"/>
      <c r="O565" s="633"/>
      <c r="P565" s="632"/>
      <c r="Q565" s="632"/>
      <c r="R565" s="632"/>
      <c r="S565" s="632"/>
      <c r="T565" s="632"/>
      <c r="U565" s="632"/>
      <c r="V565" s="632"/>
      <c r="W565" s="632"/>
      <c r="X565" s="632"/>
      <c r="Y565" s="632"/>
      <c r="Z565" s="632"/>
      <c r="AA565" s="632"/>
      <c r="AB565" s="632"/>
      <c r="AC565" s="632"/>
      <c r="AD565" s="632"/>
    </row>
    <row r="566" spans="1:45" x14ac:dyDescent="0.2">
      <c r="A566" s="631" t="s">
        <v>348</v>
      </c>
      <c r="B566" s="631">
        <v>2500</v>
      </c>
      <c r="C566" s="631">
        <v>2000</v>
      </c>
      <c r="D566" s="640" t="str">
        <f t="shared" si="179"/>
        <v>KVV25002000</v>
      </c>
      <c r="E566" s="1054">
        <f t="shared" si="180"/>
        <v>1870.7647500000003</v>
      </c>
      <c r="F566" s="632">
        <v>15</v>
      </c>
      <c r="G566" s="633">
        <f>F566*CCBASE!$B$51</f>
        <v>540</v>
      </c>
      <c r="H566" s="633"/>
      <c r="I566" s="633"/>
      <c r="J566" s="633">
        <f>CCBASE!$I$30*B566/1000</f>
        <v>1330.7647500000003</v>
      </c>
      <c r="K566" s="633"/>
      <c r="L566" s="633"/>
      <c r="M566" s="633"/>
      <c r="N566" s="633"/>
      <c r="O566" s="633"/>
      <c r="P566" s="632"/>
      <c r="Q566" s="632"/>
      <c r="R566" s="632"/>
      <c r="S566" s="632"/>
      <c r="T566" s="632"/>
      <c r="U566" s="632"/>
      <c r="V566" s="632"/>
      <c r="W566" s="632"/>
      <c r="X566" s="632"/>
      <c r="Y566" s="632"/>
      <c r="Z566" s="632"/>
      <c r="AA566" s="632"/>
      <c r="AB566" s="632"/>
      <c r="AC566" s="632"/>
      <c r="AD566" s="632"/>
    </row>
    <row r="567" spans="1:45" x14ac:dyDescent="0.2">
      <c r="A567" s="631" t="s">
        <v>348</v>
      </c>
      <c r="B567" s="631">
        <v>2750</v>
      </c>
      <c r="C567" s="631">
        <v>2000</v>
      </c>
      <c r="D567" s="640" t="str">
        <f t="shared" si="179"/>
        <v>KVV27502000</v>
      </c>
      <c r="E567" s="1054">
        <f t="shared" si="180"/>
        <v>2003.8412250000001</v>
      </c>
      <c r="F567" s="632">
        <v>15</v>
      </c>
      <c r="G567" s="633">
        <f>F567*CCBASE!$B$51</f>
        <v>540</v>
      </c>
      <c r="H567" s="633"/>
      <c r="I567" s="633"/>
      <c r="J567" s="633">
        <f>CCBASE!$I$30*B567/1000</f>
        <v>1463.8412250000001</v>
      </c>
      <c r="K567" s="633"/>
      <c r="L567" s="633"/>
      <c r="M567" s="633"/>
      <c r="N567" s="633"/>
      <c r="O567" s="633"/>
      <c r="P567" s="632"/>
      <c r="Q567" s="632"/>
      <c r="R567" s="632"/>
      <c r="S567" s="632"/>
      <c r="T567" s="632"/>
      <c r="U567" s="632"/>
      <c r="V567" s="632"/>
      <c r="W567" s="632"/>
      <c r="X567" s="632"/>
      <c r="Y567" s="632"/>
      <c r="Z567" s="632"/>
      <c r="AA567" s="632"/>
      <c r="AB567" s="632"/>
      <c r="AC567" s="632"/>
      <c r="AD567" s="632"/>
    </row>
    <row r="568" spans="1:45" x14ac:dyDescent="0.2">
      <c r="A568" s="631" t="s">
        <v>348</v>
      </c>
      <c r="B568" s="631">
        <v>3000</v>
      </c>
      <c r="C568" s="631">
        <v>2000</v>
      </c>
      <c r="D568" s="640" t="str">
        <f t="shared" si="179"/>
        <v>KVV30002000</v>
      </c>
      <c r="E568" s="1054">
        <f t="shared" si="180"/>
        <v>2136.9177</v>
      </c>
      <c r="F568" s="632">
        <v>15</v>
      </c>
      <c r="G568" s="633">
        <f>F568*CCBASE!$B$51</f>
        <v>540</v>
      </c>
      <c r="H568" s="633"/>
      <c r="I568" s="633"/>
      <c r="J568" s="633">
        <f>CCBASE!$I$30*B568/1000</f>
        <v>1596.9177000000002</v>
      </c>
      <c r="K568" s="633"/>
      <c r="L568" s="633"/>
      <c r="M568" s="633"/>
      <c r="N568" s="633"/>
      <c r="O568" s="633"/>
      <c r="P568" s="632"/>
      <c r="Q568" s="632"/>
      <c r="R568" s="632"/>
      <c r="S568" s="632"/>
      <c r="T568" s="632"/>
      <c r="U568" s="632"/>
      <c r="V568" s="632"/>
      <c r="W568" s="632"/>
      <c r="X568" s="632"/>
      <c r="Y568" s="632"/>
      <c r="Z568" s="632"/>
      <c r="AA568" s="632"/>
      <c r="AB568" s="632"/>
      <c r="AC568" s="632"/>
      <c r="AD568" s="632"/>
    </row>
    <row r="569" spans="1:45" x14ac:dyDescent="0.2">
      <c r="A569" s="631" t="s">
        <v>580</v>
      </c>
      <c r="B569" s="631">
        <v>1</v>
      </c>
      <c r="C569" s="631" t="s">
        <v>251</v>
      </c>
      <c r="D569" s="640" t="str">
        <f t="shared" si="179"/>
        <v>CP1S</v>
      </c>
      <c r="E569" s="1054">
        <v>3957.74</v>
      </c>
      <c r="F569" s="632">
        <v>6</v>
      </c>
      <c r="G569" s="633">
        <f>F569*CCBASE!$B$51</f>
        <v>216</v>
      </c>
      <c r="H569" s="633"/>
      <c r="I569" s="638"/>
      <c r="J569" s="638"/>
      <c r="K569" s="638"/>
      <c r="L569" s="638"/>
      <c r="M569" s="638"/>
      <c r="N569" s="638"/>
      <c r="O569" s="638"/>
      <c r="P569" s="638"/>
      <c r="Q569" s="638"/>
      <c r="R569" s="638"/>
      <c r="S569" s="638"/>
      <c r="T569" s="638"/>
      <c r="U569" s="638"/>
      <c r="V569" s="638"/>
      <c r="W569" s="638"/>
      <c r="X569" s="638">
        <f>'Base Costs'!$R$33</f>
        <v>390.08000000000004</v>
      </c>
      <c r="Y569" s="638">
        <f>'Base Costs'!$R$23</f>
        <v>174.68800000000002</v>
      </c>
      <c r="Z569" s="638">
        <f>'Base Costs'!R29</f>
        <v>793.94</v>
      </c>
      <c r="AA569" s="638">
        <f>'Base Costs'!R25</f>
        <v>1200.98</v>
      </c>
      <c r="AB569" s="633">
        <f>CCBASE!$I$48</f>
        <v>153.46597</v>
      </c>
      <c r="AC569" s="638">
        <f>'Base Costs'!$R$24</f>
        <v>19.111800000000002</v>
      </c>
      <c r="AD569" s="638"/>
    </row>
    <row r="570" spans="1:45" x14ac:dyDescent="0.2">
      <c r="A570" s="631" t="s">
        <v>580</v>
      </c>
      <c r="B570" s="631">
        <v>2</v>
      </c>
      <c r="C570" s="631" t="s">
        <v>251</v>
      </c>
      <c r="D570" s="640" t="str">
        <f t="shared" si="179"/>
        <v>CP2S</v>
      </c>
      <c r="E570" s="1054">
        <v>4249.6000000000004</v>
      </c>
      <c r="F570" s="632">
        <v>6</v>
      </c>
      <c r="G570" s="633">
        <f>F570*CCBASE!$B$51</f>
        <v>216</v>
      </c>
      <c r="H570" s="633"/>
      <c r="I570" s="638"/>
      <c r="J570" s="638"/>
      <c r="K570" s="638"/>
      <c r="L570" s="638"/>
      <c r="M570" s="638"/>
      <c r="N570" s="638"/>
      <c r="O570" s="638"/>
      <c r="P570" s="638"/>
      <c r="Q570" s="638"/>
      <c r="R570" s="638"/>
      <c r="S570" s="638"/>
      <c r="T570" s="638"/>
      <c r="U570" s="638"/>
      <c r="V570" s="638"/>
      <c r="W570" s="638"/>
      <c r="X570" s="638">
        <f>'Base Costs'!$R$33</f>
        <v>390.08000000000004</v>
      </c>
      <c r="Y570" s="638">
        <f>'Base Costs'!$R$23</f>
        <v>174.68800000000002</v>
      </c>
      <c r="Z570" s="638">
        <f>'Base Costs'!R30</f>
        <v>877.68000000000006</v>
      </c>
      <c r="AA570" s="638">
        <f>'Base Costs'!R26</f>
        <v>1419.3400000000001</v>
      </c>
      <c r="AB570" s="633">
        <f>CCBASE!$I$48</f>
        <v>153.46597</v>
      </c>
      <c r="AC570" s="638">
        <f>'Base Costs'!$R$24</f>
        <v>19.111800000000002</v>
      </c>
      <c r="AD570" s="638"/>
    </row>
    <row r="571" spans="1:45" x14ac:dyDescent="0.2">
      <c r="A571" s="631" t="s">
        <v>580</v>
      </c>
      <c r="B571" s="631">
        <v>3</v>
      </c>
      <c r="C571" s="631" t="s">
        <v>251</v>
      </c>
      <c r="D571" s="640" t="str">
        <f t="shared" si="179"/>
        <v>CP3S</v>
      </c>
      <c r="E571" s="1054">
        <v>4541.45</v>
      </c>
      <c r="F571" s="632">
        <v>6</v>
      </c>
      <c r="G571" s="633">
        <f>F571*CCBASE!$B$51</f>
        <v>216</v>
      </c>
      <c r="H571" s="633"/>
      <c r="I571" s="638"/>
      <c r="J571" s="638"/>
      <c r="K571" s="638"/>
      <c r="L571" s="638"/>
      <c r="M571" s="638"/>
      <c r="N571" s="638"/>
      <c r="O571" s="638"/>
      <c r="P571" s="638"/>
      <c r="Q571" s="638"/>
      <c r="R571" s="638"/>
      <c r="S571" s="638"/>
      <c r="T571" s="638"/>
      <c r="U571" s="638"/>
      <c r="V571" s="638"/>
      <c r="W571" s="638"/>
      <c r="X571" s="638">
        <f>'Base Costs'!$R$33</f>
        <v>390.08000000000004</v>
      </c>
      <c r="Y571" s="638">
        <f>'Base Costs'!$R$23</f>
        <v>174.68800000000002</v>
      </c>
      <c r="Z571" s="638">
        <f>'Base Costs'!R31</f>
        <v>992.16000000000008</v>
      </c>
      <c r="AA571" s="638">
        <f>'Base Costs'!R27</f>
        <v>1556.0800000000002</v>
      </c>
      <c r="AB571" s="633">
        <f>CCBASE!$I$48</f>
        <v>153.46597</v>
      </c>
      <c r="AC571" s="638">
        <f>'Base Costs'!$R$24</f>
        <v>19.111800000000002</v>
      </c>
      <c r="AD571" s="638"/>
    </row>
    <row r="572" spans="1:45" x14ac:dyDescent="0.2">
      <c r="A572" s="631" t="s">
        <v>580</v>
      </c>
      <c r="B572" s="631">
        <v>4</v>
      </c>
      <c r="C572" s="631" t="s">
        <v>251</v>
      </c>
      <c r="D572" s="640" t="str">
        <f t="shared" si="179"/>
        <v>CP4S</v>
      </c>
      <c r="E572" s="1054">
        <v>4611.6099999999997</v>
      </c>
      <c r="F572" s="632">
        <v>6</v>
      </c>
      <c r="G572" s="633">
        <f>F572*CCBASE!$B$51</f>
        <v>216</v>
      </c>
      <c r="H572" s="633"/>
      <c r="I572" s="638"/>
      <c r="J572" s="638"/>
      <c r="K572" s="638"/>
      <c r="L572" s="638"/>
      <c r="M572" s="638"/>
      <c r="N572" s="638"/>
      <c r="O572" s="638"/>
      <c r="P572" s="638"/>
      <c r="Q572" s="638"/>
      <c r="R572" s="638"/>
      <c r="S572" s="638"/>
      <c r="T572" s="638"/>
      <c r="U572" s="638"/>
      <c r="V572" s="638"/>
      <c r="W572" s="638"/>
      <c r="X572" s="638">
        <f>'Base Costs'!$R$33</f>
        <v>390.08000000000004</v>
      </c>
      <c r="Y572" s="638">
        <f>'Base Costs'!$R$23</f>
        <v>174.68800000000002</v>
      </c>
      <c r="Z572" s="638">
        <f>'Base Costs'!R32</f>
        <v>1055.76</v>
      </c>
      <c r="AA572" s="638">
        <f>'Base Costs'!R28</f>
        <v>1856.0600000000002</v>
      </c>
      <c r="AB572" s="633">
        <f>CCBASE!$I$48</f>
        <v>153.46597</v>
      </c>
      <c r="AC572" s="638">
        <f>'Base Costs'!$R$24</f>
        <v>19.111800000000002</v>
      </c>
      <c r="AD572" s="638"/>
    </row>
    <row r="573" spans="1:45" x14ac:dyDescent="0.2">
      <c r="A573" s="631" t="s">
        <v>607</v>
      </c>
      <c r="B573" s="631">
        <v>1000</v>
      </c>
      <c r="C573" s="631">
        <v>1000</v>
      </c>
      <c r="D573" s="631" t="str">
        <f>$A573&amp;B573&amp;C573</f>
        <v>KVX-P10001000</v>
      </c>
      <c r="E573" s="1054">
        <f t="shared" si="180"/>
        <v>615.20440150000002</v>
      </c>
      <c r="F573" s="632">
        <v>13</v>
      </c>
      <c r="G573" s="633">
        <f>F573*CCBASE!$B$51</f>
        <v>468</v>
      </c>
      <c r="H573" s="633">
        <f>CCBASE!$I$12*B573/1000</f>
        <v>119.65053730000001</v>
      </c>
      <c r="I573" s="633"/>
      <c r="J573" s="633"/>
      <c r="K573" s="633"/>
      <c r="L573" s="632"/>
      <c r="M573" s="633"/>
      <c r="N573" s="633"/>
      <c r="O573" s="633"/>
      <c r="P573" s="633"/>
      <c r="Q573" s="633">
        <f>CCBASE!$I$51</f>
        <v>2.9</v>
      </c>
      <c r="R573" s="633">
        <f>CCBASE!$I$4</f>
        <v>8.3986041999999994</v>
      </c>
      <c r="S573" s="633">
        <f>CCBASE!$I$8</f>
        <v>16.25526</v>
      </c>
      <c r="T573" s="632"/>
      <c r="U573" s="633"/>
      <c r="V573" s="633"/>
      <c r="W573" s="633"/>
      <c r="X573" s="633"/>
      <c r="Y573" s="633"/>
      <c r="Z573" s="633"/>
      <c r="AA573" s="633"/>
      <c r="AB573" s="633"/>
      <c r="AC573" s="633"/>
      <c r="AD573" s="633"/>
      <c r="AI573" s="635"/>
      <c r="AJ573" s="635"/>
      <c r="AK573" s="636"/>
      <c r="AL573" s="636"/>
      <c r="AM573" s="636"/>
      <c r="AN573" s="636"/>
      <c r="AO573" s="636"/>
      <c r="AP573" s="636"/>
      <c r="AQ573" s="636"/>
      <c r="AR573" s="636"/>
      <c r="AS573" s="636"/>
    </row>
    <row r="574" spans="1:45" x14ac:dyDescent="0.2">
      <c r="A574" s="631" t="s">
        <v>607</v>
      </c>
      <c r="B574" s="631">
        <v>1250</v>
      </c>
      <c r="C574" s="631">
        <v>1000</v>
      </c>
      <c r="D574" s="631" t="str">
        <f t="shared" ref="D574:D576" si="181">$A574&amp;B574&amp;C574</f>
        <v>KVX-P12501000</v>
      </c>
      <c r="E574" s="1054">
        <f t="shared" si="180"/>
        <v>645.11703582500002</v>
      </c>
      <c r="F574" s="632">
        <v>13</v>
      </c>
      <c r="G574" s="633">
        <f>F574*CCBASE!$B$51</f>
        <v>468</v>
      </c>
      <c r="H574" s="633">
        <f>CCBASE!$I$12*B574/1000</f>
        <v>149.56317162500002</v>
      </c>
      <c r="I574" s="633"/>
      <c r="J574" s="633"/>
      <c r="K574" s="633"/>
      <c r="L574" s="632"/>
      <c r="M574" s="633"/>
      <c r="N574" s="633"/>
      <c r="O574" s="633"/>
      <c r="P574" s="633"/>
      <c r="Q574" s="633">
        <f>CCBASE!$I$51</f>
        <v>2.9</v>
      </c>
      <c r="R574" s="633">
        <f>CCBASE!$I$4</f>
        <v>8.3986041999999994</v>
      </c>
      <c r="S574" s="633">
        <f>CCBASE!$I$8</f>
        <v>16.25526</v>
      </c>
      <c r="T574" s="632"/>
      <c r="U574" s="633"/>
      <c r="V574" s="633"/>
      <c r="W574" s="633"/>
      <c r="X574" s="633"/>
      <c r="Y574" s="633"/>
      <c r="Z574" s="633"/>
      <c r="AA574" s="633"/>
      <c r="AB574" s="633"/>
      <c r="AC574" s="633"/>
      <c r="AD574" s="633"/>
      <c r="AI574" s="635"/>
      <c r="AJ574" s="635"/>
      <c r="AK574" s="636"/>
      <c r="AL574" s="636"/>
      <c r="AM574" s="636"/>
      <c r="AN574" s="636"/>
      <c r="AO574" s="636"/>
      <c r="AP574" s="636"/>
      <c r="AQ574" s="636"/>
      <c r="AR574" s="636"/>
      <c r="AS574" s="636"/>
    </row>
    <row r="575" spans="1:45" x14ac:dyDescent="0.2">
      <c r="A575" s="631" t="s">
        <v>607</v>
      </c>
      <c r="B575" s="631">
        <v>1500</v>
      </c>
      <c r="C575" s="631">
        <v>1000</v>
      </c>
      <c r="D575" s="631" t="str">
        <f t="shared" si="181"/>
        <v>KVX-P15001000</v>
      </c>
      <c r="E575" s="1054">
        <f t="shared" si="180"/>
        <v>675.02967015000002</v>
      </c>
      <c r="F575" s="632">
        <v>13</v>
      </c>
      <c r="G575" s="633">
        <f>F575*CCBASE!$B$51</f>
        <v>468</v>
      </c>
      <c r="H575" s="633">
        <f>CCBASE!$I$12*B575/1000</f>
        <v>179.47580595000002</v>
      </c>
      <c r="I575" s="633"/>
      <c r="J575" s="633"/>
      <c r="K575" s="633"/>
      <c r="L575" s="632"/>
      <c r="M575" s="633"/>
      <c r="N575" s="633"/>
      <c r="O575" s="633"/>
      <c r="P575" s="633"/>
      <c r="Q575" s="633">
        <f>CCBASE!$I$51</f>
        <v>2.9</v>
      </c>
      <c r="R575" s="633">
        <f>CCBASE!$I$4</f>
        <v>8.3986041999999994</v>
      </c>
      <c r="S575" s="633">
        <f>CCBASE!$I$8</f>
        <v>16.25526</v>
      </c>
      <c r="T575" s="632"/>
      <c r="U575" s="633"/>
      <c r="V575" s="633"/>
      <c r="W575" s="633"/>
      <c r="X575" s="633"/>
      <c r="Y575" s="633"/>
      <c r="Z575" s="633"/>
      <c r="AA575" s="633"/>
      <c r="AB575" s="633"/>
      <c r="AC575" s="633"/>
      <c r="AD575" s="633"/>
      <c r="AI575" s="635"/>
      <c r="AJ575" s="635"/>
      <c r="AK575" s="636"/>
      <c r="AL575" s="636"/>
      <c r="AM575" s="636"/>
      <c r="AN575" s="636"/>
      <c r="AO575" s="636"/>
      <c r="AP575" s="636"/>
      <c r="AQ575" s="636"/>
      <c r="AR575" s="636"/>
      <c r="AS575" s="636"/>
    </row>
    <row r="576" spans="1:45" ht="17" thickBot="1" x14ac:dyDescent="0.25">
      <c r="A576" s="641" t="s">
        <v>607</v>
      </c>
      <c r="B576" s="641">
        <v>2000</v>
      </c>
      <c r="C576" s="641">
        <v>1000</v>
      </c>
      <c r="D576" s="641" t="str">
        <f t="shared" si="181"/>
        <v>KVX-P20001000</v>
      </c>
      <c r="E576" s="1054">
        <f t="shared" si="180"/>
        <v>734.85493880000001</v>
      </c>
      <c r="F576" s="642">
        <v>13</v>
      </c>
      <c r="G576" s="643">
        <f>F576*CCBASE!$B$51</f>
        <v>468</v>
      </c>
      <c r="H576" s="643">
        <f>CCBASE!$I$12*B576/1000</f>
        <v>239.30107460000002</v>
      </c>
      <c r="I576" s="643"/>
      <c r="J576" s="643"/>
      <c r="K576" s="643"/>
      <c r="L576" s="642"/>
      <c r="M576" s="643"/>
      <c r="N576" s="643"/>
      <c r="O576" s="643"/>
      <c r="P576" s="643"/>
      <c r="Q576" s="643">
        <f>CCBASE!$I$51</f>
        <v>2.9</v>
      </c>
      <c r="R576" s="643">
        <f>CCBASE!$I$4</f>
        <v>8.3986041999999994</v>
      </c>
      <c r="S576" s="643">
        <f>CCBASE!$I$8</f>
        <v>16.25526</v>
      </c>
      <c r="T576" s="642"/>
      <c r="U576" s="643"/>
      <c r="V576" s="643"/>
      <c r="W576" s="643"/>
      <c r="X576" s="643"/>
      <c r="Y576" s="643"/>
      <c r="Z576" s="643"/>
      <c r="AA576" s="643"/>
      <c r="AB576" s="643"/>
      <c r="AC576" s="643"/>
      <c r="AD576" s="643"/>
      <c r="AI576" s="635"/>
      <c r="AJ576" s="635"/>
      <c r="AK576" s="636"/>
      <c r="AL576" s="636"/>
      <c r="AM576" s="636"/>
      <c r="AN576" s="636"/>
      <c r="AO576" s="636"/>
      <c r="AP576" s="636"/>
      <c r="AQ576" s="636"/>
      <c r="AR576" s="636"/>
      <c r="AS576" s="636"/>
    </row>
    <row r="577" spans="1:45" ht="17" thickBot="1" x14ac:dyDescent="0.25">
      <c r="A577" s="644" t="s">
        <v>767</v>
      </c>
      <c r="B577" s="645">
        <v>1000</v>
      </c>
      <c r="C577" s="645">
        <v>1000</v>
      </c>
      <c r="D577" s="646" t="str">
        <f>$A577&amp;B577&amp;C577</f>
        <v>KVX-M10001000</v>
      </c>
      <c r="E577" s="1054">
        <f t="shared" si="180"/>
        <v>1045.1075905</v>
      </c>
      <c r="F577" s="647">
        <v>17</v>
      </c>
      <c r="G577" s="648">
        <f>F577*CCBASE!$B$51</f>
        <v>612</v>
      </c>
      <c r="H577" s="648">
        <f>CCBASE!$I$12*B577/1000</f>
        <v>119.65053730000001</v>
      </c>
      <c r="I577" s="648"/>
      <c r="J577" s="648"/>
      <c r="K577" s="648"/>
      <c r="L577" s="647"/>
      <c r="M577" s="648">
        <f>CCBASE!$I$15*B577/1000</f>
        <v>79.84588500000001</v>
      </c>
      <c r="N577" s="648">
        <f>CCBASE!$I$7*B577/1000</f>
        <v>31.542280000000002</v>
      </c>
      <c r="O577" s="648">
        <f>CCBASE!$I$45*B577/1000</f>
        <v>9.9700000000000006</v>
      </c>
      <c r="P577" s="648"/>
      <c r="Q577" s="648">
        <f>CCBASE!$I$51</f>
        <v>2.9</v>
      </c>
      <c r="R577" s="648">
        <f>CCBASE!$I$4</f>
        <v>8.3986041999999994</v>
      </c>
      <c r="S577" s="648">
        <f>CCBASE!$I$8</f>
        <v>16.25526</v>
      </c>
      <c r="T577" s="647"/>
      <c r="U577" s="649">
        <f>CCBASE!$I$47</f>
        <v>14.41</v>
      </c>
      <c r="V577" s="648"/>
      <c r="W577" s="648">
        <f>CCBASE!$I$40*B577/1000</f>
        <v>41.308039999999998</v>
      </c>
      <c r="X577" s="648"/>
      <c r="Y577" s="648"/>
      <c r="Z577" s="648"/>
      <c r="AA577" s="648"/>
      <c r="AB577" s="648"/>
      <c r="AC577" s="648"/>
      <c r="AD577" s="650">
        <f>CCBASE!$I$32*2</f>
        <v>108.826984</v>
      </c>
      <c r="AI577" s="635"/>
      <c r="AJ577" s="635"/>
      <c r="AK577" s="636"/>
      <c r="AL577" s="636"/>
      <c r="AM577" s="636"/>
      <c r="AN577" s="636"/>
      <c r="AO577" s="636"/>
      <c r="AP577" s="636"/>
      <c r="AQ577" s="636"/>
      <c r="AR577" s="636"/>
      <c r="AS577" s="636"/>
    </row>
    <row r="578" spans="1:45" ht="17" thickBot="1" x14ac:dyDescent="0.25">
      <c r="A578" s="644" t="s">
        <v>767</v>
      </c>
      <c r="B578" s="631">
        <v>1250</v>
      </c>
      <c r="C578" s="631">
        <v>1000</v>
      </c>
      <c r="D578" s="651" t="str">
        <f t="shared" ref="D578:D621" si="182">$A578&amp;B578&amp;C578</f>
        <v>KVX-M12501000</v>
      </c>
      <c r="E578" s="1054">
        <f t="shared" si="180"/>
        <v>1115.6867760749999</v>
      </c>
      <c r="F578" s="632">
        <v>17</v>
      </c>
      <c r="G578" s="633">
        <f>F578*CCBASE!$B$51</f>
        <v>612</v>
      </c>
      <c r="H578" s="633">
        <f>CCBASE!$I$12*B578/1000</f>
        <v>149.56317162500002</v>
      </c>
      <c r="I578" s="633"/>
      <c r="J578" s="633"/>
      <c r="K578" s="633"/>
      <c r="L578" s="632"/>
      <c r="M578" s="633">
        <f>CCBASE!$I$15*B578/1000</f>
        <v>99.807356250000012</v>
      </c>
      <c r="N578" s="633">
        <f>CCBASE!$I$7*B578/1000</f>
        <v>39.427849999999999</v>
      </c>
      <c r="O578" s="633">
        <f>CCBASE!$I$45*B578/1000</f>
        <v>12.4625</v>
      </c>
      <c r="P578" s="633"/>
      <c r="Q578" s="633">
        <f>CCBASE!$I$51</f>
        <v>2.9</v>
      </c>
      <c r="R578" s="633">
        <f>CCBASE!$I$4</f>
        <v>8.3986041999999994</v>
      </c>
      <c r="S578" s="633">
        <f>CCBASE!$I$8</f>
        <v>16.25526</v>
      </c>
      <c r="T578" s="632"/>
      <c r="U578" s="638">
        <f>CCBASE!$I$47</f>
        <v>14.41</v>
      </c>
      <c r="V578" s="633"/>
      <c r="W578" s="633">
        <f>CCBASE!$I$40*B578/1000</f>
        <v>51.635049999999993</v>
      </c>
      <c r="X578" s="633"/>
      <c r="Y578" s="633"/>
      <c r="Z578" s="633"/>
      <c r="AA578" s="633"/>
      <c r="AB578" s="633"/>
      <c r="AC578" s="633"/>
      <c r="AD578" s="652">
        <f>CCBASE!$I$32*2</f>
        <v>108.826984</v>
      </c>
      <c r="AI578" s="635"/>
      <c r="AJ578" s="635"/>
      <c r="AK578" s="636"/>
      <c r="AL578" s="636"/>
      <c r="AM578" s="636"/>
      <c r="AN578" s="636"/>
      <c r="AO578" s="636"/>
      <c r="AP578" s="636"/>
      <c r="AQ578" s="636"/>
      <c r="AR578" s="636"/>
      <c r="AS578" s="636"/>
    </row>
    <row r="579" spans="1:45" ht="17" thickBot="1" x14ac:dyDescent="0.25">
      <c r="A579" s="644" t="s">
        <v>767</v>
      </c>
      <c r="B579" s="631">
        <v>1500</v>
      </c>
      <c r="C579" s="631">
        <v>1000</v>
      </c>
      <c r="D579" s="651" t="str">
        <f t="shared" si="182"/>
        <v>KVX-M15001000</v>
      </c>
      <c r="E579" s="1054">
        <f t="shared" si="180"/>
        <v>1186.26596165</v>
      </c>
      <c r="F579" s="632">
        <v>17</v>
      </c>
      <c r="G579" s="633">
        <f>F579*CCBASE!$B$51</f>
        <v>612</v>
      </c>
      <c r="H579" s="633">
        <f>CCBASE!$I$12*B579/1000</f>
        <v>179.47580595000002</v>
      </c>
      <c r="I579" s="633"/>
      <c r="J579" s="633"/>
      <c r="K579" s="633"/>
      <c r="L579" s="632"/>
      <c r="M579" s="633">
        <f>CCBASE!$I$15*B579/1000</f>
        <v>119.76882750000001</v>
      </c>
      <c r="N579" s="633">
        <f>CCBASE!$I$7*B579/1000</f>
        <v>47.313420000000008</v>
      </c>
      <c r="O579" s="633">
        <f>CCBASE!$I$45*B579/1000</f>
        <v>14.955000000000002</v>
      </c>
      <c r="P579" s="633"/>
      <c r="Q579" s="633">
        <f>CCBASE!$I$51</f>
        <v>2.9</v>
      </c>
      <c r="R579" s="633">
        <f>CCBASE!$I$4</f>
        <v>8.3986041999999994</v>
      </c>
      <c r="S579" s="633">
        <f>CCBASE!$I$8</f>
        <v>16.25526</v>
      </c>
      <c r="T579" s="632"/>
      <c r="U579" s="638">
        <f>CCBASE!$I$47</f>
        <v>14.41</v>
      </c>
      <c r="V579" s="633"/>
      <c r="W579" s="633">
        <f>CCBASE!$I$40*B579/1000</f>
        <v>61.962060000000001</v>
      </c>
      <c r="X579" s="633"/>
      <c r="Y579" s="633"/>
      <c r="Z579" s="633"/>
      <c r="AA579" s="633"/>
      <c r="AB579" s="633"/>
      <c r="AC579" s="633"/>
      <c r="AD579" s="652">
        <f>CCBASE!$I$32*2</f>
        <v>108.826984</v>
      </c>
      <c r="AI579" s="635"/>
      <c r="AJ579" s="635"/>
      <c r="AK579" s="636"/>
      <c r="AL579" s="636"/>
      <c r="AM579" s="636"/>
      <c r="AN579" s="636"/>
      <c r="AO579" s="636"/>
      <c r="AP579" s="636"/>
      <c r="AQ579" s="636"/>
      <c r="AR579" s="636"/>
      <c r="AS579" s="636"/>
    </row>
    <row r="580" spans="1:45" ht="17" thickBot="1" x14ac:dyDescent="0.25">
      <c r="A580" s="644" t="s">
        <v>767</v>
      </c>
      <c r="B580" s="631">
        <v>1750</v>
      </c>
      <c r="C580" s="631">
        <v>1000</v>
      </c>
      <c r="D580" s="651" t="str">
        <f t="shared" si="182"/>
        <v>KVX-M17501000</v>
      </c>
      <c r="E580" s="1054">
        <f t="shared" si="180"/>
        <v>1292.8451472250001</v>
      </c>
      <c r="F580" s="632">
        <v>18</v>
      </c>
      <c r="G580" s="633">
        <f>F580*CCBASE!$B$51</f>
        <v>648</v>
      </c>
      <c r="H580" s="633">
        <f>CCBASE!$I$12*B580/1000</f>
        <v>209.38844027500002</v>
      </c>
      <c r="I580" s="633"/>
      <c r="J580" s="633"/>
      <c r="K580" s="633"/>
      <c r="L580" s="632"/>
      <c r="M580" s="633">
        <f>CCBASE!$I$15*B580/1000</f>
        <v>139.73029875</v>
      </c>
      <c r="N580" s="633">
        <f>CCBASE!$I$7*B580/1000</f>
        <v>55.198990000000002</v>
      </c>
      <c r="O580" s="633">
        <f>CCBASE!$I$45*B580/1000</f>
        <v>17.447500000000002</v>
      </c>
      <c r="P580" s="633"/>
      <c r="Q580" s="633">
        <f>CCBASE!$I$51</f>
        <v>2.9</v>
      </c>
      <c r="R580" s="633">
        <f>CCBASE!$I$4</f>
        <v>8.3986041999999994</v>
      </c>
      <c r="S580" s="633">
        <f>CCBASE!$I$8</f>
        <v>16.25526</v>
      </c>
      <c r="T580" s="632"/>
      <c r="U580" s="638">
        <f>CCBASE!$I$47</f>
        <v>14.41</v>
      </c>
      <c r="V580" s="633"/>
      <c r="W580" s="633">
        <f>CCBASE!$I$40*B580/1000</f>
        <v>72.289069999999995</v>
      </c>
      <c r="X580" s="633"/>
      <c r="Y580" s="633"/>
      <c r="Z580" s="633"/>
      <c r="AA580" s="633"/>
      <c r="AB580" s="633"/>
      <c r="AC580" s="633"/>
      <c r="AD580" s="652">
        <f>CCBASE!$I$32*2</f>
        <v>108.826984</v>
      </c>
      <c r="AI580" s="635"/>
      <c r="AJ580" s="635"/>
      <c r="AN580" s="636"/>
      <c r="AO580" s="636"/>
      <c r="AP580" s="636"/>
      <c r="AQ580" s="636"/>
      <c r="AR580" s="636"/>
      <c r="AS580" s="636"/>
    </row>
    <row r="581" spans="1:45" ht="17" thickBot="1" x14ac:dyDescent="0.25">
      <c r="A581" s="644" t="s">
        <v>767</v>
      </c>
      <c r="B581" s="631">
        <v>2000</v>
      </c>
      <c r="C581" s="631">
        <v>1000</v>
      </c>
      <c r="D581" s="651" t="str">
        <f t="shared" si="182"/>
        <v>KVX-M20001000</v>
      </c>
      <c r="E581" s="1054">
        <f t="shared" si="180"/>
        <v>1363.4243328</v>
      </c>
      <c r="F581" s="632">
        <v>18</v>
      </c>
      <c r="G581" s="633">
        <f>F581*CCBASE!$B$51</f>
        <v>648</v>
      </c>
      <c r="H581" s="633">
        <f>CCBASE!$I$12*B581/1000</f>
        <v>239.30107460000002</v>
      </c>
      <c r="I581" s="633"/>
      <c r="J581" s="633"/>
      <c r="K581" s="633"/>
      <c r="L581" s="632"/>
      <c r="M581" s="633">
        <f>CCBASE!$I$15*B581/1000</f>
        <v>159.69177000000002</v>
      </c>
      <c r="N581" s="633">
        <f>CCBASE!$I$7*B581/1000</f>
        <v>63.084560000000003</v>
      </c>
      <c r="O581" s="633">
        <f>CCBASE!$I$45*B581/1000</f>
        <v>19.940000000000001</v>
      </c>
      <c r="P581" s="633"/>
      <c r="Q581" s="633">
        <f>CCBASE!$I$51</f>
        <v>2.9</v>
      </c>
      <c r="R581" s="633">
        <f>CCBASE!$I$4</f>
        <v>8.3986041999999994</v>
      </c>
      <c r="S581" s="633">
        <f>CCBASE!$I$8</f>
        <v>16.25526</v>
      </c>
      <c r="T581" s="632"/>
      <c r="U581" s="638">
        <f>CCBASE!$I$47</f>
        <v>14.41</v>
      </c>
      <c r="V581" s="633"/>
      <c r="W581" s="633">
        <f>CCBASE!$I$40*B581/1000</f>
        <v>82.616079999999997</v>
      </c>
      <c r="X581" s="633"/>
      <c r="Y581" s="633"/>
      <c r="Z581" s="633"/>
      <c r="AA581" s="633"/>
      <c r="AB581" s="633"/>
      <c r="AC581" s="633"/>
      <c r="AD581" s="652">
        <f>CCBASE!$I$32*2</f>
        <v>108.826984</v>
      </c>
      <c r="AI581" s="635"/>
      <c r="AJ581" s="635"/>
      <c r="AN581" s="636"/>
      <c r="AO581" s="636"/>
      <c r="AP581" s="636"/>
      <c r="AQ581" s="636"/>
      <c r="AR581" s="636"/>
      <c r="AS581" s="636"/>
    </row>
    <row r="582" spans="1:45" ht="17" thickBot="1" x14ac:dyDescent="0.25">
      <c r="A582" s="644" t="s">
        <v>767</v>
      </c>
      <c r="B582" s="631">
        <v>2250</v>
      </c>
      <c r="C582" s="631">
        <v>1000</v>
      </c>
      <c r="D582" s="651" t="str">
        <f t="shared" si="182"/>
        <v>KVX-M22501000</v>
      </c>
      <c r="E582" s="1054">
        <f t="shared" si="180"/>
        <v>1448.4135183749997</v>
      </c>
      <c r="F582" s="632">
        <v>18</v>
      </c>
      <c r="G582" s="633">
        <f>F582*CCBASE!$B$51</f>
        <v>648</v>
      </c>
      <c r="H582" s="633">
        <f>CCBASE!$I$12*B582/1000</f>
        <v>269.21370892500005</v>
      </c>
      <c r="I582" s="633"/>
      <c r="J582" s="633"/>
      <c r="K582" s="633"/>
      <c r="L582" s="632"/>
      <c r="M582" s="633">
        <f>CCBASE!$I$15*B582/1000</f>
        <v>179.65324125000001</v>
      </c>
      <c r="N582" s="633">
        <f>CCBASE!$I$7*B582/1000</f>
        <v>70.970130000000012</v>
      </c>
      <c r="O582" s="633">
        <f>CCBASE!$I$45*B582/1000</f>
        <v>22.432500000000001</v>
      </c>
      <c r="P582" s="633"/>
      <c r="Q582" s="633">
        <f>CCBASE!$I$51</f>
        <v>2.9</v>
      </c>
      <c r="R582" s="633">
        <f>CCBASE!$I$4</f>
        <v>8.3986041999999994</v>
      </c>
      <c r="S582" s="633">
        <f>CCBASE!$I$8</f>
        <v>16.25526</v>
      </c>
      <c r="T582" s="632"/>
      <c r="U582" s="638">
        <f>CCBASE!$I$47*2</f>
        <v>28.82</v>
      </c>
      <c r="V582" s="633"/>
      <c r="W582" s="633">
        <f>CCBASE!$I$40*B582/1000</f>
        <v>92.943089999999998</v>
      </c>
      <c r="X582" s="633"/>
      <c r="Y582" s="633"/>
      <c r="Z582" s="633"/>
      <c r="AA582" s="633"/>
      <c r="AB582" s="633"/>
      <c r="AC582" s="633"/>
      <c r="AD582" s="652">
        <f>CCBASE!$I$32*2</f>
        <v>108.826984</v>
      </c>
      <c r="AI582" s="635"/>
      <c r="AJ582" s="635"/>
      <c r="AN582" s="636"/>
      <c r="AO582" s="636"/>
      <c r="AP582" s="636"/>
      <c r="AQ582" s="636"/>
      <c r="AR582" s="636"/>
      <c r="AS582" s="636"/>
    </row>
    <row r="583" spans="1:45" ht="17" thickBot="1" x14ac:dyDescent="0.25">
      <c r="A583" s="644" t="s">
        <v>767</v>
      </c>
      <c r="B583" s="631">
        <v>2500</v>
      </c>
      <c r="C583" s="631">
        <v>1000</v>
      </c>
      <c r="D583" s="651" t="str">
        <f t="shared" si="182"/>
        <v>KVX-M25001000</v>
      </c>
      <c r="E583" s="1054">
        <f t="shared" si="180"/>
        <v>1554.9927039499999</v>
      </c>
      <c r="F583" s="632">
        <v>19</v>
      </c>
      <c r="G583" s="633">
        <f>F583*CCBASE!$B$51</f>
        <v>684</v>
      </c>
      <c r="H583" s="633">
        <f>CCBASE!$I$12*B583/1000</f>
        <v>299.12634325000005</v>
      </c>
      <c r="I583" s="633"/>
      <c r="J583" s="633"/>
      <c r="K583" s="633"/>
      <c r="L583" s="632"/>
      <c r="M583" s="633">
        <f>CCBASE!$I$15*B583/1000</f>
        <v>199.61471250000002</v>
      </c>
      <c r="N583" s="633">
        <f>CCBASE!$I$7*B583/1000</f>
        <v>78.855699999999999</v>
      </c>
      <c r="O583" s="633">
        <f>CCBASE!$I$45*B583/1000</f>
        <v>24.925000000000001</v>
      </c>
      <c r="P583" s="633"/>
      <c r="Q583" s="633">
        <f>CCBASE!$I$51</f>
        <v>2.9</v>
      </c>
      <c r="R583" s="633">
        <f>CCBASE!$I$4</f>
        <v>8.3986041999999994</v>
      </c>
      <c r="S583" s="633">
        <f>CCBASE!$I$8</f>
        <v>16.25526</v>
      </c>
      <c r="T583" s="632"/>
      <c r="U583" s="638">
        <f>CCBASE!$I$47*2</f>
        <v>28.82</v>
      </c>
      <c r="V583" s="633"/>
      <c r="W583" s="633">
        <f>CCBASE!$I$40*B583/1000</f>
        <v>103.27009999999999</v>
      </c>
      <c r="X583" s="633"/>
      <c r="Y583" s="633"/>
      <c r="Z583" s="633"/>
      <c r="AA583" s="633"/>
      <c r="AB583" s="633"/>
      <c r="AC583" s="633"/>
      <c r="AD583" s="652">
        <f>CCBASE!$I$32*2</f>
        <v>108.826984</v>
      </c>
      <c r="AI583" s="635"/>
      <c r="AJ583" s="635"/>
      <c r="AN583" s="636"/>
      <c r="AO583" s="636"/>
      <c r="AP583" s="636"/>
      <c r="AQ583" s="636"/>
      <c r="AR583" s="636"/>
      <c r="AS583" s="636"/>
    </row>
    <row r="584" spans="1:45" ht="17" thickBot="1" x14ac:dyDescent="0.25">
      <c r="A584" s="644" t="s">
        <v>767</v>
      </c>
      <c r="B584" s="631">
        <v>2750</v>
      </c>
      <c r="C584" s="631">
        <v>1000</v>
      </c>
      <c r="D584" s="651" t="str">
        <f t="shared" si="182"/>
        <v>KVX-M27501000</v>
      </c>
      <c r="E584" s="1054">
        <f t="shared" si="180"/>
        <v>1625.5718895249997</v>
      </c>
      <c r="F584" s="632">
        <v>19</v>
      </c>
      <c r="G584" s="633">
        <f>F584*CCBASE!$B$51</f>
        <v>684</v>
      </c>
      <c r="H584" s="633">
        <f>CCBASE!$I$12*B584/1000</f>
        <v>329.03897757500005</v>
      </c>
      <c r="I584" s="633"/>
      <c r="J584" s="633"/>
      <c r="K584" s="633"/>
      <c r="L584" s="632"/>
      <c r="M584" s="633">
        <f>CCBASE!$I$15*B584/1000</f>
        <v>219.57618375000001</v>
      </c>
      <c r="N584" s="633">
        <f>CCBASE!$I$7*B584/1000</f>
        <v>86.74127</v>
      </c>
      <c r="O584" s="633">
        <f>CCBASE!$I$45*B584/1000</f>
        <v>27.4175</v>
      </c>
      <c r="P584" s="633"/>
      <c r="Q584" s="633">
        <f>CCBASE!$I$51</f>
        <v>2.9</v>
      </c>
      <c r="R584" s="633">
        <f>CCBASE!$I$4</f>
        <v>8.3986041999999994</v>
      </c>
      <c r="S584" s="633">
        <f>CCBASE!$I$8</f>
        <v>16.25526</v>
      </c>
      <c r="T584" s="632"/>
      <c r="U584" s="638">
        <f>CCBASE!$I$47*2</f>
        <v>28.82</v>
      </c>
      <c r="V584" s="633"/>
      <c r="W584" s="633">
        <f>CCBASE!$I$40*B584/1000</f>
        <v>113.59711</v>
      </c>
      <c r="X584" s="633"/>
      <c r="Y584" s="633"/>
      <c r="Z584" s="633"/>
      <c r="AA584" s="633"/>
      <c r="AB584" s="633"/>
      <c r="AC584" s="633"/>
      <c r="AD584" s="652">
        <f>CCBASE!$I$32*2</f>
        <v>108.826984</v>
      </c>
      <c r="AI584" s="635"/>
      <c r="AJ584" s="635"/>
      <c r="AN584" s="636"/>
      <c r="AO584" s="636"/>
      <c r="AP584" s="636"/>
      <c r="AQ584" s="636"/>
      <c r="AR584" s="636"/>
      <c r="AS584" s="636"/>
    </row>
    <row r="585" spans="1:45" ht="17" thickBot="1" x14ac:dyDescent="0.25">
      <c r="A585" s="644" t="s">
        <v>767</v>
      </c>
      <c r="B585" s="631">
        <v>3000</v>
      </c>
      <c r="C585" s="631">
        <v>1000</v>
      </c>
      <c r="D585" s="651" t="str">
        <f t="shared" si="182"/>
        <v>KVX-M30001000</v>
      </c>
      <c r="E585" s="1054">
        <f t="shared" si="180"/>
        <v>1696.1510750999998</v>
      </c>
      <c r="F585" s="632">
        <v>19</v>
      </c>
      <c r="G585" s="633">
        <f>F585*CCBASE!$B$51</f>
        <v>684</v>
      </c>
      <c r="H585" s="633">
        <f>CCBASE!$I$12*B585/1000</f>
        <v>358.95161190000005</v>
      </c>
      <c r="I585" s="633"/>
      <c r="J585" s="633"/>
      <c r="K585" s="633"/>
      <c r="L585" s="632"/>
      <c r="M585" s="633">
        <f>CCBASE!$I$15*B585/1000</f>
        <v>239.53765500000003</v>
      </c>
      <c r="N585" s="633">
        <f>CCBASE!$I$7*B585/1000</f>
        <v>94.626840000000016</v>
      </c>
      <c r="O585" s="633">
        <f>CCBASE!$I$45*B585/1000</f>
        <v>29.910000000000004</v>
      </c>
      <c r="P585" s="633"/>
      <c r="Q585" s="633">
        <f>CCBASE!$I$51</f>
        <v>2.9</v>
      </c>
      <c r="R585" s="633">
        <f>CCBASE!$I$4</f>
        <v>8.3986041999999994</v>
      </c>
      <c r="S585" s="633">
        <f>CCBASE!$I$8</f>
        <v>16.25526</v>
      </c>
      <c r="T585" s="632"/>
      <c r="U585" s="638">
        <f>CCBASE!$I$47*2</f>
        <v>28.82</v>
      </c>
      <c r="V585" s="633"/>
      <c r="W585" s="633">
        <f>CCBASE!$I$40*B585/1000</f>
        <v>123.92412</v>
      </c>
      <c r="X585" s="633"/>
      <c r="Y585" s="633"/>
      <c r="Z585" s="633"/>
      <c r="AA585" s="633"/>
      <c r="AB585" s="633"/>
      <c r="AC585" s="633"/>
      <c r="AD585" s="652">
        <f>CCBASE!$I$32*2</f>
        <v>108.826984</v>
      </c>
      <c r="AI585" s="635"/>
      <c r="AJ585" s="635"/>
      <c r="AN585" s="636"/>
      <c r="AO585" s="636"/>
      <c r="AP585" s="636"/>
      <c r="AQ585" s="636"/>
      <c r="AR585" s="636"/>
      <c r="AS585" s="636"/>
    </row>
    <row r="586" spans="1:45" ht="17" thickBot="1" x14ac:dyDescent="0.25">
      <c r="A586" s="644" t="s">
        <v>767</v>
      </c>
      <c r="B586" s="631">
        <v>1000</v>
      </c>
      <c r="C586" s="631">
        <v>1250</v>
      </c>
      <c r="D586" s="651" t="str">
        <f t="shared" si="182"/>
        <v>KVX-M10001250</v>
      </c>
      <c r="E586" s="1054">
        <f t="shared" si="180"/>
        <v>1045.1075905</v>
      </c>
      <c r="F586" s="647">
        <v>17</v>
      </c>
      <c r="G586" s="633">
        <f>F586*CCBASE!$B$51</f>
        <v>612</v>
      </c>
      <c r="H586" s="633">
        <f>CCBASE!$I$12*B586/1000</f>
        <v>119.65053730000001</v>
      </c>
      <c r="I586" s="633"/>
      <c r="J586" s="633"/>
      <c r="K586" s="633"/>
      <c r="L586" s="632"/>
      <c r="M586" s="633">
        <f>CCBASE!$I$15*B586/1000</f>
        <v>79.84588500000001</v>
      </c>
      <c r="N586" s="633">
        <f>CCBASE!$I$7*B586/1000</f>
        <v>31.542280000000002</v>
      </c>
      <c r="O586" s="633">
        <f>CCBASE!$I$45*B586/1000</f>
        <v>9.9700000000000006</v>
      </c>
      <c r="P586" s="633"/>
      <c r="Q586" s="633">
        <f>CCBASE!$I$51</f>
        <v>2.9</v>
      </c>
      <c r="R586" s="633">
        <f>CCBASE!$I$4</f>
        <v>8.3986041999999994</v>
      </c>
      <c r="S586" s="633">
        <f>CCBASE!$I$8</f>
        <v>16.25526</v>
      </c>
      <c r="T586" s="632"/>
      <c r="U586" s="638">
        <f>CCBASE!$I$47</f>
        <v>14.41</v>
      </c>
      <c r="V586" s="633"/>
      <c r="W586" s="633">
        <f>CCBASE!$I$40*B586/1000</f>
        <v>41.308039999999998</v>
      </c>
      <c r="X586" s="633"/>
      <c r="Y586" s="633"/>
      <c r="Z586" s="633"/>
      <c r="AA586" s="633"/>
      <c r="AB586" s="633"/>
      <c r="AC586" s="633"/>
      <c r="AD586" s="652">
        <f>CCBASE!$I$32*2</f>
        <v>108.826984</v>
      </c>
      <c r="AI586" s="635"/>
      <c r="AJ586" s="635"/>
      <c r="AK586" s="636"/>
      <c r="AL586" s="636"/>
      <c r="AM586" s="636"/>
      <c r="AN586" s="636"/>
      <c r="AO586" s="636"/>
      <c r="AP586" s="636"/>
      <c r="AQ586" s="636"/>
      <c r="AR586" s="636"/>
      <c r="AS586" s="636"/>
    </row>
    <row r="587" spans="1:45" ht="17" thickBot="1" x14ac:dyDescent="0.25">
      <c r="A587" s="644" t="s">
        <v>767</v>
      </c>
      <c r="B587" s="631">
        <v>1250</v>
      </c>
      <c r="C587" s="631">
        <v>1250</v>
      </c>
      <c r="D587" s="651" t="str">
        <f t="shared" si="182"/>
        <v>KVX-M12501250</v>
      </c>
      <c r="E587" s="1054">
        <f t="shared" si="180"/>
        <v>1115.6867760749999</v>
      </c>
      <c r="F587" s="632">
        <v>17</v>
      </c>
      <c r="G587" s="633">
        <f>F587*CCBASE!$B$51</f>
        <v>612</v>
      </c>
      <c r="H587" s="633">
        <f>CCBASE!$I$12*B587/1000</f>
        <v>149.56317162500002</v>
      </c>
      <c r="I587" s="633"/>
      <c r="J587" s="633"/>
      <c r="K587" s="633"/>
      <c r="L587" s="632"/>
      <c r="M587" s="633">
        <f>CCBASE!$I$15*B587/1000</f>
        <v>99.807356250000012</v>
      </c>
      <c r="N587" s="633">
        <f>CCBASE!$I$7*B587/1000</f>
        <v>39.427849999999999</v>
      </c>
      <c r="O587" s="633">
        <f>CCBASE!$I$45*B587/1000</f>
        <v>12.4625</v>
      </c>
      <c r="P587" s="633"/>
      <c r="Q587" s="633">
        <f>CCBASE!$I$51</f>
        <v>2.9</v>
      </c>
      <c r="R587" s="633">
        <f>CCBASE!$I$4</f>
        <v>8.3986041999999994</v>
      </c>
      <c r="S587" s="633">
        <f>CCBASE!$I$8</f>
        <v>16.25526</v>
      </c>
      <c r="T587" s="632"/>
      <c r="U587" s="638">
        <f>CCBASE!$I$47</f>
        <v>14.41</v>
      </c>
      <c r="V587" s="633"/>
      <c r="W587" s="633">
        <f>CCBASE!$I$40*B587/1000</f>
        <v>51.635049999999993</v>
      </c>
      <c r="X587" s="633"/>
      <c r="Y587" s="633"/>
      <c r="Z587" s="633"/>
      <c r="AA587" s="633"/>
      <c r="AB587" s="633"/>
      <c r="AC587" s="633"/>
      <c r="AD587" s="652">
        <f>CCBASE!$I$32*2</f>
        <v>108.826984</v>
      </c>
      <c r="AI587" s="635"/>
      <c r="AJ587" s="635"/>
      <c r="AK587" s="636"/>
      <c r="AL587" s="636"/>
      <c r="AM587" s="636"/>
      <c r="AN587" s="636"/>
      <c r="AO587" s="636"/>
      <c r="AP587" s="636"/>
      <c r="AQ587" s="636"/>
      <c r="AR587" s="636"/>
      <c r="AS587" s="636"/>
    </row>
    <row r="588" spans="1:45" ht="17" thickBot="1" x14ac:dyDescent="0.25">
      <c r="A588" s="644" t="s">
        <v>767</v>
      </c>
      <c r="B588" s="631">
        <v>1500</v>
      </c>
      <c r="C588" s="631">
        <v>1250</v>
      </c>
      <c r="D588" s="651" t="str">
        <f t="shared" si="182"/>
        <v>KVX-M15001250</v>
      </c>
      <c r="E588" s="1054">
        <f t="shared" si="180"/>
        <v>1186.26596165</v>
      </c>
      <c r="F588" s="632">
        <v>17</v>
      </c>
      <c r="G588" s="633">
        <f>F588*CCBASE!$B$51</f>
        <v>612</v>
      </c>
      <c r="H588" s="633">
        <f>CCBASE!$I$12*B588/1000</f>
        <v>179.47580595000002</v>
      </c>
      <c r="I588" s="633"/>
      <c r="J588" s="633"/>
      <c r="K588" s="633"/>
      <c r="L588" s="632"/>
      <c r="M588" s="633">
        <f>CCBASE!$I$15*B588/1000</f>
        <v>119.76882750000001</v>
      </c>
      <c r="N588" s="633">
        <f>CCBASE!$I$7*B588/1000</f>
        <v>47.313420000000008</v>
      </c>
      <c r="O588" s="633">
        <f>CCBASE!$I$45*B588/1000</f>
        <v>14.955000000000002</v>
      </c>
      <c r="P588" s="633"/>
      <c r="Q588" s="633">
        <f>CCBASE!$I$51</f>
        <v>2.9</v>
      </c>
      <c r="R588" s="633">
        <f>CCBASE!$I$4</f>
        <v>8.3986041999999994</v>
      </c>
      <c r="S588" s="633">
        <f>CCBASE!$I$8</f>
        <v>16.25526</v>
      </c>
      <c r="T588" s="632"/>
      <c r="U588" s="638">
        <f>CCBASE!$I$47</f>
        <v>14.41</v>
      </c>
      <c r="V588" s="633"/>
      <c r="W588" s="633">
        <f>CCBASE!$I$40*B588/1000</f>
        <v>61.962060000000001</v>
      </c>
      <c r="X588" s="633"/>
      <c r="Y588" s="633"/>
      <c r="Z588" s="633"/>
      <c r="AA588" s="633"/>
      <c r="AB588" s="633"/>
      <c r="AC588" s="633"/>
      <c r="AD588" s="652">
        <f>CCBASE!$I$32*2</f>
        <v>108.826984</v>
      </c>
      <c r="AI588" s="635"/>
      <c r="AJ588" s="635"/>
      <c r="AK588" s="636"/>
      <c r="AL588" s="636"/>
      <c r="AM588" s="636"/>
      <c r="AN588" s="636"/>
      <c r="AO588" s="636"/>
      <c r="AP588" s="636"/>
      <c r="AQ588" s="636"/>
      <c r="AR588" s="636"/>
      <c r="AS588" s="636"/>
    </row>
    <row r="589" spans="1:45" ht="17" thickBot="1" x14ac:dyDescent="0.25">
      <c r="A589" s="644" t="s">
        <v>767</v>
      </c>
      <c r="B589" s="631">
        <v>1750</v>
      </c>
      <c r="C589" s="631">
        <v>1250</v>
      </c>
      <c r="D589" s="651" t="str">
        <f t="shared" si="182"/>
        <v>KVX-M17501250</v>
      </c>
      <c r="E589" s="1054">
        <f t="shared" si="180"/>
        <v>1292.8451472250001</v>
      </c>
      <c r="F589" s="632">
        <v>18</v>
      </c>
      <c r="G589" s="633">
        <f>F589*CCBASE!$B$51</f>
        <v>648</v>
      </c>
      <c r="H589" s="633">
        <f>CCBASE!$I$12*B589/1000</f>
        <v>209.38844027500002</v>
      </c>
      <c r="I589" s="633"/>
      <c r="J589" s="633"/>
      <c r="K589" s="633"/>
      <c r="L589" s="632"/>
      <c r="M589" s="633">
        <f>CCBASE!$I$15*B589/1000</f>
        <v>139.73029875</v>
      </c>
      <c r="N589" s="633">
        <f>CCBASE!$I$7*B589/1000</f>
        <v>55.198990000000002</v>
      </c>
      <c r="O589" s="633">
        <f>CCBASE!$I$45*B589/1000</f>
        <v>17.447500000000002</v>
      </c>
      <c r="P589" s="633"/>
      <c r="Q589" s="633">
        <f>CCBASE!$I$51</f>
        <v>2.9</v>
      </c>
      <c r="R589" s="633">
        <f>CCBASE!$I$4</f>
        <v>8.3986041999999994</v>
      </c>
      <c r="S589" s="633">
        <f>CCBASE!$I$8</f>
        <v>16.25526</v>
      </c>
      <c r="T589" s="632"/>
      <c r="U589" s="638">
        <f>CCBASE!$I$47</f>
        <v>14.41</v>
      </c>
      <c r="V589" s="633"/>
      <c r="W589" s="633">
        <f>CCBASE!$I$40*B589/1000</f>
        <v>72.289069999999995</v>
      </c>
      <c r="X589" s="633"/>
      <c r="Y589" s="633"/>
      <c r="Z589" s="633"/>
      <c r="AA589" s="633"/>
      <c r="AB589" s="633"/>
      <c r="AC589" s="633"/>
      <c r="AD589" s="652">
        <f>CCBASE!$I$32*2</f>
        <v>108.826984</v>
      </c>
      <c r="AI589" s="635"/>
      <c r="AJ589" s="635"/>
      <c r="AN589" s="636"/>
      <c r="AO589" s="636"/>
      <c r="AP589" s="636"/>
      <c r="AQ589" s="636"/>
      <c r="AR589" s="636"/>
      <c r="AS589" s="636"/>
    </row>
    <row r="590" spans="1:45" ht="17" thickBot="1" x14ac:dyDescent="0.25">
      <c r="A590" s="644" t="s">
        <v>767</v>
      </c>
      <c r="B590" s="631">
        <v>2000</v>
      </c>
      <c r="C590" s="631">
        <v>1250</v>
      </c>
      <c r="D590" s="651" t="str">
        <f t="shared" si="182"/>
        <v>KVX-M20001250</v>
      </c>
      <c r="E590" s="1054">
        <f t="shared" si="180"/>
        <v>1363.4243328</v>
      </c>
      <c r="F590" s="632">
        <v>18</v>
      </c>
      <c r="G590" s="633">
        <f>F590*CCBASE!$B$51</f>
        <v>648</v>
      </c>
      <c r="H590" s="633">
        <f>CCBASE!$I$12*B590/1000</f>
        <v>239.30107460000002</v>
      </c>
      <c r="I590" s="633"/>
      <c r="J590" s="633"/>
      <c r="K590" s="633"/>
      <c r="L590" s="632"/>
      <c r="M590" s="633">
        <f>CCBASE!$I$15*B590/1000</f>
        <v>159.69177000000002</v>
      </c>
      <c r="N590" s="633">
        <f>CCBASE!$I$7*B590/1000</f>
        <v>63.084560000000003</v>
      </c>
      <c r="O590" s="633">
        <f>CCBASE!$I$45*B590/1000</f>
        <v>19.940000000000001</v>
      </c>
      <c r="P590" s="633"/>
      <c r="Q590" s="633">
        <f>CCBASE!$I$51</f>
        <v>2.9</v>
      </c>
      <c r="R590" s="633">
        <f>CCBASE!$I$4</f>
        <v>8.3986041999999994</v>
      </c>
      <c r="S590" s="633">
        <f>CCBASE!$I$8</f>
        <v>16.25526</v>
      </c>
      <c r="T590" s="632"/>
      <c r="U590" s="638">
        <f>CCBASE!$I$47</f>
        <v>14.41</v>
      </c>
      <c r="V590" s="633"/>
      <c r="W590" s="633">
        <f>CCBASE!$I$40*B590/1000</f>
        <v>82.616079999999997</v>
      </c>
      <c r="X590" s="633"/>
      <c r="Y590" s="633"/>
      <c r="Z590" s="633"/>
      <c r="AA590" s="633"/>
      <c r="AB590" s="633"/>
      <c r="AC590" s="633"/>
      <c r="AD590" s="652">
        <f>CCBASE!$I$32*2</f>
        <v>108.826984</v>
      </c>
      <c r="AI590" s="635"/>
      <c r="AJ590" s="635"/>
      <c r="AN590" s="636"/>
      <c r="AO590" s="636"/>
      <c r="AP590" s="636"/>
      <c r="AQ590" s="636"/>
      <c r="AR590" s="636"/>
      <c r="AS590" s="636"/>
    </row>
    <row r="591" spans="1:45" ht="17" thickBot="1" x14ac:dyDescent="0.25">
      <c r="A591" s="644" t="s">
        <v>767</v>
      </c>
      <c r="B591" s="631">
        <v>2250</v>
      </c>
      <c r="C591" s="631">
        <v>1250</v>
      </c>
      <c r="D591" s="651" t="str">
        <f t="shared" si="182"/>
        <v>KVX-M22501250</v>
      </c>
      <c r="E591" s="1054">
        <f t="shared" si="180"/>
        <v>1448.4135183749997</v>
      </c>
      <c r="F591" s="632">
        <v>18</v>
      </c>
      <c r="G591" s="633">
        <f>F591*CCBASE!$B$51</f>
        <v>648</v>
      </c>
      <c r="H591" s="633">
        <f>CCBASE!$I$12*B591/1000</f>
        <v>269.21370892500005</v>
      </c>
      <c r="I591" s="633"/>
      <c r="J591" s="633"/>
      <c r="K591" s="633"/>
      <c r="L591" s="632"/>
      <c r="M591" s="633">
        <f>CCBASE!$I$15*B591/1000</f>
        <v>179.65324125000001</v>
      </c>
      <c r="N591" s="633">
        <f>CCBASE!$I$7*B591/1000</f>
        <v>70.970130000000012</v>
      </c>
      <c r="O591" s="633">
        <f>CCBASE!$I$45*B591/1000</f>
        <v>22.432500000000001</v>
      </c>
      <c r="P591" s="633"/>
      <c r="Q591" s="633">
        <f>CCBASE!$I$51</f>
        <v>2.9</v>
      </c>
      <c r="R591" s="633">
        <f>CCBASE!$I$4</f>
        <v>8.3986041999999994</v>
      </c>
      <c r="S591" s="633">
        <f>CCBASE!$I$8</f>
        <v>16.25526</v>
      </c>
      <c r="T591" s="632"/>
      <c r="U591" s="638">
        <f>CCBASE!$I$47*2</f>
        <v>28.82</v>
      </c>
      <c r="V591" s="633"/>
      <c r="W591" s="633">
        <f>CCBASE!$I$40*B591/1000</f>
        <v>92.943089999999998</v>
      </c>
      <c r="X591" s="633"/>
      <c r="Y591" s="633"/>
      <c r="Z591" s="633"/>
      <c r="AA591" s="633"/>
      <c r="AB591" s="633"/>
      <c r="AC591" s="633"/>
      <c r="AD591" s="652">
        <f>CCBASE!$I$32*2</f>
        <v>108.826984</v>
      </c>
      <c r="AI591" s="635"/>
      <c r="AJ591" s="635"/>
      <c r="AN591" s="636"/>
      <c r="AO591" s="636"/>
      <c r="AP591" s="636"/>
      <c r="AQ591" s="636"/>
      <c r="AR591" s="636"/>
      <c r="AS591" s="636"/>
    </row>
    <row r="592" spans="1:45" ht="17" thickBot="1" x14ac:dyDescent="0.25">
      <c r="A592" s="644" t="s">
        <v>767</v>
      </c>
      <c r="B592" s="631">
        <v>2500</v>
      </c>
      <c r="C592" s="631">
        <v>1250</v>
      </c>
      <c r="D592" s="651" t="str">
        <f t="shared" si="182"/>
        <v>KVX-M25001250</v>
      </c>
      <c r="E592" s="1054">
        <f t="shared" si="180"/>
        <v>1554.9927039499999</v>
      </c>
      <c r="F592" s="632">
        <v>19</v>
      </c>
      <c r="G592" s="633">
        <f>F592*CCBASE!$B$51</f>
        <v>684</v>
      </c>
      <c r="H592" s="633">
        <f>CCBASE!$I$12*B592/1000</f>
        <v>299.12634325000005</v>
      </c>
      <c r="I592" s="633"/>
      <c r="J592" s="633"/>
      <c r="K592" s="633"/>
      <c r="L592" s="632"/>
      <c r="M592" s="633">
        <f>CCBASE!$I$15*B592/1000</f>
        <v>199.61471250000002</v>
      </c>
      <c r="N592" s="633">
        <f>CCBASE!$I$7*B592/1000</f>
        <v>78.855699999999999</v>
      </c>
      <c r="O592" s="633">
        <f>CCBASE!$I$45*B592/1000</f>
        <v>24.925000000000001</v>
      </c>
      <c r="P592" s="633"/>
      <c r="Q592" s="633">
        <f>CCBASE!$I$51</f>
        <v>2.9</v>
      </c>
      <c r="R592" s="633">
        <f>CCBASE!$I$4</f>
        <v>8.3986041999999994</v>
      </c>
      <c r="S592" s="633">
        <f>CCBASE!$I$8</f>
        <v>16.25526</v>
      </c>
      <c r="T592" s="632"/>
      <c r="U592" s="638">
        <f>CCBASE!$I$47*2</f>
        <v>28.82</v>
      </c>
      <c r="V592" s="633"/>
      <c r="W592" s="633">
        <f>CCBASE!$I$40*B592/1000</f>
        <v>103.27009999999999</v>
      </c>
      <c r="X592" s="633"/>
      <c r="Y592" s="633"/>
      <c r="Z592" s="633"/>
      <c r="AA592" s="633"/>
      <c r="AB592" s="633"/>
      <c r="AC592" s="633"/>
      <c r="AD592" s="652">
        <f>CCBASE!$I$32*2</f>
        <v>108.826984</v>
      </c>
      <c r="AI592" s="635"/>
      <c r="AJ592" s="635"/>
      <c r="AN592" s="636"/>
      <c r="AO592" s="636"/>
      <c r="AP592" s="636"/>
      <c r="AQ592" s="636"/>
      <c r="AR592" s="636"/>
      <c r="AS592" s="636"/>
    </row>
    <row r="593" spans="1:45" ht="17" thickBot="1" x14ac:dyDescent="0.25">
      <c r="A593" s="644" t="s">
        <v>767</v>
      </c>
      <c r="B593" s="631">
        <v>2750</v>
      </c>
      <c r="C593" s="631">
        <v>1250</v>
      </c>
      <c r="D593" s="651" t="str">
        <f t="shared" si="182"/>
        <v>KVX-M27501250</v>
      </c>
      <c r="E593" s="1054">
        <f t="shared" si="180"/>
        <v>1625.5718895249997</v>
      </c>
      <c r="F593" s="632">
        <v>19</v>
      </c>
      <c r="G593" s="633">
        <f>F593*CCBASE!$B$51</f>
        <v>684</v>
      </c>
      <c r="H593" s="633">
        <f>CCBASE!$I$12*B593/1000</f>
        <v>329.03897757500005</v>
      </c>
      <c r="I593" s="633"/>
      <c r="J593" s="633"/>
      <c r="K593" s="633"/>
      <c r="L593" s="632"/>
      <c r="M593" s="633">
        <f>CCBASE!$I$15*B593/1000</f>
        <v>219.57618375000001</v>
      </c>
      <c r="N593" s="633">
        <f>CCBASE!$I$7*B593/1000</f>
        <v>86.74127</v>
      </c>
      <c r="O593" s="633">
        <f>CCBASE!$I$45*B593/1000</f>
        <v>27.4175</v>
      </c>
      <c r="P593" s="633"/>
      <c r="Q593" s="633">
        <f>CCBASE!$I$51</f>
        <v>2.9</v>
      </c>
      <c r="R593" s="633">
        <f>CCBASE!$I$4</f>
        <v>8.3986041999999994</v>
      </c>
      <c r="S593" s="633">
        <f>CCBASE!$I$8</f>
        <v>16.25526</v>
      </c>
      <c r="T593" s="632"/>
      <c r="U593" s="638">
        <f>CCBASE!$I$47*2</f>
        <v>28.82</v>
      </c>
      <c r="V593" s="633"/>
      <c r="W593" s="633">
        <f>CCBASE!$I$40*B593/1000</f>
        <v>113.59711</v>
      </c>
      <c r="X593" s="633"/>
      <c r="Y593" s="633"/>
      <c r="Z593" s="633"/>
      <c r="AA593" s="633"/>
      <c r="AB593" s="633"/>
      <c r="AC593" s="633"/>
      <c r="AD593" s="652">
        <f>CCBASE!$I$32*2</f>
        <v>108.826984</v>
      </c>
      <c r="AI593" s="635"/>
      <c r="AJ593" s="635"/>
      <c r="AN593" s="636"/>
      <c r="AO593" s="636"/>
      <c r="AP593" s="636"/>
      <c r="AQ593" s="636"/>
      <c r="AR593" s="636"/>
      <c r="AS593" s="636"/>
    </row>
    <row r="594" spans="1:45" ht="17" thickBot="1" x14ac:dyDescent="0.25">
      <c r="A594" s="644" t="s">
        <v>767</v>
      </c>
      <c r="B594" s="631">
        <v>3000</v>
      </c>
      <c r="C594" s="631">
        <v>1250</v>
      </c>
      <c r="D594" s="651" t="str">
        <f t="shared" si="182"/>
        <v>KVX-M30001250</v>
      </c>
      <c r="E594" s="1054">
        <f t="shared" si="180"/>
        <v>1696.1510750999998</v>
      </c>
      <c r="F594" s="632">
        <v>19</v>
      </c>
      <c r="G594" s="633">
        <f>F594*CCBASE!$B$51</f>
        <v>684</v>
      </c>
      <c r="H594" s="633">
        <f>CCBASE!$I$12*B594/1000</f>
        <v>358.95161190000005</v>
      </c>
      <c r="I594" s="633"/>
      <c r="J594" s="633"/>
      <c r="K594" s="633"/>
      <c r="L594" s="632"/>
      <c r="M594" s="633">
        <f>CCBASE!$I$15*B594/1000</f>
        <v>239.53765500000003</v>
      </c>
      <c r="N594" s="633">
        <f>CCBASE!$I$7*B594/1000</f>
        <v>94.626840000000016</v>
      </c>
      <c r="O594" s="633">
        <f>CCBASE!$I$45*B594/1000</f>
        <v>29.910000000000004</v>
      </c>
      <c r="P594" s="633"/>
      <c r="Q594" s="633">
        <f>CCBASE!$I$51</f>
        <v>2.9</v>
      </c>
      <c r="R594" s="633">
        <f>CCBASE!$I$4</f>
        <v>8.3986041999999994</v>
      </c>
      <c r="S594" s="633">
        <f>CCBASE!$I$8</f>
        <v>16.25526</v>
      </c>
      <c r="T594" s="632"/>
      <c r="U594" s="638">
        <f>CCBASE!$I$47*2</f>
        <v>28.82</v>
      </c>
      <c r="V594" s="633"/>
      <c r="W594" s="633">
        <f>CCBASE!$I$40*B594/1000</f>
        <v>123.92412</v>
      </c>
      <c r="X594" s="633"/>
      <c r="Y594" s="633"/>
      <c r="Z594" s="633"/>
      <c r="AA594" s="633"/>
      <c r="AB594" s="633"/>
      <c r="AC594" s="633"/>
      <c r="AD594" s="652">
        <f>CCBASE!$I$32*2</f>
        <v>108.826984</v>
      </c>
      <c r="AI594" s="635"/>
      <c r="AJ594" s="635"/>
      <c r="AN594" s="636"/>
      <c r="AO594" s="636"/>
      <c r="AP594" s="636"/>
      <c r="AQ594" s="636"/>
      <c r="AR594" s="636"/>
      <c r="AS594" s="636"/>
    </row>
    <row r="595" spans="1:45" ht="17" thickBot="1" x14ac:dyDescent="0.25">
      <c r="A595" s="644" t="s">
        <v>767</v>
      </c>
      <c r="B595" s="631">
        <v>1000</v>
      </c>
      <c r="C595" s="631">
        <v>1500</v>
      </c>
      <c r="D595" s="651" t="str">
        <f t="shared" si="182"/>
        <v>KVX-M10001500</v>
      </c>
      <c r="E595" s="1054">
        <f t="shared" si="180"/>
        <v>1090.0578664999998</v>
      </c>
      <c r="F595" s="647">
        <v>17</v>
      </c>
      <c r="G595" s="633">
        <f>F595*CCBASE!$B$51</f>
        <v>612</v>
      </c>
      <c r="H595" s="633">
        <f>CCBASE!$I$12*B595/1000</f>
        <v>119.65053730000001</v>
      </c>
      <c r="I595" s="633"/>
      <c r="J595" s="633"/>
      <c r="K595" s="633"/>
      <c r="L595" s="632"/>
      <c r="M595" s="633">
        <f>CCBASE!$I$15*B595/1000</f>
        <v>79.84588500000001</v>
      </c>
      <c r="N595" s="633">
        <f>CCBASE!$I$7*B595/1000</f>
        <v>31.542280000000002</v>
      </c>
      <c r="O595" s="633">
        <f>CCBASE!$I$45*B595/1000</f>
        <v>9.9700000000000006</v>
      </c>
      <c r="P595" s="633"/>
      <c r="Q595" s="633">
        <f>CCBASE!$I$51</f>
        <v>2.9</v>
      </c>
      <c r="R595" s="633">
        <f>CCBASE!$I$4</f>
        <v>8.3986041999999994</v>
      </c>
      <c r="S595" s="633">
        <f>CCBASE!$I$8</f>
        <v>16.25526</v>
      </c>
      <c r="T595" s="632"/>
      <c r="U595" s="638">
        <f>CCBASE!$I$47</f>
        <v>14.41</v>
      </c>
      <c r="V595" s="633"/>
      <c r="W595" s="633">
        <f>CCBASE!$I$41*B595/1000</f>
        <v>59.051569999999998</v>
      </c>
      <c r="X595" s="633"/>
      <c r="Y595" s="633"/>
      <c r="Z595" s="633"/>
      <c r="AA595" s="633"/>
      <c r="AB595" s="633"/>
      <c r="AC595" s="633"/>
      <c r="AD595" s="652">
        <f>CCBASE!$I$33*2</f>
        <v>136.03372999999999</v>
      </c>
      <c r="AI595" s="635"/>
      <c r="AJ595" s="635"/>
      <c r="AN595" s="636"/>
      <c r="AO595" s="636"/>
      <c r="AP595" s="636"/>
      <c r="AQ595" s="636"/>
      <c r="AR595" s="636"/>
      <c r="AS595" s="636"/>
    </row>
    <row r="596" spans="1:45" ht="17" thickBot="1" x14ac:dyDescent="0.25">
      <c r="A596" s="644" t="s">
        <v>767</v>
      </c>
      <c r="B596" s="631">
        <v>1250</v>
      </c>
      <c r="C596" s="631">
        <v>1500</v>
      </c>
      <c r="D596" s="651" t="str">
        <f t="shared" si="182"/>
        <v>KVX-M12501500</v>
      </c>
      <c r="E596" s="1054">
        <f t="shared" si="180"/>
        <v>1165.0729345750001</v>
      </c>
      <c r="F596" s="632">
        <v>17</v>
      </c>
      <c r="G596" s="633">
        <f>F596*CCBASE!$B$51</f>
        <v>612</v>
      </c>
      <c r="H596" s="633">
        <f>CCBASE!$I$12*B596/1000</f>
        <v>149.56317162500002</v>
      </c>
      <c r="I596" s="633"/>
      <c r="J596" s="633"/>
      <c r="K596" s="633"/>
      <c r="L596" s="632"/>
      <c r="M596" s="633">
        <f>CCBASE!$I$15*B596/1000</f>
        <v>99.807356250000012</v>
      </c>
      <c r="N596" s="633">
        <f>CCBASE!$I$7*B596/1000</f>
        <v>39.427849999999999</v>
      </c>
      <c r="O596" s="633">
        <f>CCBASE!$I$45*B596/1000</f>
        <v>12.4625</v>
      </c>
      <c r="P596" s="633"/>
      <c r="Q596" s="633">
        <f>CCBASE!$I$51</f>
        <v>2.9</v>
      </c>
      <c r="R596" s="633">
        <f>CCBASE!$I$4</f>
        <v>8.3986041999999994</v>
      </c>
      <c r="S596" s="633">
        <f>CCBASE!$I$8</f>
        <v>16.25526</v>
      </c>
      <c r="T596" s="632"/>
      <c r="U596" s="638">
        <f>CCBASE!$I$47</f>
        <v>14.41</v>
      </c>
      <c r="V596" s="633"/>
      <c r="W596" s="633">
        <f>CCBASE!$I$41*B596/1000</f>
        <v>73.814462499999991</v>
      </c>
      <c r="X596" s="633"/>
      <c r="Y596" s="633"/>
      <c r="Z596" s="633"/>
      <c r="AA596" s="633"/>
      <c r="AB596" s="633"/>
      <c r="AC596" s="633"/>
      <c r="AD596" s="652">
        <f>CCBASE!$I$33*2</f>
        <v>136.03372999999999</v>
      </c>
      <c r="AI596" s="635"/>
      <c r="AJ596" s="635"/>
      <c r="AK596" s="636"/>
      <c r="AL596" s="636"/>
      <c r="AM596" s="636"/>
      <c r="AN596" s="636"/>
      <c r="AO596" s="636"/>
      <c r="AP596" s="636"/>
      <c r="AQ596" s="636"/>
      <c r="AR596" s="636"/>
      <c r="AS596" s="636"/>
    </row>
    <row r="597" spans="1:45" ht="17" thickBot="1" x14ac:dyDescent="0.25">
      <c r="A597" s="644" t="s">
        <v>767</v>
      </c>
      <c r="B597" s="631">
        <v>1500</v>
      </c>
      <c r="C597" s="631">
        <v>1500</v>
      </c>
      <c r="D597" s="651" t="str">
        <f t="shared" si="182"/>
        <v>KVX-M15001500</v>
      </c>
      <c r="E597" s="1054">
        <f t="shared" ref="E597:E660" si="183">SUM(G597:AD597)</f>
        <v>1240.0880026499999</v>
      </c>
      <c r="F597" s="632">
        <v>17</v>
      </c>
      <c r="G597" s="633">
        <f>F597*CCBASE!$B$51</f>
        <v>612</v>
      </c>
      <c r="H597" s="633">
        <f>CCBASE!$I$12*B597/1000</f>
        <v>179.47580595000002</v>
      </c>
      <c r="I597" s="633"/>
      <c r="J597" s="633"/>
      <c r="K597" s="633"/>
      <c r="L597" s="632"/>
      <c r="M597" s="633">
        <f>CCBASE!$I$15*B597/1000</f>
        <v>119.76882750000001</v>
      </c>
      <c r="N597" s="633">
        <f>CCBASE!$I$7*B597/1000</f>
        <v>47.313420000000008</v>
      </c>
      <c r="O597" s="633">
        <f>CCBASE!$I$45*B597/1000</f>
        <v>14.955000000000002</v>
      </c>
      <c r="P597" s="633"/>
      <c r="Q597" s="633">
        <f>CCBASE!$I$51</f>
        <v>2.9</v>
      </c>
      <c r="R597" s="633">
        <f>CCBASE!$I$4</f>
        <v>8.3986041999999994</v>
      </c>
      <c r="S597" s="633">
        <f>CCBASE!$I$8</f>
        <v>16.25526</v>
      </c>
      <c r="T597" s="632"/>
      <c r="U597" s="638">
        <f>CCBASE!$I$47</f>
        <v>14.41</v>
      </c>
      <c r="V597" s="633"/>
      <c r="W597" s="633">
        <f>CCBASE!$I$41*B597/1000</f>
        <v>88.577354999999997</v>
      </c>
      <c r="X597" s="633"/>
      <c r="Y597" s="633"/>
      <c r="Z597" s="633"/>
      <c r="AA597" s="633"/>
      <c r="AB597" s="633"/>
      <c r="AC597" s="633"/>
      <c r="AD597" s="652">
        <f>CCBASE!$I$33*2</f>
        <v>136.03372999999999</v>
      </c>
      <c r="AI597" s="635"/>
      <c r="AJ597" s="635"/>
      <c r="AK597" s="636"/>
      <c r="AL597" s="636"/>
      <c r="AM597" s="636"/>
      <c r="AN597" s="636"/>
      <c r="AO597" s="636"/>
      <c r="AP597" s="636"/>
      <c r="AQ597" s="636"/>
      <c r="AR597" s="636"/>
      <c r="AS597" s="636"/>
    </row>
    <row r="598" spans="1:45" ht="17" thickBot="1" x14ac:dyDescent="0.25">
      <c r="A598" s="644" t="s">
        <v>767</v>
      </c>
      <c r="B598" s="631">
        <v>1750</v>
      </c>
      <c r="C598" s="631">
        <v>1500</v>
      </c>
      <c r="D598" s="651" t="str">
        <f t="shared" si="182"/>
        <v>KVX-M17501500</v>
      </c>
      <c r="E598" s="1054">
        <f t="shared" si="183"/>
        <v>1351.1030707250002</v>
      </c>
      <c r="F598" s="632">
        <v>18</v>
      </c>
      <c r="G598" s="633">
        <f>F598*CCBASE!$B$51</f>
        <v>648</v>
      </c>
      <c r="H598" s="633">
        <f>CCBASE!$I$12*B598/1000</f>
        <v>209.38844027500002</v>
      </c>
      <c r="I598" s="633"/>
      <c r="J598" s="633"/>
      <c r="K598" s="633"/>
      <c r="L598" s="632"/>
      <c r="M598" s="633">
        <f>CCBASE!$I$15*B598/1000</f>
        <v>139.73029875</v>
      </c>
      <c r="N598" s="633">
        <f>CCBASE!$I$7*B598/1000</f>
        <v>55.198990000000002</v>
      </c>
      <c r="O598" s="633">
        <f>CCBASE!$I$45*B598/1000</f>
        <v>17.447500000000002</v>
      </c>
      <c r="P598" s="633"/>
      <c r="Q598" s="633">
        <f>CCBASE!$I$51</f>
        <v>2.9</v>
      </c>
      <c r="R598" s="633">
        <f>CCBASE!$I$4</f>
        <v>8.3986041999999994</v>
      </c>
      <c r="S598" s="633">
        <f>CCBASE!$I$8</f>
        <v>16.25526</v>
      </c>
      <c r="T598" s="632"/>
      <c r="U598" s="638">
        <f>CCBASE!$I$47</f>
        <v>14.41</v>
      </c>
      <c r="V598" s="633"/>
      <c r="W598" s="633">
        <f>CCBASE!$I$41*B598/1000</f>
        <v>103.3402475</v>
      </c>
      <c r="X598" s="633"/>
      <c r="Y598" s="633"/>
      <c r="Z598" s="633"/>
      <c r="AA598" s="633"/>
      <c r="AB598" s="633"/>
      <c r="AC598" s="633"/>
      <c r="AD598" s="652">
        <f>CCBASE!$I$33*2</f>
        <v>136.03372999999999</v>
      </c>
      <c r="AI598" s="635"/>
      <c r="AJ598" s="635"/>
      <c r="AK598" s="636"/>
      <c r="AL598" s="636"/>
      <c r="AM598" s="636"/>
      <c r="AN598" s="636"/>
      <c r="AO598" s="636"/>
      <c r="AP598" s="636"/>
      <c r="AQ598" s="636"/>
      <c r="AR598" s="636"/>
      <c r="AS598" s="636"/>
    </row>
    <row r="599" spans="1:45" ht="17" thickBot="1" x14ac:dyDescent="0.25">
      <c r="A599" s="644" t="s">
        <v>767</v>
      </c>
      <c r="B599" s="631">
        <v>2000</v>
      </c>
      <c r="C599" s="631">
        <v>1500</v>
      </c>
      <c r="D599" s="651" t="str">
        <f t="shared" si="182"/>
        <v>KVX-M20001500</v>
      </c>
      <c r="E599" s="1054">
        <f t="shared" si="183"/>
        <v>1426.1181388</v>
      </c>
      <c r="F599" s="632">
        <v>18</v>
      </c>
      <c r="G599" s="633">
        <f>F599*CCBASE!$B$51</f>
        <v>648</v>
      </c>
      <c r="H599" s="633">
        <f>CCBASE!$I$12*B599/1000</f>
        <v>239.30107460000002</v>
      </c>
      <c r="I599" s="633"/>
      <c r="J599" s="633"/>
      <c r="K599" s="633"/>
      <c r="L599" s="632"/>
      <c r="M599" s="633">
        <f>CCBASE!$I$15*B599/1000</f>
        <v>159.69177000000002</v>
      </c>
      <c r="N599" s="633">
        <f>CCBASE!$I$7*B599/1000</f>
        <v>63.084560000000003</v>
      </c>
      <c r="O599" s="633">
        <f>CCBASE!$I$45*B599/1000</f>
        <v>19.940000000000001</v>
      </c>
      <c r="P599" s="633"/>
      <c r="Q599" s="633">
        <f>CCBASE!$I$51</f>
        <v>2.9</v>
      </c>
      <c r="R599" s="633">
        <f>CCBASE!$I$4</f>
        <v>8.3986041999999994</v>
      </c>
      <c r="S599" s="633">
        <f>CCBASE!$I$8</f>
        <v>16.25526</v>
      </c>
      <c r="T599" s="632"/>
      <c r="U599" s="638">
        <f>CCBASE!$I$47</f>
        <v>14.41</v>
      </c>
      <c r="V599" s="633"/>
      <c r="W599" s="633">
        <f>CCBASE!$I$41*B599/1000</f>
        <v>118.10314</v>
      </c>
      <c r="X599" s="633"/>
      <c r="Y599" s="633"/>
      <c r="Z599" s="633"/>
      <c r="AA599" s="633"/>
      <c r="AB599" s="633"/>
      <c r="AC599" s="633"/>
      <c r="AD599" s="652">
        <f>CCBASE!$I$33*2</f>
        <v>136.03372999999999</v>
      </c>
      <c r="AI599" s="635"/>
      <c r="AJ599" s="635"/>
      <c r="AK599" s="636"/>
      <c r="AL599" s="636"/>
      <c r="AM599" s="636"/>
      <c r="AN599" s="636"/>
      <c r="AO599" s="636"/>
      <c r="AP599" s="636"/>
      <c r="AQ599" s="636"/>
      <c r="AR599" s="636"/>
      <c r="AS599" s="636"/>
    </row>
    <row r="600" spans="1:45" ht="17" thickBot="1" x14ac:dyDescent="0.25">
      <c r="A600" s="644" t="s">
        <v>767</v>
      </c>
      <c r="B600" s="631">
        <v>2250</v>
      </c>
      <c r="C600" s="631">
        <v>1500</v>
      </c>
      <c r="D600" s="651" t="str">
        <f t="shared" si="182"/>
        <v>KVX-M22501500</v>
      </c>
      <c r="E600" s="1054">
        <f t="shared" si="183"/>
        <v>1515.5432068749997</v>
      </c>
      <c r="F600" s="632">
        <v>18</v>
      </c>
      <c r="G600" s="633">
        <f>F600*CCBASE!$B$51</f>
        <v>648</v>
      </c>
      <c r="H600" s="633">
        <f>CCBASE!$I$12*B600/1000</f>
        <v>269.21370892500005</v>
      </c>
      <c r="I600" s="633"/>
      <c r="J600" s="633"/>
      <c r="K600" s="633"/>
      <c r="L600" s="632"/>
      <c r="M600" s="633">
        <f>CCBASE!$I$15*B600/1000</f>
        <v>179.65324125000001</v>
      </c>
      <c r="N600" s="633">
        <f>CCBASE!$I$7*B600/1000</f>
        <v>70.970130000000012</v>
      </c>
      <c r="O600" s="633">
        <f>CCBASE!$I$45*B600/1000</f>
        <v>22.432500000000001</v>
      </c>
      <c r="P600" s="633"/>
      <c r="Q600" s="633">
        <f>CCBASE!$I$51</f>
        <v>2.9</v>
      </c>
      <c r="R600" s="633">
        <f>CCBASE!$I$4</f>
        <v>8.3986041999999994</v>
      </c>
      <c r="S600" s="633">
        <f>CCBASE!$I$8</f>
        <v>16.25526</v>
      </c>
      <c r="T600" s="632"/>
      <c r="U600" s="638">
        <f>CCBASE!$I$47*2</f>
        <v>28.82</v>
      </c>
      <c r="V600" s="633"/>
      <c r="W600" s="633">
        <f>CCBASE!$I$41*B600/1000</f>
        <v>132.86603249999999</v>
      </c>
      <c r="X600" s="633"/>
      <c r="Y600" s="633"/>
      <c r="Z600" s="633"/>
      <c r="AA600" s="633"/>
      <c r="AB600" s="633"/>
      <c r="AC600" s="633"/>
      <c r="AD600" s="652">
        <f>CCBASE!$I$33*2</f>
        <v>136.03372999999999</v>
      </c>
      <c r="AI600" s="635"/>
      <c r="AJ600" s="635"/>
      <c r="AK600" s="636"/>
      <c r="AL600" s="636"/>
      <c r="AM600" s="636"/>
      <c r="AN600" s="636"/>
      <c r="AO600" s="636"/>
      <c r="AP600" s="636"/>
      <c r="AQ600" s="636"/>
      <c r="AR600" s="636"/>
      <c r="AS600" s="636"/>
    </row>
    <row r="601" spans="1:45" ht="17" thickBot="1" x14ac:dyDescent="0.25">
      <c r="A601" s="644" t="s">
        <v>767</v>
      </c>
      <c r="B601" s="631">
        <v>2500</v>
      </c>
      <c r="C601" s="631">
        <v>1500</v>
      </c>
      <c r="D601" s="651" t="str">
        <f t="shared" si="182"/>
        <v>KVX-M25001500</v>
      </c>
      <c r="E601" s="1054">
        <f t="shared" si="183"/>
        <v>1626.5582749499999</v>
      </c>
      <c r="F601" s="632">
        <v>19</v>
      </c>
      <c r="G601" s="633">
        <f>F601*CCBASE!$B$51</f>
        <v>684</v>
      </c>
      <c r="H601" s="633">
        <f>CCBASE!$I$12*B601/1000</f>
        <v>299.12634325000005</v>
      </c>
      <c r="I601" s="633"/>
      <c r="J601" s="633"/>
      <c r="K601" s="633"/>
      <c r="L601" s="632"/>
      <c r="M601" s="633">
        <f>CCBASE!$I$15*B601/1000</f>
        <v>199.61471250000002</v>
      </c>
      <c r="N601" s="633">
        <f>CCBASE!$I$7*B601/1000</f>
        <v>78.855699999999999</v>
      </c>
      <c r="O601" s="633">
        <f>CCBASE!$I$45*B601/1000</f>
        <v>24.925000000000001</v>
      </c>
      <c r="P601" s="633"/>
      <c r="Q601" s="633">
        <f>CCBASE!$I$51</f>
        <v>2.9</v>
      </c>
      <c r="R601" s="633">
        <f>CCBASE!$I$4</f>
        <v>8.3986041999999994</v>
      </c>
      <c r="S601" s="633">
        <f>CCBASE!$I$8</f>
        <v>16.25526</v>
      </c>
      <c r="T601" s="632"/>
      <c r="U601" s="638">
        <f>CCBASE!$I$47*2</f>
        <v>28.82</v>
      </c>
      <c r="V601" s="633"/>
      <c r="W601" s="633">
        <f>CCBASE!$I$41*B601/1000</f>
        <v>147.62892499999998</v>
      </c>
      <c r="X601" s="633"/>
      <c r="Y601" s="633"/>
      <c r="Z601" s="633"/>
      <c r="AA601" s="633"/>
      <c r="AB601" s="633"/>
      <c r="AC601" s="633"/>
      <c r="AD601" s="652">
        <f>CCBASE!$I$33*2</f>
        <v>136.03372999999999</v>
      </c>
      <c r="AI601" s="635"/>
      <c r="AJ601" s="635"/>
      <c r="AK601" s="636"/>
      <c r="AL601" s="636"/>
      <c r="AM601" s="636"/>
      <c r="AN601" s="636"/>
      <c r="AO601" s="636"/>
      <c r="AP601" s="636"/>
      <c r="AQ601" s="636"/>
      <c r="AR601" s="636"/>
      <c r="AS601" s="636"/>
    </row>
    <row r="602" spans="1:45" ht="17" thickBot="1" x14ac:dyDescent="0.25">
      <c r="A602" s="644" t="s">
        <v>767</v>
      </c>
      <c r="B602" s="631">
        <v>2750</v>
      </c>
      <c r="C602" s="631">
        <v>1500</v>
      </c>
      <c r="D602" s="651" t="str">
        <f t="shared" si="182"/>
        <v>KVX-M27501500</v>
      </c>
      <c r="E602" s="1054">
        <f t="shared" si="183"/>
        <v>1701.5733430249998</v>
      </c>
      <c r="F602" s="632">
        <v>19</v>
      </c>
      <c r="G602" s="633">
        <f>F602*CCBASE!$B$51</f>
        <v>684</v>
      </c>
      <c r="H602" s="633">
        <f>CCBASE!$I$12*B602/1000</f>
        <v>329.03897757500005</v>
      </c>
      <c r="I602" s="633"/>
      <c r="J602" s="633"/>
      <c r="K602" s="633"/>
      <c r="L602" s="632"/>
      <c r="M602" s="633">
        <f>CCBASE!$I$15*B602/1000</f>
        <v>219.57618375000001</v>
      </c>
      <c r="N602" s="633">
        <f>CCBASE!$I$7*B602/1000</f>
        <v>86.74127</v>
      </c>
      <c r="O602" s="633">
        <f>CCBASE!$I$45*B602/1000</f>
        <v>27.4175</v>
      </c>
      <c r="P602" s="633"/>
      <c r="Q602" s="633">
        <f>CCBASE!$I$51</f>
        <v>2.9</v>
      </c>
      <c r="R602" s="633">
        <f>CCBASE!$I$4</f>
        <v>8.3986041999999994</v>
      </c>
      <c r="S602" s="633">
        <f>CCBASE!$I$8</f>
        <v>16.25526</v>
      </c>
      <c r="T602" s="632"/>
      <c r="U602" s="638">
        <f>CCBASE!$I$47*2</f>
        <v>28.82</v>
      </c>
      <c r="V602" s="633"/>
      <c r="W602" s="633">
        <f>CCBASE!$I$41*B602/1000</f>
        <v>162.3918175</v>
      </c>
      <c r="X602" s="633"/>
      <c r="Y602" s="633"/>
      <c r="Z602" s="633"/>
      <c r="AA602" s="633"/>
      <c r="AB602" s="633"/>
      <c r="AC602" s="633"/>
      <c r="AD602" s="652">
        <f>CCBASE!$I$33*2</f>
        <v>136.03372999999999</v>
      </c>
      <c r="AI602" s="635"/>
      <c r="AJ602" s="635"/>
      <c r="AN602" s="636"/>
      <c r="AO602" s="636"/>
      <c r="AP602" s="636"/>
      <c r="AQ602" s="636"/>
      <c r="AR602" s="636"/>
      <c r="AS602" s="636"/>
    </row>
    <row r="603" spans="1:45" ht="17" thickBot="1" x14ac:dyDescent="0.25">
      <c r="A603" s="644" t="s">
        <v>767</v>
      </c>
      <c r="B603" s="631">
        <v>3000</v>
      </c>
      <c r="C603" s="631">
        <v>1500</v>
      </c>
      <c r="D603" s="651" t="str">
        <f t="shared" si="182"/>
        <v>KVX-M30001500</v>
      </c>
      <c r="E603" s="1054">
        <f t="shared" si="183"/>
        <v>1776.5884111</v>
      </c>
      <c r="F603" s="632">
        <v>19</v>
      </c>
      <c r="G603" s="633">
        <f>F603*CCBASE!$B$51</f>
        <v>684</v>
      </c>
      <c r="H603" s="633">
        <f>CCBASE!$I$12*B603/1000</f>
        <v>358.95161190000005</v>
      </c>
      <c r="I603" s="633"/>
      <c r="J603" s="633"/>
      <c r="K603" s="633"/>
      <c r="L603" s="632"/>
      <c r="M603" s="633">
        <f>CCBASE!$I$15*B603/1000</f>
        <v>239.53765500000003</v>
      </c>
      <c r="N603" s="633">
        <f>CCBASE!$I$7*B603/1000</f>
        <v>94.626840000000016</v>
      </c>
      <c r="O603" s="633">
        <f>CCBASE!$I$45*B603/1000</f>
        <v>29.910000000000004</v>
      </c>
      <c r="P603" s="633"/>
      <c r="Q603" s="633">
        <f>CCBASE!$I$51</f>
        <v>2.9</v>
      </c>
      <c r="R603" s="633">
        <f>CCBASE!$I$4</f>
        <v>8.3986041999999994</v>
      </c>
      <c r="S603" s="633">
        <f>CCBASE!$I$8</f>
        <v>16.25526</v>
      </c>
      <c r="T603" s="632"/>
      <c r="U603" s="638">
        <f>CCBASE!$I$47*2</f>
        <v>28.82</v>
      </c>
      <c r="V603" s="633"/>
      <c r="W603" s="633">
        <f>CCBASE!$I$41*B603/1000</f>
        <v>177.15470999999999</v>
      </c>
      <c r="X603" s="633"/>
      <c r="Y603" s="633"/>
      <c r="Z603" s="633"/>
      <c r="AA603" s="633"/>
      <c r="AB603" s="633"/>
      <c r="AC603" s="633"/>
      <c r="AD603" s="652">
        <f>CCBASE!$I$33*2</f>
        <v>136.03372999999999</v>
      </c>
      <c r="AI603" s="635"/>
      <c r="AJ603" s="635"/>
      <c r="AN603" s="636"/>
      <c r="AO603" s="636"/>
      <c r="AP603" s="636"/>
      <c r="AQ603" s="636"/>
      <c r="AR603" s="636"/>
      <c r="AS603" s="636"/>
    </row>
    <row r="604" spans="1:45" ht="17" thickBot="1" x14ac:dyDescent="0.25">
      <c r="A604" s="644" t="s">
        <v>767</v>
      </c>
      <c r="B604" s="631">
        <v>1000</v>
      </c>
      <c r="C604" s="631">
        <v>1750</v>
      </c>
      <c r="D604" s="651" t="str">
        <f t="shared" si="182"/>
        <v>KVX-M10001750</v>
      </c>
      <c r="E604" s="1054">
        <f t="shared" si="183"/>
        <v>1175.2268104999998</v>
      </c>
      <c r="F604" s="647">
        <v>17</v>
      </c>
      <c r="G604" s="633">
        <f>F604*CCBASE!$B$51</f>
        <v>612</v>
      </c>
      <c r="H604" s="633">
        <f>CCBASE!$I$12*B604/1000</f>
        <v>119.65053730000001</v>
      </c>
      <c r="I604" s="633"/>
      <c r="J604" s="633"/>
      <c r="K604" s="633"/>
      <c r="L604" s="638"/>
      <c r="M604" s="633">
        <f>CCBASE!$I$15*B604/1000</f>
        <v>79.84588500000001</v>
      </c>
      <c r="N604" s="633">
        <f>CCBASE!$I$7*B604/1000</f>
        <v>31.542280000000002</v>
      </c>
      <c r="O604" s="633">
        <f>CCBASE!$I$45*B604/1000</f>
        <v>9.9700000000000006</v>
      </c>
      <c r="P604" s="633"/>
      <c r="Q604" s="633">
        <f>CCBASE!$I$51</f>
        <v>2.9</v>
      </c>
      <c r="R604" s="633">
        <f>CCBASE!$I$4</f>
        <v>8.3986041999999994</v>
      </c>
      <c r="S604" s="633">
        <f>CCBASE!$I$8</f>
        <v>16.25526</v>
      </c>
      <c r="T604" s="632"/>
      <c r="U604" s="638">
        <f>CCBASE!$I$47</f>
        <v>14.41</v>
      </c>
      <c r="V604" s="632"/>
      <c r="W604" s="633">
        <f>CCBASE!$I$42*B604/1000</f>
        <v>70.880589999999998</v>
      </c>
      <c r="X604" s="633"/>
      <c r="Y604" s="633"/>
      <c r="Z604" s="633"/>
      <c r="AA604" s="633"/>
      <c r="AB604" s="633"/>
      <c r="AC604" s="633"/>
      <c r="AD604" s="652">
        <f>CCBASE!$I$34*2</f>
        <v>209.37365399999999</v>
      </c>
      <c r="AI604" s="635"/>
      <c r="AJ604" s="635"/>
      <c r="AK604" s="636"/>
      <c r="AL604" s="636"/>
      <c r="AM604" s="636"/>
      <c r="AN604" s="636"/>
      <c r="AO604" s="636"/>
      <c r="AP604" s="636"/>
      <c r="AQ604" s="636"/>
      <c r="AR604" s="636"/>
      <c r="AS604" s="636"/>
    </row>
    <row r="605" spans="1:45" ht="17" thickBot="1" x14ac:dyDescent="0.25">
      <c r="A605" s="644" t="s">
        <v>767</v>
      </c>
      <c r="B605" s="631">
        <v>1250</v>
      </c>
      <c r="C605" s="631">
        <v>1750</v>
      </c>
      <c r="D605" s="651" t="str">
        <f t="shared" si="182"/>
        <v>KVX-M12501750</v>
      </c>
      <c r="E605" s="1054">
        <f t="shared" si="183"/>
        <v>1253.1991335749999</v>
      </c>
      <c r="F605" s="632">
        <v>17</v>
      </c>
      <c r="G605" s="633">
        <f>F605*CCBASE!$B$51</f>
        <v>612</v>
      </c>
      <c r="H605" s="633">
        <f>CCBASE!$I$12*B605/1000</f>
        <v>149.56317162500002</v>
      </c>
      <c r="I605" s="633"/>
      <c r="J605" s="633"/>
      <c r="K605" s="633"/>
      <c r="L605" s="638"/>
      <c r="M605" s="633">
        <f>CCBASE!$I$15*B605/1000</f>
        <v>99.807356250000012</v>
      </c>
      <c r="N605" s="633">
        <f>CCBASE!$I$7*B605/1000</f>
        <v>39.427849999999999</v>
      </c>
      <c r="O605" s="633">
        <f>CCBASE!$I$45*B605/1000</f>
        <v>12.4625</v>
      </c>
      <c r="P605" s="633"/>
      <c r="Q605" s="633">
        <f>CCBASE!$I$51</f>
        <v>2.9</v>
      </c>
      <c r="R605" s="633">
        <f>CCBASE!$I$4</f>
        <v>8.3986041999999994</v>
      </c>
      <c r="S605" s="633">
        <f>CCBASE!$I$8</f>
        <v>16.25526</v>
      </c>
      <c r="T605" s="632"/>
      <c r="U605" s="638">
        <f>CCBASE!$I$47</f>
        <v>14.41</v>
      </c>
      <c r="V605" s="632"/>
      <c r="W605" s="633">
        <f>CCBASE!$I$42*B605/1000</f>
        <v>88.600737500000008</v>
      </c>
      <c r="X605" s="633"/>
      <c r="Y605" s="633"/>
      <c r="Z605" s="633"/>
      <c r="AA605" s="633"/>
      <c r="AB605" s="633"/>
      <c r="AC605" s="633"/>
      <c r="AD605" s="652">
        <f>CCBASE!$I$34*2</f>
        <v>209.37365399999999</v>
      </c>
      <c r="AI605" s="635"/>
      <c r="AJ605" s="635"/>
      <c r="AK605" s="636"/>
      <c r="AL605" s="636"/>
      <c r="AM605" s="636"/>
      <c r="AN605" s="636"/>
      <c r="AO605" s="636"/>
      <c r="AP605" s="636"/>
      <c r="AQ605" s="636"/>
      <c r="AR605" s="636"/>
      <c r="AS605" s="636"/>
    </row>
    <row r="606" spans="1:45" ht="17" thickBot="1" x14ac:dyDescent="0.25">
      <c r="A606" s="644" t="s">
        <v>767</v>
      </c>
      <c r="B606" s="631">
        <v>1500</v>
      </c>
      <c r="C606" s="631">
        <v>1750</v>
      </c>
      <c r="D606" s="651" t="str">
        <f t="shared" si="182"/>
        <v>KVX-M15001750</v>
      </c>
      <c r="E606" s="1054">
        <f t="shared" si="183"/>
        <v>1331.17145665</v>
      </c>
      <c r="F606" s="632">
        <v>17</v>
      </c>
      <c r="G606" s="633">
        <f>F606*CCBASE!$B$51</f>
        <v>612</v>
      </c>
      <c r="H606" s="633">
        <f>CCBASE!$I$12*B606/1000</f>
        <v>179.47580595000002</v>
      </c>
      <c r="I606" s="633"/>
      <c r="J606" s="633"/>
      <c r="K606" s="633"/>
      <c r="L606" s="638"/>
      <c r="M606" s="633">
        <f>CCBASE!$I$15*B606/1000</f>
        <v>119.76882750000001</v>
      </c>
      <c r="N606" s="633">
        <f>CCBASE!$I$7*B606/1000</f>
        <v>47.313420000000008</v>
      </c>
      <c r="O606" s="633">
        <f>CCBASE!$I$45*B606/1000</f>
        <v>14.955000000000002</v>
      </c>
      <c r="P606" s="633"/>
      <c r="Q606" s="633">
        <f>CCBASE!$I$51</f>
        <v>2.9</v>
      </c>
      <c r="R606" s="633">
        <f>CCBASE!$I$4</f>
        <v>8.3986041999999994</v>
      </c>
      <c r="S606" s="633">
        <f>CCBASE!$I$8</f>
        <v>16.25526</v>
      </c>
      <c r="T606" s="632"/>
      <c r="U606" s="638">
        <f>CCBASE!$I$47</f>
        <v>14.41</v>
      </c>
      <c r="V606" s="632"/>
      <c r="W606" s="633">
        <f>CCBASE!$I$42*B606/1000</f>
        <v>106.32088499999999</v>
      </c>
      <c r="X606" s="633"/>
      <c r="Y606" s="633"/>
      <c r="Z606" s="633"/>
      <c r="AA606" s="633"/>
      <c r="AB606" s="633"/>
      <c r="AC606" s="633"/>
      <c r="AD606" s="652">
        <f>CCBASE!$I$34*2</f>
        <v>209.37365399999999</v>
      </c>
      <c r="AI606" s="635"/>
      <c r="AJ606" s="635"/>
      <c r="AK606" s="636"/>
      <c r="AL606" s="636"/>
      <c r="AM606" s="636"/>
      <c r="AN606" s="636"/>
      <c r="AO606" s="636"/>
      <c r="AP606" s="636"/>
      <c r="AQ606" s="636"/>
      <c r="AR606" s="636"/>
      <c r="AS606" s="636"/>
    </row>
    <row r="607" spans="1:45" ht="17" thickBot="1" x14ac:dyDescent="0.25">
      <c r="A607" s="644" t="s">
        <v>767</v>
      </c>
      <c r="B607" s="631">
        <v>1750</v>
      </c>
      <c r="C607" s="631">
        <v>1750</v>
      </c>
      <c r="D607" s="651" t="str">
        <f t="shared" si="182"/>
        <v>KVX-M17501750</v>
      </c>
      <c r="E607" s="1054">
        <f t="shared" si="183"/>
        <v>1445.1437797250001</v>
      </c>
      <c r="F607" s="632">
        <v>18</v>
      </c>
      <c r="G607" s="633">
        <f>F607*CCBASE!$B$51</f>
        <v>648</v>
      </c>
      <c r="H607" s="633">
        <f>CCBASE!$I$12*B607/1000</f>
        <v>209.38844027500002</v>
      </c>
      <c r="I607" s="633"/>
      <c r="J607" s="633"/>
      <c r="K607" s="633"/>
      <c r="L607" s="638"/>
      <c r="M607" s="633">
        <f>CCBASE!$I$15*B607/1000</f>
        <v>139.73029875</v>
      </c>
      <c r="N607" s="633">
        <f>CCBASE!$I$7*B607/1000</f>
        <v>55.198990000000002</v>
      </c>
      <c r="O607" s="633">
        <f>CCBASE!$I$45*B607/1000</f>
        <v>17.447500000000002</v>
      </c>
      <c r="P607" s="633"/>
      <c r="Q607" s="633">
        <f>CCBASE!$I$51</f>
        <v>2.9</v>
      </c>
      <c r="R607" s="633">
        <f>CCBASE!$I$4</f>
        <v>8.3986041999999994</v>
      </c>
      <c r="S607" s="633">
        <f>CCBASE!$I$8</f>
        <v>16.25526</v>
      </c>
      <c r="T607" s="632"/>
      <c r="U607" s="638">
        <f>CCBASE!$I$47</f>
        <v>14.41</v>
      </c>
      <c r="V607" s="632"/>
      <c r="W607" s="633">
        <f>CCBASE!$I$42*B607/1000</f>
        <v>124.0410325</v>
      </c>
      <c r="X607" s="633"/>
      <c r="Y607" s="633"/>
      <c r="Z607" s="633"/>
      <c r="AA607" s="633"/>
      <c r="AB607" s="633"/>
      <c r="AC607" s="633"/>
      <c r="AD607" s="652">
        <f>CCBASE!$I$34*2</f>
        <v>209.37365399999999</v>
      </c>
      <c r="AI607" s="635"/>
      <c r="AJ607" s="635"/>
    </row>
    <row r="608" spans="1:45" ht="17" thickBot="1" x14ac:dyDescent="0.25">
      <c r="A608" s="644" t="s">
        <v>767</v>
      </c>
      <c r="B608" s="631">
        <v>2000</v>
      </c>
      <c r="C608" s="631">
        <v>1750</v>
      </c>
      <c r="D608" s="651" t="str">
        <f t="shared" si="182"/>
        <v>KVX-M20001750</v>
      </c>
      <c r="E608" s="1054">
        <f t="shared" si="183"/>
        <v>1523.1161027999999</v>
      </c>
      <c r="F608" s="632">
        <v>18</v>
      </c>
      <c r="G608" s="633">
        <f>F608*CCBASE!$B$51</f>
        <v>648</v>
      </c>
      <c r="H608" s="633">
        <f>CCBASE!$I$12*B608/1000</f>
        <v>239.30107460000002</v>
      </c>
      <c r="I608" s="633"/>
      <c r="J608" s="633"/>
      <c r="K608" s="633"/>
      <c r="L608" s="638"/>
      <c r="M608" s="633">
        <f>CCBASE!$I$15*B608/1000</f>
        <v>159.69177000000002</v>
      </c>
      <c r="N608" s="633">
        <f>CCBASE!$I$7*B608/1000</f>
        <v>63.084560000000003</v>
      </c>
      <c r="O608" s="633">
        <f>CCBASE!$I$45*B608/1000</f>
        <v>19.940000000000001</v>
      </c>
      <c r="P608" s="633"/>
      <c r="Q608" s="633">
        <f>CCBASE!$I$51</f>
        <v>2.9</v>
      </c>
      <c r="R608" s="633">
        <f>CCBASE!$I$4</f>
        <v>8.3986041999999994</v>
      </c>
      <c r="S608" s="633">
        <f>CCBASE!$I$8</f>
        <v>16.25526</v>
      </c>
      <c r="T608" s="632"/>
      <c r="U608" s="638">
        <f>CCBASE!$I$47</f>
        <v>14.41</v>
      </c>
      <c r="V608" s="632"/>
      <c r="W608" s="633">
        <f>CCBASE!$I$42*B608/1000</f>
        <v>141.76118</v>
      </c>
      <c r="X608" s="633"/>
      <c r="Y608" s="633"/>
      <c r="Z608" s="633"/>
      <c r="AA608" s="633"/>
      <c r="AB608" s="633"/>
      <c r="AC608" s="633"/>
      <c r="AD608" s="652">
        <f>CCBASE!$I$34*2</f>
        <v>209.37365399999999</v>
      </c>
      <c r="AI608" s="635"/>
      <c r="AJ608" s="635"/>
      <c r="AR608" s="636"/>
      <c r="AS608" s="636"/>
    </row>
    <row r="609" spans="1:45" ht="17" thickBot="1" x14ac:dyDescent="0.25">
      <c r="A609" s="644" t="s">
        <v>767</v>
      </c>
      <c r="B609" s="631">
        <v>2250</v>
      </c>
      <c r="C609" s="631">
        <v>1750</v>
      </c>
      <c r="D609" s="651" t="str">
        <f t="shared" si="182"/>
        <v>KVX-M22501750</v>
      </c>
      <c r="E609" s="1054">
        <f t="shared" si="183"/>
        <v>1615.4984258749996</v>
      </c>
      <c r="F609" s="632">
        <v>18</v>
      </c>
      <c r="G609" s="633">
        <f>F609*CCBASE!$B$51</f>
        <v>648</v>
      </c>
      <c r="H609" s="633">
        <f>CCBASE!$I$12*B609/1000</f>
        <v>269.21370892500005</v>
      </c>
      <c r="I609" s="633"/>
      <c r="J609" s="633"/>
      <c r="K609" s="633"/>
      <c r="L609" s="638"/>
      <c r="M609" s="633">
        <f>CCBASE!$I$15*B609/1000</f>
        <v>179.65324125000001</v>
      </c>
      <c r="N609" s="633">
        <f>CCBASE!$I$7*B609/1000</f>
        <v>70.970130000000012</v>
      </c>
      <c r="O609" s="633">
        <f>CCBASE!$I$45*B609/1000</f>
        <v>22.432500000000001</v>
      </c>
      <c r="P609" s="633"/>
      <c r="Q609" s="633">
        <f>CCBASE!$I$51</f>
        <v>2.9</v>
      </c>
      <c r="R609" s="633">
        <f>CCBASE!$I$4</f>
        <v>8.3986041999999994</v>
      </c>
      <c r="S609" s="633">
        <f>CCBASE!$I$8</f>
        <v>16.25526</v>
      </c>
      <c r="T609" s="632"/>
      <c r="U609" s="638">
        <f>CCBASE!$I$47*2</f>
        <v>28.82</v>
      </c>
      <c r="V609" s="632"/>
      <c r="W609" s="633">
        <f>CCBASE!$I$42*B609/1000</f>
        <v>159.48132749999999</v>
      </c>
      <c r="X609" s="633"/>
      <c r="Y609" s="633"/>
      <c r="Z609" s="633"/>
      <c r="AA609" s="633"/>
      <c r="AB609" s="633"/>
      <c r="AC609" s="633"/>
      <c r="AD609" s="652">
        <f>CCBASE!$I$34*2</f>
        <v>209.37365399999999</v>
      </c>
      <c r="AI609" s="635"/>
      <c r="AJ609" s="635"/>
      <c r="AR609" s="636"/>
      <c r="AS609" s="636"/>
    </row>
    <row r="610" spans="1:45" ht="17" thickBot="1" x14ac:dyDescent="0.25">
      <c r="A610" s="644" t="s">
        <v>767</v>
      </c>
      <c r="B610" s="631">
        <v>2500</v>
      </c>
      <c r="C610" s="631">
        <v>1750</v>
      </c>
      <c r="D610" s="651" t="str">
        <f t="shared" si="182"/>
        <v>KVX-M25001750</v>
      </c>
      <c r="E610" s="1054">
        <f t="shared" si="183"/>
        <v>1729.4707489499999</v>
      </c>
      <c r="F610" s="632">
        <v>19</v>
      </c>
      <c r="G610" s="633">
        <f>F610*CCBASE!$B$51</f>
        <v>684</v>
      </c>
      <c r="H610" s="633">
        <f>CCBASE!$I$12*B610/1000</f>
        <v>299.12634325000005</v>
      </c>
      <c r="I610" s="633"/>
      <c r="J610" s="633"/>
      <c r="K610" s="633"/>
      <c r="L610" s="638"/>
      <c r="M610" s="633">
        <f>CCBASE!$I$15*B610/1000</f>
        <v>199.61471250000002</v>
      </c>
      <c r="N610" s="633">
        <f>CCBASE!$I$7*B610/1000</f>
        <v>78.855699999999999</v>
      </c>
      <c r="O610" s="633">
        <f>CCBASE!$I$45*B610/1000</f>
        <v>24.925000000000001</v>
      </c>
      <c r="P610" s="633"/>
      <c r="Q610" s="633">
        <f>CCBASE!$I$51</f>
        <v>2.9</v>
      </c>
      <c r="R610" s="633">
        <f>CCBASE!$I$4</f>
        <v>8.3986041999999994</v>
      </c>
      <c r="S610" s="633">
        <f>CCBASE!$I$8</f>
        <v>16.25526</v>
      </c>
      <c r="T610" s="632"/>
      <c r="U610" s="638">
        <f>CCBASE!$I$47*2</f>
        <v>28.82</v>
      </c>
      <c r="V610" s="632"/>
      <c r="W610" s="633">
        <f>CCBASE!$I$42*B610/1000</f>
        <v>177.20147500000002</v>
      </c>
      <c r="X610" s="633"/>
      <c r="Y610" s="633"/>
      <c r="Z610" s="633"/>
      <c r="AA610" s="633"/>
      <c r="AB610" s="633"/>
      <c r="AC610" s="633"/>
      <c r="AD610" s="652">
        <f>CCBASE!$I$34*2</f>
        <v>209.37365399999999</v>
      </c>
      <c r="AI610" s="635"/>
      <c r="AJ610" s="635"/>
      <c r="AR610" s="636"/>
      <c r="AS610" s="636"/>
    </row>
    <row r="611" spans="1:45" ht="17" thickBot="1" x14ac:dyDescent="0.25">
      <c r="A611" s="644" t="s">
        <v>767</v>
      </c>
      <c r="B611" s="631">
        <v>2750</v>
      </c>
      <c r="C611" s="631">
        <v>1750</v>
      </c>
      <c r="D611" s="651" t="str">
        <f t="shared" si="182"/>
        <v>KVX-M27501750</v>
      </c>
      <c r="E611" s="1054">
        <f t="shared" si="183"/>
        <v>1807.4430720249998</v>
      </c>
      <c r="F611" s="632">
        <v>19</v>
      </c>
      <c r="G611" s="633">
        <f>F611*CCBASE!$B$51</f>
        <v>684</v>
      </c>
      <c r="H611" s="633">
        <f>CCBASE!$I$12*B611/1000</f>
        <v>329.03897757500005</v>
      </c>
      <c r="I611" s="633"/>
      <c r="J611" s="633"/>
      <c r="K611" s="633"/>
      <c r="L611" s="638"/>
      <c r="M611" s="633">
        <f>CCBASE!$I$15*B611/1000</f>
        <v>219.57618375000001</v>
      </c>
      <c r="N611" s="633">
        <f>CCBASE!$I$7*B611/1000</f>
        <v>86.74127</v>
      </c>
      <c r="O611" s="633">
        <f>CCBASE!$I$45*B611/1000</f>
        <v>27.4175</v>
      </c>
      <c r="P611" s="633"/>
      <c r="Q611" s="633">
        <f>CCBASE!$I$51</f>
        <v>2.9</v>
      </c>
      <c r="R611" s="633">
        <f>CCBASE!$I$4</f>
        <v>8.3986041999999994</v>
      </c>
      <c r="S611" s="633">
        <f>CCBASE!$I$8</f>
        <v>16.25526</v>
      </c>
      <c r="T611" s="632"/>
      <c r="U611" s="638">
        <f>CCBASE!$I$47*2</f>
        <v>28.82</v>
      </c>
      <c r="V611" s="632"/>
      <c r="W611" s="633">
        <f>CCBASE!$I$42*B611/1000</f>
        <v>194.92162249999998</v>
      </c>
      <c r="X611" s="633"/>
      <c r="Y611" s="633"/>
      <c r="Z611" s="633"/>
      <c r="AA611" s="633"/>
      <c r="AB611" s="633"/>
      <c r="AC611" s="633"/>
      <c r="AD611" s="652">
        <f>CCBASE!$I$34*2</f>
        <v>209.37365399999999</v>
      </c>
      <c r="AI611" s="635"/>
      <c r="AJ611" s="635"/>
      <c r="AK611" s="636"/>
      <c r="AL611" s="636"/>
      <c r="AM611" s="636"/>
      <c r="AN611" s="636"/>
      <c r="AO611" s="636"/>
      <c r="AP611" s="636"/>
      <c r="AQ611" s="636"/>
      <c r="AR611" s="636"/>
      <c r="AS611" s="636"/>
    </row>
    <row r="612" spans="1:45" ht="17" thickBot="1" x14ac:dyDescent="0.25">
      <c r="A612" s="644" t="s">
        <v>767</v>
      </c>
      <c r="B612" s="631">
        <v>3000</v>
      </c>
      <c r="C612" s="631">
        <v>1750</v>
      </c>
      <c r="D612" s="651" t="str">
        <f t="shared" si="182"/>
        <v>KVX-M30001750</v>
      </c>
      <c r="E612" s="1054">
        <f t="shared" si="183"/>
        <v>1885.4153950999998</v>
      </c>
      <c r="F612" s="632">
        <v>19</v>
      </c>
      <c r="G612" s="633">
        <f>F612*CCBASE!$B$51</f>
        <v>684</v>
      </c>
      <c r="H612" s="633">
        <f>CCBASE!$I$12*B612/1000</f>
        <v>358.95161190000005</v>
      </c>
      <c r="I612" s="633"/>
      <c r="J612" s="633"/>
      <c r="K612" s="633"/>
      <c r="L612" s="638"/>
      <c r="M612" s="633">
        <f>CCBASE!$I$15*B612/1000</f>
        <v>239.53765500000003</v>
      </c>
      <c r="N612" s="633">
        <f>CCBASE!$I$7*B612/1000</f>
        <v>94.626840000000016</v>
      </c>
      <c r="O612" s="633">
        <f>CCBASE!$I$45*B612/1000</f>
        <v>29.910000000000004</v>
      </c>
      <c r="P612" s="633"/>
      <c r="Q612" s="633">
        <f>CCBASE!$I$51</f>
        <v>2.9</v>
      </c>
      <c r="R612" s="633">
        <f>CCBASE!$I$4</f>
        <v>8.3986041999999994</v>
      </c>
      <c r="S612" s="633">
        <f>CCBASE!$I$8</f>
        <v>16.25526</v>
      </c>
      <c r="T612" s="632"/>
      <c r="U612" s="638">
        <f>CCBASE!$I$47*2</f>
        <v>28.82</v>
      </c>
      <c r="V612" s="632"/>
      <c r="W612" s="633">
        <f>CCBASE!$I$42*B612/1000</f>
        <v>212.64176999999998</v>
      </c>
      <c r="X612" s="633"/>
      <c r="Y612" s="633"/>
      <c r="Z612" s="633"/>
      <c r="AA612" s="633"/>
      <c r="AB612" s="633"/>
      <c r="AC612" s="633"/>
      <c r="AD612" s="652">
        <f>CCBASE!$I$34*2</f>
        <v>209.37365399999999</v>
      </c>
      <c r="AI612" s="635"/>
      <c r="AJ612" s="635"/>
      <c r="AK612" s="636"/>
      <c r="AL612" s="636"/>
      <c r="AM612" s="636"/>
      <c r="AN612" s="636"/>
      <c r="AO612" s="636"/>
      <c r="AP612" s="636"/>
      <c r="AQ612" s="636"/>
      <c r="AR612" s="636"/>
      <c r="AS612" s="636"/>
    </row>
    <row r="613" spans="1:45" ht="17" thickBot="1" x14ac:dyDescent="0.25">
      <c r="A613" s="644" t="s">
        <v>767</v>
      </c>
      <c r="B613" s="631">
        <v>1000</v>
      </c>
      <c r="C613" s="631">
        <v>2000</v>
      </c>
      <c r="D613" s="651" t="str">
        <f t="shared" si="182"/>
        <v>KVX-M10002000</v>
      </c>
      <c r="E613" s="1054">
        <f t="shared" si="183"/>
        <v>1267.4931664999999</v>
      </c>
      <c r="F613" s="647">
        <v>17</v>
      </c>
      <c r="G613" s="633">
        <f>F613*CCBASE!$B$51</f>
        <v>612</v>
      </c>
      <c r="H613" s="633">
        <f>CCBASE!$I$12*B613/1000</f>
        <v>119.65053730000001</v>
      </c>
      <c r="I613" s="633"/>
      <c r="J613" s="633"/>
      <c r="K613" s="633"/>
      <c r="L613" s="638"/>
      <c r="M613" s="633">
        <f>CCBASE!$I$15*B613/1000</f>
        <v>79.84588500000001</v>
      </c>
      <c r="N613" s="633">
        <f>CCBASE!$I$7*B613/1000</f>
        <v>31.542280000000002</v>
      </c>
      <c r="O613" s="633">
        <f>CCBASE!$I$45*B613/1000</f>
        <v>9.9700000000000006</v>
      </c>
      <c r="P613" s="633"/>
      <c r="Q613" s="633">
        <f>CCBASE!$I$51</f>
        <v>2.9</v>
      </c>
      <c r="R613" s="633">
        <f>CCBASE!$I$4</f>
        <v>8.3986041999999994</v>
      </c>
      <c r="S613" s="633">
        <f>CCBASE!$I$8</f>
        <v>16.25526</v>
      </c>
      <c r="T613" s="632"/>
      <c r="U613" s="638">
        <f>CCBASE!$I$47</f>
        <v>14.41</v>
      </c>
      <c r="V613" s="632"/>
      <c r="W613" s="633">
        <f>CCBASE!$I$43*B613/1000</f>
        <v>88.624119999999991</v>
      </c>
      <c r="X613" s="633"/>
      <c r="Y613" s="633"/>
      <c r="Z613" s="633"/>
      <c r="AA613" s="633"/>
      <c r="AB613" s="633"/>
      <c r="AC613" s="633"/>
      <c r="AD613" s="652">
        <f>CCBASE!$I$35*2</f>
        <v>283.89648</v>
      </c>
      <c r="AI613" s="635"/>
      <c r="AJ613" s="635"/>
      <c r="AK613" s="636"/>
      <c r="AL613" s="636"/>
      <c r="AM613" s="636"/>
      <c r="AN613" s="636"/>
      <c r="AO613" s="636"/>
      <c r="AP613" s="636"/>
      <c r="AQ613" s="636"/>
      <c r="AR613" s="636"/>
      <c r="AS613" s="636"/>
    </row>
    <row r="614" spans="1:45" ht="17" thickBot="1" x14ac:dyDescent="0.25">
      <c r="A614" s="644" t="s">
        <v>767</v>
      </c>
      <c r="B614" s="631">
        <v>1250</v>
      </c>
      <c r="C614" s="631">
        <v>2000</v>
      </c>
      <c r="D614" s="651" t="str">
        <f t="shared" si="182"/>
        <v>KVX-M12502000</v>
      </c>
      <c r="E614" s="1054">
        <f t="shared" si="183"/>
        <v>1349.9013720749999</v>
      </c>
      <c r="F614" s="632">
        <v>17</v>
      </c>
      <c r="G614" s="633">
        <f>F614*CCBASE!$B$51</f>
        <v>612</v>
      </c>
      <c r="H614" s="633">
        <f>CCBASE!$I$12*B614/1000</f>
        <v>149.56317162500002</v>
      </c>
      <c r="I614" s="633"/>
      <c r="J614" s="633"/>
      <c r="K614" s="633"/>
      <c r="L614" s="638"/>
      <c r="M614" s="633">
        <f>CCBASE!$I$15*B614/1000</f>
        <v>99.807356250000012</v>
      </c>
      <c r="N614" s="633">
        <f>CCBASE!$I$7*B614/1000</f>
        <v>39.427849999999999</v>
      </c>
      <c r="O614" s="633">
        <f>CCBASE!$I$45*B614/1000</f>
        <v>12.4625</v>
      </c>
      <c r="P614" s="633"/>
      <c r="Q614" s="633">
        <f>CCBASE!$I$51</f>
        <v>2.9</v>
      </c>
      <c r="R614" s="633">
        <f>CCBASE!$I$4</f>
        <v>8.3986041999999994</v>
      </c>
      <c r="S614" s="633">
        <f>CCBASE!$I$8</f>
        <v>16.25526</v>
      </c>
      <c r="T614" s="632"/>
      <c r="U614" s="638">
        <f>CCBASE!$I$47</f>
        <v>14.41</v>
      </c>
      <c r="V614" s="632"/>
      <c r="W614" s="633">
        <f>CCBASE!$I$43*B614/1000</f>
        <v>110.78014999999999</v>
      </c>
      <c r="X614" s="633"/>
      <c r="Y614" s="633"/>
      <c r="Z614" s="633"/>
      <c r="AA614" s="633"/>
      <c r="AB614" s="633"/>
      <c r="AC614" s="633"/>
      <c r="AD614" s="652">
        <f>CCBASE!$I$35*2</f>
        <v>283.89648</v>
      </c>
      <c r="AI614" s="635"/>
      <c r="AJ614" s="635"/>
      <c r="AK614" s="636"/>
      <c r="AL614" s="636"/>
      <c r="AM614" s="636"/>
      <c r="AN614" s="636"/>
      <c r="AO614" s="636"/>
      <c r="AP614" s="636"/>
      <c r="AQ614" s="636"/>
      <c r="AR614" s="636"/>
      <c r="AS614" s="636"/>
    </row>
    <row r="615" spans="1:45" ht="17" thickBot="1" x14ac:dyDescent="0.25">
      <c r="A615" s="644" t="s">
        <v>767</v>
      </c>
      <c r="B615" s="631">
        <v>1500</v>
      </c>
      <c r="C615" s="631">
        <v>2000</v>
      </c>
      <c r="D615" s="651" t="str">
        <f t="shared" si="182"/>
        <v>KVX-M15002000</v>
      </c>
      <c r="E615" s="1054">
        <f t="shared" si="183"/>
        <v>1432.3095776499999</v>
      </c>
      <c r="F615" s="632">
        <v>17</v>
      </c>
      <c r="G615" s="633">
        <f>F615*CCBASE!$B$51</f>
        <v>612</v>
      </c>
      <c r="H615" s="633">
        <f>CCBASE!$I$12*B615/1000</f>
        <v>179.47580595000002</v>
      </c>
      <c r="I615" s="633"/>
      <c r="J615" s="633"/>
      <c r="K615" s="633"/>
      <c r="L615" s="638"/>
      <c r="M615" s="633">
        <f>CCBASE!$I$15*B615/1000</f>
        <v>119.76882750000001</v>
      </c>
      <c r="N615" s="633">
        <f>CCBASE!$I$7*B615/1000</f>
        <v>47.313420000000008</v>
      </c>
      <c r="O615" s="633">
        <f>CCBASE!$I$45*B615/1000</f>
        <v>14.955000000000002</v>
      </c>
      <c r="P615" s="633"/>
      <c r="Q615" s="633">
        <f>CCBASE!$I$51</f>
        <v>2.9</v>
      </c>
      <c r="R615" s="633">
        <f>CCBASE!$I$4</f>
        <v>8.3986041999999994</v>
      </c>
      <c r="S615" s="633">
        <f>CCBASE!$I$8</f>
        <v>16.25526</v>
      </c>
      <c r="T615" s="632"/>
      <c r="U615" s="638">
        <f>CCBASE!$I$47</f>
        <v>14.41</v>
      </c>
      <c r="V615" s="632"/>
      <c r="W615" s="633">
        <f>CCBASE!$I$43*B615/1000</f>
        <v>132.93617999999998</v>
      </c>
      <c r="X615" s="633"/>
      <c r="Y615" s="633"/>
      <c r="Z615" s="633"/>
      <c r="AA615" s="633"/>
      <c r="AB615" s="633"/>
      <c r="AC615" s="633"/>
      <c r="AD615" s="652">
        <f>CCBASE!$I$35*2</f>
        <v>283.89648</v>
      </c>
      <c r="AI615" s="635"/>
      <c r="AJ615" s="635"/>
      <c r="AK615" s="636"/>
      <c r="AL615" s="636"/>
      <c r="AM615" s="636"/>
      <c r="AN615" s="636"/>
      <c r="AO615" s="636"/>
      <c r="AP615" s="636"/>
      <c r="AQ615" s="636"/>
      <c r="AR615" s="636"/>
      <c r="AS615" s="636"/>
    </row>
    <row r="616" spans="1:45" ht="17" thickBot="1" x14ac:dyDescent="0.25">
      <c r="A616" s="644" t="s">
        <v>767</v>
      </c>
      <c r="B616" s="631">
        <v>1750</v>
      </c>
      <c r="C616" s="631">
        <v>2000</v>
      </c>
      <c r="D616" s="651" t="str">
        <f t="shared" si="182"/>
        <v>KVX-M17502000</v>
      </c>
      <c r="E616" s="1054">
        <f t="shared" si="183"/>
        <v>1550.7177832249999</v>
      </c>
      <c r="F616" s="632">
        <v>18</v>
      </c>
      <c r="G616" s="633">
        <f>F616*CCBASE!$B$51</f>
        <v>648</v>
      </c>
      <c r="H616" s="633">
        <f>CCBASE!$I$12*B616/1000</f>
        <v>209.38844027500002</v>
      </c>
      <c r="I616" s="633"/>
      <c r="J616" s="633"/>
      <c r="K616" s="633"/>
      <c r="L616" s="638"/>
      <c r="M616" s="633">
        <f>CCBASE!$I$15*B616/1000</f>
        <v>139.73029875</v>
      </c>
      <c r="N616" s="633">
        <f>CCBASE!$I$7*B616/1000</f>
        <v>55.198990000000002</v>
      </c>
      <c r="O616" s="633">
        <f>CCBASE!$I$45*B616/1000</f>
        <v>17.447500000000002</v>
      </c>
      <c r="P616" s="633"/>
      <c r="Q616" s="633">
        <f>CCBASE!$I$51</f>
        <v>2.9</v>
      </c>
      <c r="R616" s="633">
        <f>CCBASE!$I$4</f>
        <v>8.3986041999999994</v>
      </c>
      <c r="S616" s="633">
        <f>CCBASE!$I$8</f>
        <v>16.25526</v>
      </c>
      <c r="T616" s="632"/>
      <c r="U616" s="638">
        <f>CCBASE!$I$47</f>
        <v>14.41</v>
      </c>
      <c r="V616" s="632"/>
      <c r="W616" s="633">
        <f>CCBASE!$I$43*B616/1000</f>
        <v>155.09220999999999</v>
      </c>
      <c r="X616" s="633"/>
      <c r="Y616" s="633"/>
      <c r="Z616" s="633"/>
      <c r="AA616" s="633"/>
      <c r="AB616" s="633"/>
      <c r="AC616" s="633"/>
      <c r="AD616" s="652">
        <f>CCBASE!$I$35*2</f>
        <v>283.89648</v>
      </c>
      <c r="AI616" s="635"/>
      <c r="AJ616" s="635"/>
    </row>
    <row r="617" spans="1:45" ht="17" thickBot="1" x14ac:dyDescent="0.25">
      <c r="A617" s="644" t="s">
        <v>767</v>
      </c>
      <c r="B617" s="631">
        <v>2000</v>
      </c>
      <c r="C617" s="631">
        <v>2000</v>
      </c>
      <c r="D617" s="651" t="str">
        <f t="shared" si="182"/>
        <v>KVX-M20002000</v>
      </c>
      <c r="E617" s="1054">
        <f t="shared" si="183"/>
        <v>1633.1259888</v>
      </c>
      <c r="F617" s="632">
        <v>18</v>
      </c>
      <c r="G617" s="633">
        <f>F617*CCBASE!$B$51</f>
        <v>648</v>
      </c>
      <c r="H617" s="633">
        <f>CCBASE!$I$12*B617/1000</f>
        <v>239.30107460000002</v>
      </c>
      <c r="I617" s="633"/>
      <c r="J617" s="633"/>
      <c r="K617" s="633"/>
      <c r="L617" s="638"/>
      <c r="M617" s="633">
        <f>CCBASE!$I$15*B617/1000</f>
        <v>159.69177000000002</v>
      </c>
      <c r="N617" s="633">
        <f>CCBASE!$I$7*B617/1000</f>
        <v>63.084560000000003</v>
      </c>
      <c r="O617" s="633">
        <f>CCBASE!$I$45*B617/1000</f>
        <v>19.940000000000001</v>
      </c>
      <c r="P617" s="633"/>
      <c r="Q617" s="633">
        <f>CCBASE!$I$51</f>
        <v>2.9</v>
      </c>
      <c r="R617" s="633">
        <f>CCBASE!$I$4</f>
        <v>8.3986041999999994</v>
      </c>
      <c r="S617" s="633">
        <f>CCBASE!$I$8</f>
        <v>16.25526</v>
      </c>
      <c r="T617" s="632"/>
      <c r="U617" s="638">
        <f>CCBASE!$I$47</f>
        <v>14.41</v>
      </c>
      <c r="V617" s="632"/>
      <c r="W617" s="633">
        <f>CCBASE!$I$43*B617/1000</f>
        <v>177.24823999999998</v>
      </c>
      <c r="X617" s="633"/>
      <c r="Y617" s="633"/>
      <c r="Z617" s="633"/>
      <c r="AA617" s="633"/>
      <c r="AB617" s="633"/>
      <c r="AC617" s="633"/>
      <c r="AD617" s="652">
        <f>CCBASE!$I$35*2</f>
        <v>283.89648</v>
      </c>
      <c r="AI617" s="635"/>
      <c r="AJ617" s="635"/>
    </row>
    <row r="618" spans="1:45" ht="17" thickBot="1" x14ac:dyDescent="0.25">
      <c r="A618" s="644" t="s">
        <v>767</v>
      </c>
      <c r="B618" s="631">
        <v>2250</v>
      </c>
      <c r="C618" s="631">
        <v>2000</v>
      </c>
      <c r="D618" s="651" t="str">
        <f t="shared" si="182"/>
        <v>KVX-M22502000</v>
      </c>
      <c r="E618" s="1054">
        <f t="shared" si="183"/>
        <v>1729.9441943749998</v>
      </c>
      <c r="F618" s="632">
        <v>18</v>
      </c>
      <c r="G618" s="633">
        <f>F618*CCBASE!$B$51</f>
        <v>648</v>
      </c>
      <c r="H618" s="633">
        <f>CCBASE!$I$12*B618/1000</f>
        <v>269.21370892500005</v>
      </c>
      <c r="I618" s="633"/>
      <c r="J618" s="633"/>
      <c r="K618" s="633"/>
      <c r="L618" s="638"/>
      <c r="M618" s="633">
        <f>CCBASE!$I$15*B618/1000</f>
        <v>179.65324125000001</v>
      </c>
      <c r="N618" s="633">
        <f>CCBASE!$I$7*B618/1000</f>
        <v>70.970130000000012</v>
      </c>
      <c r="O618" s="633">
        <f>CCBASE!$I$45*B618/1000</f>
        <v>22.432500000000001</v>
      </c>
      <c r="P618" s="633"/>
      <c r="Q618" s="633">
        <f>CCBASE!$I$51</f>
        <v>2.9</v>
      </c>
      <c r="R618" s="633">
        <f>CCBASE!$I$4</f>
        <v>8.3986041999999994</v>
      </c>
      <c r="S618" s="633">
        <f>CCBASE!$I$8</f>
        <v>16.25526</v>
      </c>
      <c r="T618" s="632"/>
      <c r="U618" s="638">
        <f>CCBASE!$I$47*2</f>
        <v>28.82</v>
      </c>
      <c r="V618" s="632"/>
      <c r="W618" s="633">
        <f>CCBASE!$I$43*B618/1000</f>
        <v>199.40427</v>
      </c>
      <c r="X618" s="633"/>
      <c r="Y618" s="633"/>
      <c r="Z618" s="633"/>
      <c r="AA618" s="633"/>
      <c r="AB618" s="633"/>
      <c r="AC618" s="633"/>
      <c r="AD618" s="652">
        <f>CCBASE!$I$35*2</f>
        <v>283.89648</v>
      </c>
      <c r="AI618" s="635"/>
      <c r="AJ618" s="635"/>
    </row>
    <row r="619" spans="1:45" ht="17" thickBot="1" x14ac:dyDescent="0.25">
      <c r="A619" s="644" t="s">
        <v>767</v>
      </c>
      <c r="B619" s="631">
        <v>2500</v>
      </c>
      <c r="C619" s="631">
        <v>2000</v>
      </c>
      <c r="D619" s="651" t="str">
        <f t="shared" si="182"/>
        <v>KVX-M25002000</v>
      </c>
      <c r="E619" s="1054">
        <f t="shared" si="183"/>
        <v>1848.3523999499998</v>
      </c>
      <c r="F619" s="632">
        <v>19</v>
      </c>
      <c r="G619" s="633">
        <f>F619*CCBASE!$B$51</f>
        <v>684</v>
      </c>
      <c r="H619" s="633">
        <f>CCBASE!$I$12*B619/1000</f>
        <v>299.12634325000005</v>
      </c>
      <c r="I619" s="633"/>
      <c r="J619" s="633"/>
      <c r="K619" s="633"/>
      <c r="L619" s="638"/>
      <c r="M619" s="633">
        <f>CCBASE!$I$15*B619/1000</f>
        <v>199.61471250000002</v>
      </c>
      <c r="N619" s="633">
        <f>CCBASE!$I$7*B619/1000</f>
        <v>78.855699999999999</v>
      </c>
      <c r="O619" s="633">
        <f>CCBASE!$I$45*B619/1000</f>
        <v>24.925000000000001</v>
      </c>
      <c r="P619" s="633"/>
      <c r="Q619" s="633">
        <f>CCBASE!$I$51</f>
        <v>2.9</v>
      </c>
      <c r="R619" s="633">
        <f>CCBASE!$I$4</f>
        <v>8.3986041999999994</v>
      </c>
      <c r="S619" s="633">
        <f>CCBASE!$I$8</f>
        <v>16.25526</v>
      </c>
      <c r="T619" s="632"/>
      <c r="U619" s="638">
        <f>CCBASE!$I$47*2</f>
        <v>28.82</v>
      </c>
      <c r="V619" s="632"/>
      <c r="W619" s="633">
        <f>CCBASE!$I$43*B619/1000</f>
        <v>221.56029999999998</v>
      </c>
      <c r="X619" s="633"/>
      <c r="Y619" s="633"/>
      <c r="Z619" s="633"/>
      <c r="AA619" s="633"/>
      <c r="AB619" s="633"/>
      <c r="AC619" s="633"/>
      <c r="AD619" s="652">
        <f>CCBASE!$I$35*2</f>
        <v>283.89648</v>
      </c>
      <c r="AI619" s="635"/>
      <c r="AJ619" s="635"/>
      <c r="AR619" s="636"/>
      <c r="AS619" s="636"/>
    </row>
    <row r="620" spans="1:45" ht="17" thickBot="1" x14ac:dyDescent="0.25">
      <c r="A620" s="644" t="s">
        <v>767</v>
      </c>
      <c r="B620" s="631">
        <v>2750</v>
      </c>
      <c r="C620" s="631">
        <v>2000</v>
      </c>
      <c r="D620" s="651" t="str">
        <f t="shared" si="182"/>
        <v>KVX-M27502000</v>
      </c>
      <c r="E620" s="1054">
        <f t="shared" si="183"/>
        <v>1930.7606055249998</v>
      </c>
      <c r="F620" s="632">
        <v>19</v>
      </c>
      <c r="G620" s="633">
        <f>F620*CCBASE!$B$51</f>
        <v>684</v>
      </c>
      <c r="H620" s="633">
        <f>CCBASE!$I$12*B620/1000</f>
        <v>329.03897757500005</v>
      </c>
      <c r="I620" s="633"/>
      <c r="J620" s="633"/>
      <c r="K620" s="633"/>
      <c r="L620" s="638"/>
      <c r="M620" s="633">
        <f>CCBASE!$I$15*B620/1000</f>
        <v>219.57618375000001</v>
      </c>
      <c r="N620" s="633">
        <f>CCBASE!$I$7*B620/1000</f>
        <v>86.74127</v>
      </c>
      <c r="O620" s="633">
        <f>CCBASE!$I$45*B620/1000</f>
        <v>27.4175</v>
      </c>
      <c r="P620" s="633"/>
      <c r="Q620" s="633">
        <f>CCBASE!$I$51</f>
        <v>2.9</v>
      </c>
      <c r="R620" s="633">
        <f>CCBASE!$I$4</f>
        <v>8.3986041999999994</v>
      </c>
      <c r="S620" s="633">
        <f>CCBASE!$I$8</f>
        <v>16.25526</v>
      </c>
      <c r="T620" s="632"/>
      <c r="U620" s="638">
        <f>CCBASE!$I$47*2</f>
        <v>28.82</v>
      </c>
      <c r="V620" s="632"/>
      <c r="W620" s="633">
        <f>CCBASE!$I$43*B620/1000</f>
        <v>243.71633</v>
      </c>
      <c r="X620" s="633"/>
      <c r="Y620" s="633"/>
      <c r="Z620" s="633"/>
      <c r="AA620" s="633"/>
      <c r="AB620" s="633"/>
      <c r="AC620" s="633"/>
      <c r="AD620" s="652">
        <f>CCBASE!$I$35*2</f>
        <v>283.89648</v>
      </c>
      <c r="AI620" s="635"/>
      <c r="AJ620" s="635"/>
      <c r="AR620" s="636"/>
      <c r="AS620" s="636"/>
    </row>
    <row r="621" spans="1:45" ht="17" thickBot="1" x14ac:dyDescent="0.25">
      <c r="A621" s="644" t="s">
        <v>767</v>
      </c>
      <c r="B621" s="653">
        <v>3000</v>
      </c>
      <c r="C621" s="653">
        <v>2000</v>
      </c>
      <c r="D621" s="654" t="str">
        <f t="shared" si="182"/>
        <v>KVX-M30002000</v>
      </c>
      <c r="E621" s="1054">
        <f t="shared" si="183"/>
        <v>2013.1688110999999</v>
      </c>
      <c r="F621" s="632">
        <v>19</v>
      </c>
      <c r="G621" s="655">
        <f>F621*CCBASE!$B$51</f>
        <v>684</v>
      </c>
      <c r="H621" s="655">
        <f>CCBASE!$I$12*B621/1000</f>
        <v>358.95161190000005</v>
      </c>
      <c r="I621" s="655"/>
      <c r="J621" s="655"/>
      <c r="K621" s="655"/>
      <c r="L621" s="656"/>
      <c r="M621" s="655">
        <f>CCBASE!$I$15*B621/1000</f>
        <v>239.53765500000003</v>
      </c>
      <c r="N621" s="655">
        <f>CCBASE!$I$7*B621/1000</f>
        <v>94.626840000000016</v>
      </c>
      <c r="O621" s="655">
        <f>CCBASE!$I$45*B621/1000</f>
        <v>29.910000000000004</v>
      </c>
      <c r="P621" s="655"/>
      <c r="Q621" s="655">
        <f>CCBASE!$I$51</f>
        <v>2.9</v>
      </c>
      <c r="R621" s="655">
        <f>CCBASE!$I$4</f>
        <v>8.3986041999999994</v>
      </c>
      <c r="S621" s="655">
        <f>CCBASE!$I$8</f>
        <v>16.25526</v>
      </c>
      <c r="T621" s="657"/>
      <c r="U621" s="656">
        <f>CCBASE!$I$47*2</f>
        <v>28.82</v>
      </c>
      <c r="V621" s="657"/>
      <c r="W621" s="655">
        <f>CCBASE!$I$43*B621/1000</f>
        <v>265.87235999999996</v>
      </c>
      <c r="X621" s="655"/>
      <c r="Y621" s="655"/>
      <c r="Z621" s="655"/>
      <c r="AA621" s="655"/>
      <c r="AB621" s="655"/>
      <c r="AC621" s="655"/>
      <c r="AD621" s="658">
        <f>CCBASE!$I$35*2</f>
        <v>283.89648</v>
      </c>
      <c r="AI621" s="635"/>
      <c r="AJ621" s="635"/>
      <c r="AK621" s="636"/>
      <c r="AL621" s="636"/>
      <c r="AM621" s="636"/>
      <c r="AN621" s="636"/>
      <c r="AO621" s="636"/>
      <c r="AP621" s="636"/>
      <c r="AQ621" s="636"/>
      <c r="AR621" s="636"/>
      <c r="AS621" s="636"/>
    </row>
    <row r="622" spans="1:45" ht="17" thickBot="1" x14ac:dyDescent="0.25">
      <c r="A622" s="659" t="s">
        <v>768</v>
      </c>
      <c r="B622" s="645">
        <v>1000</v>
      </c>
      <c r="C622" s="645">
        <v>1000</v>
      </c>
      <c r="D622" s="646" t="str">
        <f>$A622&amp;B622&amp;C622</f>
        <v>UVX-M10001000</v>
      </c>
      <c r="E622" s="1054">
        <f t="shared" si="183"/>
        <v>1261.1119373999998</v>
      </c>
      <c r="F622" s="647">
        <v>21</v>
      </c>
      <c r="G622" s="648">
        <f>F622*CCBASE!$B$51</f>
        <v>756</v>
      </c>
      <c r="H622" s="648">
        <f>CCBASE!$I$11*B622/1000</f>
        <v>160.99296219999999</v>
      </c>
      <c r="I622" s="648"/>
      <c r="J622" s="648"/>
      <c r="K622" s="648"/>
      <c r="L622" s="647"/>
      <c r="M622" s="648">
        <f>CCBASE!$I$15*B622/1000</f>
        <v>79.84588500000001</v>
      </c>
      <c r="N622" s="648">
        <f>CCBASE!$I$7*B622/1000</f>
        <v>31.542280000000002</v>
      </c>
      <c r="O622" s="648">
        <f>CCBASE!$I$45*B622/1000</f>
        <v>9.9700000000000006</v>
      </c>
      <c r="P622" s="648">
        <f>CCBASE!$I$10</f>
        <v>30.661922000000001</v>
      </c>
      <c r="Q622" s="648">
        <f>CCBASE!$I$51</f>
        <v>2.9</v>
      </c>
      <c r="R622" s="648">
        <f>CCBASE!$I$4</f>
        <v>8.3986041999999994</v>
      </c>
      <c r="S622" s="648">
        <f>CCBASE!$I$8</f>
        <v>16.25526</v>
      </c>
      <c r="T622" s="647"/>
      <c r="U622" s="649">
        <f>CCBASE!$I$47</f>
        <v>14.41</v>
      </c>
      <c r="V622" s="648"/>
      <c r="W622" s="648">
        <f>CCBASE!$I$40*B622/1000</f>
        <v>41.308039999999998</v>
      </c>
      <c r="X622" s="648"/>
      <c r="Y622" s="648"/>
      <c r="Z622" s="648"/>
      <c r="AA622" s="648"/>
      <c r="AB622" s="648"/>
      <c r="AC622" s="648"/>
      <c r="AD622" s="650">
        <f>CCBASE!$I$32*2</f>
        <v>108.826984</v>
      </c>
      <c r="AI622" s="635"/>
      <c r="AJ622" s="635"/>
      <c r="AK622" s="636"/>
      <c r="AL622" s="636"/>
      <c r="AM622" s="636"/>
      <c r="AN622" s="636"/>
      <c r="AO622" s="636"/>
      <c r="AP622" s="636"/>
      <c r="AQ622" s="636"/>
      <c r="AR622" s="636"/>
      <c r="AS622" s="636"/>
    </row>
    <row r="623" spans="1:45" ht="17" thickBot="1" x14ac:dyDescent="0.25">
      <c r="A623" s="659" t="s">
        <v>768</v>
      </c>
      <c r="B623" s="631">
        <v>1250</v>
      </c>
      <c r="C623" s="631">
        <v>1000</v>
      </c>
      <c r="D623" s="651" t="str">
        <f t="shared" ref="D623:D666" si="184">$A623&amp;B623&amp;C623</f>
        <v>UVX-M12501000</v>
      </c>
      <c r="E623" s="1054">
        <f t="shared" si="183"/>
        <v>1342.0267292000003</v>
      </c>
      <c r="F623" s="632">
        <v>21</v>
      </c>
      <c r="G623" s="633">
        <f>F623*CCBASE!$B$51</f>
        <v>756</v>
      </c>
      <c r="H623" s="633">
        <f>CCBASE!$I$11*B623/1000</f>
        <v>201.24120274999999</v>
      </c>
      <c r="I623" s="633"/>
      <c r="J623" s="633"/>
      <c r="K623" s="633"/>
      <c r="L623" s="632"/>
      <c r="M623" s="633">
        <f>CCBASE!$I$15*B623/1000</f>
        <v>99.807356250000012</v>
      </c>
      <c r="N623" s="633">
        <f>CCBASE!$I$7*B623/1000</f>
        <v>39.427849999999999</v>
      </c>
      <c r="O623" s="633">
        <f>CCBASE!$I$45*B623/1000</f>
        <v>12.4625</v>
      </c>
      <c r="P623" s="633">
        <f>CCBASE!$I$10</f>
        <v>30.661922000000001</v>
      </c>
      <c r="Q623" s="633">
        <f>CCBASE!$I$51</f>
        <v>2.9</v>
      </c>
      <c r="R623" s="633">
        <f>CCBASE!$I$4</f>
        <v>8.3986041999999994</v>
      </c>
      <c r="S623" s="633">
        <f>CCBASE!$I$8</f>
        <v>16.25526</v>
      </c>
      <c r="T623" s="632"/>
      <c r="U623" s="638">
        <f>CCBASE!$I$47</f>
        <v>14.41</v>
      </c>
      <c r="V623" s="633"/>
      <c r="W623" s="633">
        <f>CCBASE!$I$40*B623/1000</f>
        <v>51.635049999999993</v>
      </c>
      <c r="X623" s="633"/>
      <c r="Y623" s="633"/>
      <c r="Z623" s="633"/>
      <c r="AA623" s="633"/>
      <c r="AB623" s="633"/>
      <c r="AC623" s="633"/>
      <c r="AD623" s="652">
        <f>CCBASE!$I$32*2</f>
        <v>108.826984</v>
      </c>
      <c r="AI623" s="635"/>
      <c r="AJ623" s="635"/>
      <c r="AK623" s="636"/>
      <c r="AL623" s="636"/>
      <c r="AM623" s="636"/>
      <c r="AN623" s="636"/>
      <c r="AO623" s="636"/>
      <c r="AP623" s="636"/>
      <c r="AQ623" s="636"/>
      <c r="AR623" s="636"/>
      <c r="AS623" s="636"/>
    </row>
    <row r="624" spans="1:45" ht="17" thickBot="1" x14ac:dyDescent="0.25">
      <c r="A624" s="659" t="s">
        <v>768</v>
      </c>
      <c r="B624" s="631">
        <v>1500</v>
      </c>
      <c r="C624" s="631">
        <v>1000</v>
      </c>
      <c r="D624" s="651" t="str">
        <f t="shared" si="184"/>
        <v>UVX-M15001000</v>
      </c>
      <c r="E624" s="1054">
        <f t="shared" si="183"/>
        <v>1422.941521</v>
      </c>
      <c r="F624" s="632">
        <v>21</v>
      </c>
      <c r="G624" s="633">
        <f>F624*CCBASE!$B$51</f>
        <v>756</v>
      </c>
      <c r="H624" s="633">
        <f>CCBASE!$I$11*B624/1000</f>
        <v>241.48944329999998</v>
      </c>
      <c r="I624" s="633"/>
      <c r="J624" s="633"/>
      <c r="K624" s="633"/>
      <c r="L624" s="632"/>
      <c r="M624" s="633">
        <f>CCBASE!$I$15*B624/1000</f>
        <v>119.76882750000001</v>
      </c>
      <c r="N624" s="633">
        <f>CCBASE!$I$7*B624/1000</f>
        <v>47.313420000000008</v>
      </c>
      <c r="O624" s="633">
        <f>CCBASE!$I$45*B624/1000</f>
        <v>14.955000000000002</v>
      </c>
      <c r="P624" s="633">
        <f>CCBASE!$I$10</f>
        <v>30.661922000000001</v>
      </c>
      <c r="Q624" s="633">
        <f>CCBASE!$I$51</f>
        <v>2.9</v>
      </c>
      <c r="R624" s="633">
        <f>CCBASE!$I$4</f>
        <v>8.3986041999999994</v>
      </c>
      <c r="S624" s="633">
        <f>CCBASE!$I$8</f>
        <v>16.25526</v>
      </c>
      <c r="T624" s="632"/>
      <c r="U624" s="638">
        <f>CCBASE!$I$47</f>
        <v>14.41</v>
      </c>
      <c r="V624" s="633"/>
      <c r="W624" s="633">
        <f>CCBASE!$I$40*B624/1000</f>
        <v>61.962060000000001</v>
      </c>
      <c r="X624" s="633"/>
      <c r="Y624" s="633"/>
      <c r="Z624" s="633"/>
      <c r="AA624" s="633"/>
      <c r="AB624" s="633"/>
      <c r="AC624" s="633"/>
      <c r="AD624" s="652">
        <f>CCBASE!$I$32*2</f>
        <v>108.826984</v>
      </c>
      <c r="AI624" s="635"/>
      <c r="AJ624" s="635"/>
      <c r="AK624" s="636"/>
      <c r="AL624" s="636"/>
      <c r="AM624" s="636"/>
      <c r="AN624" s="636"/>
      <c r="AO624" s="636"/>
      <c r="AP624" s="636"/>
      <c r="AQ624" s="636"/>
      <c r="AR624" s="636"/>
      <c r="AS624" s="636"/>
    </row>
    <row r="625" spans="1:45" ht="17" thickBot="1" x14ac:dyDescent="0.25">
      <c r="A625" s="659" t="s">
        <v>768</v>
      </c>
      <c r="B625" s="631">
        <v>1750</v>
      </c>
      <c r="C625" s="631">
        <v>1000</v>
      </c>
      <c r="D625" s="651" t="str">
        <f t="shared" si="184"/>
        <v>UVX-M17501000</v>
      </c>
      <c r="E625" s="1054">
        <f t="shared" si="183"/>
        <v>1503.8563128000001</v>
      </c>
      <c r="F625" s="632">
        <v>21</v>
      </c>
      <c r="G625" s="633">
        <f>F625*CCBASE!$B$51</f>
        <v>756</v>
      </c>
      <c r="H625" s="633">
        <f>CCBASE!$I$11*B625/1000</f>
        <v>281.73768385</v>
      </c>
      <c r="I625" s="633"/>
      <c r="J625" s="633"/>
      <c r="K625" s="633"/>
      <c r="L625" s="632"/>
      <c r="M625" s="633">
        <f>CCBASE!$I$15*B625/1000</f>
        <v>139.73029875</v>
      </c>
      <c r="N625" s="633">
        <f>CCBASE!$I$7*B625/1000</f>
        <v>55.198990000000002</v>
      </c>
      <c r="O625" s="633">
        <f>CCBASE!$I$45*B625/1000</f>
        <v>17.447500000000002</v>
      </c>
      <c r="P625" s="633">
        <f>CCBASE!$I$10</f>
        <v>30.661922000000001</v>
      </c>
      <c r="Q625" s="633">
        <f>CCBASE!$I$51</f>
        <v>2.9</v>
      </c>
      <c r="R625" s="633">
        <f>CCBASE!$I$4</f>
        <v>8.3986041999999994</v>
      </c>
      <c r="S625" s="633">
        <f>CCBASE!$I$8</f>
        <v>16.25526</v>
      </c>
      <c r="T625" s="632"/>
      <c r="U625" s="638">
        <f>CCBASE!$I$47</f>
        <v>14.41</v>
      </c>
      <c r="V625" s="633"/>
      <c r="W625" s="633">
        <f>CCBASE!$I$40*B625/1000</f>
        <v>72.289069999999995</v>
      </c>
      <c r="X625" s="633"/>
      <c r="Y625" s="633"/>
      <c r="Z625" s="633"/>
      <c r="AA625" s="633"/>
      <c r="AB625" s="633"/>
      <c r="AC625" s="633"/>
      <c r="AD625" s="652">
        <f>CCBASE!$I$32*2</f>
        <v>108.826984</v>
      </c>
      <c r="AI625" s="635"/>
      <c r="AJ625" s="635"/>
      <c r="AK625" s="636"/>
      <c r="AL625" s="636"/>
      <c r="AM625" s="636"/>
      <c r="AN625" s="636"/>
      <c r="AO625" s="636"/>
      <c r="AP625" s="636"/>
      <c r="AQ625" s="636"/>
      <c r="AR625" s="636"/>
      <c r="AS625" s="636"/>
    </row>
    <row r="626" spans="1:45" ht="17" thickBot="1" x14ac:dyDescent="0.25">
      <c r="A626" s="659" t="s">
        <v>768</v>
      </c>
      <c r="B626" s="631">
        <v>2000</v>
      </c>
      <c r="C626" s="631">
        <v>1000</v>
      </c>
      <c r="D626" s="651" t="str">
        <f t="shared" si="184"/>
        <v>UVX-M20001000</v>
      </c>
      <c r="E626" s="1054">
        <f t="shared" si="183"/>
        <v>1593.8203048999999</v>
      </c>
      <c r="F626" s="632">
        <v>21</v>
      </c>
      <c r="G626" s="633">
        <f>F626*CCBASE!$B$51</f>
        <v>756</v>
      </c>
      <c r="H626" s="633">
        <f>CCBASE!$I$11*B626/1000</f>
        <v>321.98592439999999</v>
      </c>
      <c r="I626" s="633"/>
      <c r="J626" s="633"/>
      <c r="K626" s="633"/>
      <c r="L626" s="632"/>
      <c r="M626" s="633">
        <f>CCBASE!$I$15*B626/1000</f>
        <v>159.69177000000002</v>
      </c>
      <c r="N626" s="633">
        <f>CCBASE!$I$7*B626/1000</f>
        <v>63.084560000000003</v>
      </c>
      <c r="O626" s="633">
        <f>CCBASE!$I$45*B626/1000</f>
        <v>19.940000000000001</v>
      </c>
      <c r="P626" s="633">
        <f>CCBASE!$I$9</f>
        <v>39.7111223</v>
      </c>
      <c r="Q626" s="633">
        <f>CCBASE!$I$51</f>
        <v>2.9</v>
      </c>
      <c r="R626" s="633">
        <f>CCBASE!$I$4</f>
        <v>8.3986041999999994</v>
      </c>
      <c r="S626" s="633">
        <f>CCBASE!$I$8</f>
        <v>16.25526</v>
      </c>
      <c r="T626" s="632"/>
      <c r="U626" s="638">
        <f>CCBASE!$I$47</f>
        <v>14.41</v>
      </c>
      <c r="V626" s="633"/>
      <c r="W626" s="633">
        <f>CCBASE!$I$40*B626/1000</f>
        <v>82.616079999999997</v>
      </c>
      <c r="X626" s="633"/>
      <c r="Y626" s="633"/>
      <c r="Z626" s="633"/>
      <c r="AA626" s="633"/>
      <c r="AB626" s="633"/>
      <c r="AC626" s="633"/>
      <c r="AD626" s="652">
        <f>CCBASE!$I$32*2</f>
        <v>108.826984</v>
      </c>
      <c r="AI626" s="635"/>
      <c r="AJ626" s="635"/>
      <c r="AN626" s="636"/>
      <c r="AO626" s="636"/>
      <c r="AP626" s="636"/>
      <c r="AQ626" s="636"/>
      <c r="AR626" s="636"/>
      <c r="AS626" s="636"/>
    </row>
    <row r="627" spans="1:45" ht="17" thickBot="1" x14ac:dyDescent="0.25">
      <c r="A627" s="659" t="s">
        <v>768</v>
      </c>
      <c r="B627" s="631">
        <v>2250</v>
      </c>
      <c r="C627" s="631">
        <v>1000</v>
      </c>
      <c r="D627" s="651" t="str">
        <f t="shared" si="184"/>
        <v>UVX-M22501000</v>
      </c>
      <c r="E627" s="1054">
        <f t="shared" si="183"/>
        <v>1725.1450966999996</v>
      </c>
      <c r="F627" s="632">
        <v>22</v>
      </c>
      <c r="G627" s="633">
        <f>F627*CCBASE!$B$51</f>
        <v>792</v>
      </c>
      <c r="H627" s="633">
        <f>CCBASE!$I$11*B627/1000</f>
        <v>362.23416494999998</v>
      </c>
      <c r="I627" s="633"/>
      <c r="J627" s="633"/>
      <c r="K627" s="633"/>
      <c r="L627" s="632"/>
      <c r="M627" s="633">
        <f>CCBASE!$I$15*B627/1000</f>
        <v>179.65324125000001</v>
      </c>
      <c r="N627" s="633">
        <f>CCBASE!$I$7*B627/1000</f>
        <v>70.970130000000012</v>
      </c>
      <c r="O627" s="633">
        <f>CCBASE!$I$45*B627/1000</f>
        <v>22.432500000000001</v>
      </c>
      <c r="P627" s="633">
        <f>CCBASE!$I$9</f>
        <v>39.7111223</v>
      </c>
      <c r="Q627" s="633">
        <f>CCBASE!$I$51</f>
        <v>2.9</v>
      </c>
      <c r="R627" s="633">
        <f>CCBASE!$I$4</f>
        <v>8.3986041999999994</v>
      </c>
      <c r="S627" s="633">
        <f>CCBASE!$I$8</f>
        <v>16.25526</v>
      </c>
      <c r="T627" s="632"/>
      <c r="U627" s="638">
        <f>CCBASE!$I$47*2</f>
        <v>28.82</v>
      </c>
      <c r="V627" s="633"/>
      <c r="W627" s="633">
        <f>CCBASE!$I$40*B627/1000</f>
        <v>92.943089999999998</v>
      </c>
      <c r="X627" s="633"/>
      <c r="Y627" s="633"/>
      <c r="Z627" s="633"/>
      <c r="AA627" s="633"/>
      <c r="AB627" s="633"/>
      <c r="AC627" s="633"/>
      <c r="AD627" s="652">
        <f>CCBASE!$I$32*2</f>
        <v>108.826984</v>
      </c>
      <c r="AI627" s="635"/>
      <c r="AJ627" s="635"/>
      <c r="AN627" s="636"/>
      <c r="AO627" s="636"/>
      <c r="AP627" s="636"/>
      <c r="AQ627" s="636"/>
      <c r="AR627" s="636"/>
      <c r="AS627" s="636"/>
    </row>
    <row r="628" spans="1:45" ht="17" thickBot="1" x14ac:dyDescent="0.25">
      <c r="A628" s="659" t="s">
        <v>768</v>
      </c>
      <c r="B628" s="631">
        <v>2500</v>
      </c>
      <c r="C628" s="631">
        <v>1000</v>
      </c>
      <c r="D628" s="651" t="str">
        <f t="shared" si="184"/>
        <v>UVX-M25001000</v>
      </c>
      <c r="E628" s="1054">
        <f t="shared" si="183"/>
        <v>1806.0598884999997</v>
      </c>
      <c r="F628" s="632">
        <v>22</v>
      </c>
      <c r="G628" s="633">
        <f>F628*CCBASE!$B$51</f>
        <v>792</v>
      </c>
      <c r="H628" s="633">
        <f>CCBASE!$I$11*B628/1000</f>
        <v>402.48240549999997</v>
      </c>
      <c r="I628" s="633"/>
      <c r="J628" s="633"/>
      <c r="K628" s="633"/>
      <c r="L628" s="632"/>
      <c r="M628" s="633">
        <f>CCBASE!$I$15*B628/1000</f>
        <v>199.61471250000002</v>
      </c>
      <c r="N628" s="633">
        <f>CCBASE!$I$7*B628/1000</f>
        <v>78.855699999999999</v>
      </c>
      <c r="O628" s="633">
        <f>CCBASE!$I$45*B628/1000</f>
        <v>24.925000000000001</v>
      </c>
      <c r="P628" s="633">
        <f>CCBASE!$I$9</f>
        <v>39.7111223</v>
      </c>
      <c r="Q628" s="633">
        <f>CCBASE!$I$51</f>
        <v>2.9</v>
      </c>
      <c r="R628" s="633">
        <f>CCBASE!$I$4</f>
        <v>8.3986041999999994</v>
      </c>
      <c r="S628" s="633">
        <f>CCBASE!$I$8</f>
        <v>16.25526</v>
      </c>
      <c r="T628" s="632"/>
      <c r="U628" s="638">
        <f>CCBASE!$I$47*2</f>
        <v>28.82</v>
      </c>
      <c r="V628" s="633"/>
      <c r="W628" s="633">
        <f>CCBASE!$I$40*B628/1000</f>
        <v>103.27009999999999</v>
      </c>
      <c r="X628" s="633"/>
      <c r="Y628" s="633"/>
      <c r="Z628" s="633"/>
      <c r="AA628" s="633"/>
      <c r="AB628" s="633"/>
      <c r="AC628" s="633"/>
      <c r="AD628" s="652">
        <f>CCBASE!$I$32*2</f>
        <v>108.826984</v>
      </c>
      <c r="AI628" s="635"/>
      <c r="AJ628" s="635"/>
      <c r="AN628" s="636"/>
      <c r="AO628" s="636"/>
      <c r="AP628" s="636"/>
      <c r="AQ628" s="636"/>
      <c r="AR628" s="636"/>
      <c r="AS628" s="636"/>
    </row>
    <row r="629" spans="1:45" ht="17" thickBot="1" x14ac:dyDescent="0.25">
      <c r="A629" s="659" t="s">
        <v>768</v>
      </c>
      <c r="B629" s="631">
        <v>2750</v>
      </c>
      <c r="C629" s="631">
        <v>1000</v>
      </c>
      <c r="D629" s="651" t="str">
        <f t="shared" si="184"/>
        <v>UVX-M27501000</v>
      </c>
      <c r="E629" s="1054">
        <f t="shared" si="183"/>
        <v>1922.9746802999996</v>
      </c>
      <c r="F629" s="632">
        <v>23</v>
      </c>
      <c r="G629" s="633">
        <f>F629*CCBASE!$B$51</f>
        <v>828</v>
      </c>
      <c r="H629" s="633">
        <f>CCBASE!$I$11*B629/1000</f>
        <v>442.73064604999996</v>
      </c>
      <c r="I629" s="633"/>
      <c r="J629" s="633"/>
      <c r="K629" s="633"/>
      <c r="L629" s="632"/>
      <c r="M629" s="633">
        <f>CCBASE!$I$15*B629/1000</f>
        <v>219.57618375000001</v>
      </c>
      <c r="N629" s="633">
        <f>CCBASE!$I$7*B629/1000</f>
        <v>86.74127</v>
      </c>
      <c r="O629" s="633">
        <f>CCBASE!$I$45*B629/1000</f>
        <v>27.4175</v>
      </c>
      <c r="P629" s="633">
        <f>CCBASE!$I$9</f>
        <v>39.7111223</v>
      </c>
      <c r="Q629" s="633">
        <f>CCBASE!$I$51</f>
        <v>2.9</v>
      </c>
      <c r="R629" s="633">
        <f>CCBASE!$I$4</f>
        <v>8.3986041999999994</v>
      </c>
      <c r="S629" s="633">
        <f>CCBASE!$I$8</f>
        <v>16.25526</v>
      </c>
      <c r="T629" s="632"/>
      <c r="U629" s="638">
        <f>CCBASE!$I$47*2</f>
        <v>28.82</v>
      </c>
      <c r="V629" s="633"/>
      <c r="W629" s="633">
        <f>CCBASE!$I$40*B629/1000</f>
        <v>113.59711</v>
      </c>
      <c r="X629" s="633"/>
      <c r="Y629" s="633"/>
      <c r="Z629" s="633"/>
      <c r="AA629" s="633"/>
      <c r="AB629" s="633"/>
      <c r="AC629" s="633"/>
      <c r="AD629" s="652">
        <f>CCBASE!$I$32*2</f>
        <v>108.826984</v>
      </c>
      <c r="AI629" s="635"/>
      <c r="AJ629" s="635"/>
      <c r="AN629" s="636"/>
      <c r="AO629" s="636"/>
      <c r="AP629" s="636"/>
      <c r="AQ629" s="636"/>
      <c r="AR629" s="636"/>
      <c r="AS629" s="636"/>
    </row>
    <row r="630" spans="1:45" ht="17" thickBot="1" x14ac:dyDescent="0.25">
      <c r="A630" s="659" t="s">
        <v>768</v>
      </c>
      <c r="B630" s="631">
        <v>3000</v>
      </c>
      <c r="C630" s="631">
        <v>1000</v>
      </c>
      <c r="D630" s="651" t="str">
        <f t="shared" si="184"/>
        <v>UVX-M30001000</v>
      </c>
      <c r="E630" s="1054">
        <f t="shared" si="183"/>
        <v>2003.8894720999997</v>
      </c>
      <c r="F630" s="632">
        <v>23</v>
      </c>
      <c r="G630" s="633">
        <f>F630*CCBASE!$B$51</f>
        <v>828</v>
      </c>
      <c r="H630" s="633">
        <f>CCBASE!$I$11*B630/1000</f>
        <v>482.97888659999995</v>
      </c>
      <c r="I630" s="633"/>
      <c r="J630" s="633"/>
      <c r="K630" s="633"/>
      <c r="L630" s="632"/>
      <c r="M630" s="633">
        <f>CCBASE!$I$15*B630/1000</f>
        <v>239.53765500000003</v>
      </c>
      <c r="N630" s="633">
        <f>CCBASE!$I$7*B630/1000</f>
        <v>94.626840000000016</v>
      </c>
      <c r="O630" s="633">
        <f>CCBASE!$I$45*B630/1000</f>
        <v>29.910000000000004</v>
      </c>
      <c r="P630" s="633">
        <f>CCBASE!$I$9</f>
        <v>39.7111223</v>
      </c>
      <c r="Q630" s="633">
        <f>CCBASE!$I$51</f>
        <v>2.9</v>
      </c>
      <c r="R630" s="633">
        <f>CCBASE!$I$4</f>
        <v>8.3986041999999994</v>
      </c>
      <c r="S630" s="633">
        <f>CCBASE!$I$8</f>
        <v>16.25526</v>
      </c>
      <c r="T630" s="632"/>
      <c r="U630" s="638">
        <f>CCBASE!$I$47*2</f>
        <v>28.82</v>
      </c>
      <c r="V630" s="633"/>
      <c r="W630" s="633">
        <f>CCBASE!$I$40*B630/1000</f>
        <v>123.92412</v>
      </c>
      <c r="X630" s="633"/>
      <c r="Y630" s="633"/>
      <c r="Z630" s="633"/>
      <c r="AA630" s="633"/>
      <c r="AB630" s="633"/>
      <c r="AC630" s="633"/>
      <c r="AD630" s="652">
        <f>CCBASE!$I$32*2</f>
        <v>108.826984</v>
      </c>
      <c r="AI630" s="635"/>
      <c r="AJ630" s="635"/>
      <c r="AN630" s="636"/>
      <c r="AO630" s="636"/>
      <c r="AP630" s="636"/>
      <c r="AQ630" s="636"/>
      <c r="AR630" s="636"/>
      <c r="AS630" s="636"/>
    </row>
    <row r="631" spans="1:45" ht="17" thickBot="1" x14ac:dyDescent="0.25">
      <c r="A631" s="659" t="s">
        <v>768</v>
      </c>
      <c r="B631" s="631">
        <v>1000</v>
      </c>
      <c r="C631" s="631">
        <v>1250</v>
      </c>
      <c r="D631" s="651" t="str">
        <f t="shared" si="184"/>
        <v>UVX-M10001250</v>
      </c>
      <c r="E631" s="1054">
        <f t="shared" si="183"/>
        <v>1261.1119373999998</v>
      </c>
      <c r="F631" s="647">
        <v>21</v>
      </c>
      <c r="G631" s="633">
        <f>F631*CCBASE!$B$51</f>
        <v>756</v>
      </c>
      <c r="H631" s="633">
        <f>CCBASE!$I$11*B631/1000</f>
        <v>160.99296219999999</v>
      </c>
      <c r="I631" s="633"/>
      <c r="J631" s="633"/>
      <c r="K631" s="633"/>
      <c r="L631" s="632"/>
      <c r="M631" s="633">
        <f>CCBASE!$I$15*B631/1000</f>
        <v>79.84588500000001</v>
      </c>
      <c r="N631" s="633">
        <f>CCBASE!$I$7*B631/1000</f>
        <v>31.542280000000002</v>
      </c>
      <c r="O631" s="633">
        <f>CCBASE!$I$45*B631/1000</f>
        <v>9.9700000000000006</v>
      </c>
      <c r="P631" s="633">
        <f>CCBASE!$I$10</f>
        <v>30.661922000000001</v>
      </c>
      <c r="Q631" s="633">
        <f>CCBASE!$I$51</f>
        <v>2.9</v>
      </c>
      <c r="R631" s="633">
        <f>CCBASE!$I$4</f>
        <v>8.3986041999999994</v>
      </c>
      <c r="S631" s="633">
        <f>CCBASE!$I$8</f>
        <v>16.25526</v>
      </c>
      <c r="T631" s="632"/>
      <c r="U631" s="638">
        <f>CCBASE!$I$47</f>
        <v>14.41</v>
      </c>
      <c r="V631" s="633"/>
      <c r="W631" s="633">
        <f>CCBASE!$I$40*B631/1000</f>
        <v>41.308039999999998</v>
      </c>
      <c r="X631" s="633"/>
      <c r="Y631" s="633"/>
      <c r="Z631" s="633"/>
      <c r="AA631" s="633"/>
      <c r="AB631" s="633"/>
      <c r="AC631" s="633"/>
      <c r="AD631" s="652">
        <f>CCBASE!$I$32*2</f>
        <v>108.826984</v>
      </c>
      <c r="AI631" s="635"/>
      <c r="AJ631" s="635"/>
      <c r="AK631" s="636"/>
      <c r="AL631" s="636"/>
      <c r="AM631" s="636"/>
      <c r="AN631" s="636"/>
      <c r="AO631" s="636"/>
      <c r="AP631" s="636"/>
      <c r="AQ631" s="636"/>
      <c r="AR631" s="636"/>
      <c r="AS631" s="636"/>
    </row>
    <row r="632" spans="1:45" ht="17" thickBot="1" x14ac:dyDescent="0.25">
      <c r="A632" s="659" t="s">
        <v>768</v>
      </c>
      <c r="B632" s="631">
        <v>1250</v>
      </c>
      <c r="C632" s="631">
        <v>1250</v>
      </c>
      <c r="D632" s="651" t="str">
        <f t="shared" si="184"/>
        <v>UVX-M12501250</v>
      </c>
      <c r="E632" s="1054">
        <f t="shared" si="183"/>
        <v>1342.0267292000003</v>
      </c>
      <c r="F632" s="632">
        <v>21</v>
      </c>
      <c r="G632" s="633">
        <f>F632*CCBASE!$B$51</f>
        <v>756</v>
      </c>
      <c r="H632" s="633">
        <f>CCBASE!$I$11*B632/1000</f>
        <v>201.24120274999999</v>
      </c>
      <c r="I632" s="633"/>
      <c r="J632" s="633"/>
      <c r="K632" s="633"/>
      <c r="L632" s="632"/>
      <c r="M632" s="633">
        <f>CCBASE!$I$15*B632/1000</f>
        <v>99.807356250000012</v>
      </c>
      <c r="N632" s="633">
        <f>CCBASE!$I$7*B632/1000</f>
        <v>39.427849999999999</v>
      </c>
      <c r="O632" s="633">
        <f>CCBASE!$I$45*B632/1000</f>
        <v>12.4625</v>
      </c>
      <c r="P632" s="633">
        <f>CCBASE!$I$10</f>
        <v>30.661922000000001</v>
      </c>
      <c r="Q632" s="633">
        <f>CCBASE!$I$51</f>
        <v>2.9</v>
      </c>
      <c r="R632" s="633">
        <f>CCBASE!$I$4</f>
        <v>8.3986041999999994</v>
      </c>
      <c r="S632" s="633">
        <f>CCBASE!$I$8</f>
        <v>16.25526</v>
      </c>
      <c r="T632" s="632"/>
      <c r="U632" s="638">
        <f>CCBASE!$I$47</f>
        <v>14.41</v>
      </c>
      <c r="V632" s="633"/>
      <c r="W632" s="633">
        <f>CCBASE!$I$40*B632/1000</f>
        <v>51.635049999999993</v>
      </c>
      <c r="X632" s="633"/>
      <c r="Y632" s="633"/>
      <c r="Z632" s="633"/>
      <c r="AA632" s="633"/>
      <c r="AB632" s="633"/>
      <c r="AC632" s="633"/>
      <c r="AD632" s="652">
        <f>CCBASE!$I$32*2</f>
        <v>108.826984</v>
      </c>
      <c r="AI632" s="635"/>
      <c r="AJ632" s="635"/>
      <c r="AK632" s="636"/>
      <c r="AL632" s="636"/>
      <c r="AM632" s="636"/>
      <c r="AN632" s="636"/>
      <c r="AO632" s="636"/>
      <c r="AP632" s="636"/>
      <c r="AQ632" s="636"/>
      <c r="AR632" s="636"/>
      <c r="AS632" s="636"/>
    </row>
    <row r="633" spans="1:45" ht="17" thickBot="1" x14ac:dyDescent="0.25">
      <c r="A633" s="659" t="s">
        <v>768</v>
      </c>
      <c r="B633" s="631">
        <v>1500</v>
      </c>
      <c r="C633" s="631">
        <v>1250</v>
      </c>
      <c r="D633" s="651" t="str">
        <f t="shared" si="184"/>
        <v>UVX-M15001250</v>
      </c>
      <c r="E633" s="1054">
        <f t="shared" si="183"/>
        <v>1422.941521</v>
      </c>
      <c r="F633" s="632">
        <v>21</v>
      </c>
      <c r="G633" s="633">
        <f>F633*CCBASE!$B$51</f>
        <v>756</v>
      </c>
      <c r="H633" s="633">
        <f>CCBASE!$I$11*B633/1000</f>
        <v>241.48944329999998</v>
      </c>
      <c r="I633" s="633"/>
      <c r="J633" s="633"/>
      <c r="K633" s="633"/>
      <c r="L633" s="632"/>
      <c r="M633" s="633">
        <f>CCBASE!$I$15*B633/1000</f>
        <v>119.76882750000001</v>
      </c>
      <c r="N633" s="633">
        <f>CCBASE!$I$7*B633/1000</f>
        <v>47.313420000000008</v>
      </c>
      <c r="O633" s="633">
        <f>CCBASE!$I$45*B633/1000</f>
        <v>14.955000000000002</v>
      </c>
      <c r="P633" s="633">
        <f>CCBASE!$I$10</f>
        <v>30.661922000000001</v>
      </c>
      <c r="Q633" s="633">
        <f>CCBASE!$I$51</f>
        <v>2.9</v>
      </c>
      <c r="R633" s="633">
        <f>CCBASE!$I$4</f>
        <v>8.3986041999999994</v>
      </c>
      <c r="S633" s="633">
        <f>CCBASE!$I$8</f>
        <v>16.25526</v>
      </c>
      <c r="T633" s="632"/>
      <c r="U633" s="638">
        <f>CCBASE!$I$47</f>
        <v>14.41</v>
      </c>
      <c r="V633" s="633"/>
      <c r="W633" s="633">
        <f>CCBASE!$I$40*B633/1000</f>
        <v>61.962060000000001</v>
      </c>
      <c r="X633" s="633"/>
      <c r="Y633" s="633"/>
      <c r="Z633" s="633"/>
      <c r="AA633" s="633"/>
      <c r="AB633" s="633"/>
      <c r="AC633" s="633"/>
      <c r="AD633" s="652">
        <f>CCBASE!$I$32*2</f>
        <v>108.826984</v>
      </c>
      <c r="AI633" s="635"/>
      <c r="AJ633" s="635"/>
      <c r="AK633" s="636"/>
      <c r="AL633" s="636"/>
      <c r="AM633" s="636"/>
      <c r="AN633" s="636"/>
      <c r="AO633" s="636"/>
      <c r="AP633" s="636"/>
      <c r="AQ633" s="636"/>
      <c r="AR633" s="636"/>
      <c r="AS633" s="636"/>
    </row>
    <row r="634" spans="1:45" ht="17" thickBot="1" x14ac:dyDescent="0.25">
      <c r="A634" s="659" t="s">
        <v>768</v>
      </c>
      <c r="B634" s="631">
        <v>1750</v>
      </c>
      <c r="C634" s="631">
        <v>1250</v>
      </c>
      <c r="D634" s="651" t="str">
        <f t="shared" si="184"/>
        <v>UVX-M17501250</v>
      </c>
      <c r="E634" s="1054">
        <f t="shared" si="183"/>
        <v>1503.8563128000001</v>
      </c>
      <c r="F634" s="632">
        <v>21</v>
      </c>
      <c r="G634" s="633">
        <f>F634*CCBASE!$B$51</f>
        <v>756</v>
      </c>
      <c r="H634" s="633">
        <f>CCBASE!$I$11*B634/1000</f>
        <v>281.73768385</v>
      </c>
      <c r="I634" s="633"/>
      <c r="J634" s="633"/>
      <c r="K634" s="633"/>
      <c r="L634" s="632"/>
      <c r="M634" s="633">
        <f>CCBASE!$I$15*B634/1000</f>
        <v>139.73029875</v>
      </c>
      <c r="N634" s="633">
        <f>CCBASE!$I$7*B634/1000</f>
        <v>55.198990000000002</v>
      </c>
      <c r="O634" s="633">
        <f>CCBASE!$I$45*B634/1000</f>
        <v>17.447500000000002</v>
      </c>
      <c r="P634" s="633">
        <f>CCBASE!$I$10</f>
        <v>30.661922000000001</v>
      </c>
      <c r="Q634" s="633">
        <f>CCBASE!$I$51</f>
        <v>2.9</v>
      </c>
      <c r="R634" s="633">
        <f>CCBASE!$I$4</f>
        <v>8.3986041999999994</v>
      </c>
      <c r="S634" s="633">
        <f>CCBASE!$I$8</f>
        <v>16.25526</v>
      </c>
      <c r="T634" s="632"/>
      <c r="U634" s="638">
        <f>CCBASE!$I$47</f>
        <v>14.41</v>
      </c>
      <c r="V634" s="633"/>
      <c r="W634" s="633">
        <f>CCBASE!$I$40*B634/1000</f>
        <v>72.289069999999995</v>
      </c>
      <c r="X634" s="633"/>
      <c r="Y634" s="633"/>
      <c r="Z634" s="633"/>
      <c r="AA634" s="633"/>
      <c r="AB634" s="633"/>
      <c r="AC634" s="633"/>
      <c r="AD634" s="652">
        <f>CCBASE!$I$32*2</f>
        <v>108.826984</v>
      </c>
      <c r="AI634" s="635"/>
      <c r="AJ634" s="635"/>
      <c r="AK634" s="636"/>
      <c r="AL634" s="636"/>
      <c r="AM634" s="636"/>
      <c r="AN634" s="636"/>
      <c r="AO634" s="636"/>
      <c r="AP634" s="636"/>
      <c r="AQ634" s="636"/>
      <c r="AR634" s="636"/>
      <c r="AS634" s="636"/>
    </row>
    <row r="635" spans="1:45" ht="17" thickBot="1" x14ac:dyDescent="0.25">
      <c r="A635" s="659" t="s">
        <v>768</v>
      </c>
      <c r="B635" s="631">
        <v>2000</v>
      </c>
      <c r="C635" s="631">
        <v>1250</v>
      </c>
      <c r="D635" s="651" t="str">
        <f t="shared" si="184"/>
        <v>UVX-M20001250</v>
      </c>
      <c r="E635" s="1054">
        <f t="shared" si="183"/>
        <v>1593.8203048999999</v>
      </c>
      <c r="F635" s="632">
        <v>21</v>
      </c>
      <c r="G635" s="633">
        <f>F635*CCBASE!$B$51</f>
        <v>756</v>
      </c>
      <c r="H635" s="633">
        <f>CCBASE!$I$11*B635/1000</f>
        <v>321.98592439999999</v>
      </c>
      <c r="I635" s="633"/>
      <c r="J635" s="633"/>
      <c r="K635" s="633"/>
      <c r="L635" s="632"/>
      <c r="M635" s="633">
        <f>CCBASE!$I$15*B635/1000</f>
        <v>159.69177000000002</v>
      </c>
      <c r="N635" s="633">
        <f>CCBASE!$I$7*B635/1000</f>
        <v>63.084560000000003</v>
      </c>
      <c r="O635" s="633">
        <f>CCBASE!$I$45*B635/1000</f>
        <v>19.940000000000001</v>
      </c>
      <c r="P635" s="633">
        <f>CCBASE!$I$9</f>
        <v>39.7111223</v>
      </c>
      <c r="Q635" s="633">
        <f>CCBASE!$I$51</f>
        <v>2.9</v>
      </c>
      <c r="R635" s="633">
        <f>CCBASE!$I$4</f>
        <v>8.3986041999999994</v>
      </c>
      <c r="S635" s="633">
        <f>CCBASE!$I$8</f>
        <v>16.25526</v>
      </c>
      <c r="T635" s="632"/>
      <c r="U635" s="638">
        <f>CCBASE!$I$47</f>
        <v>14.41</v>
      </c>
      <c r="V635" s="633"/>
      <c r="W635" s="633">
        <f>CCBASE!$I$40*B635/1000</f>
        <v>82.616079999999997</v>
      </c>
      <c r="X635" s="633"/>
      <c r="Y635" s="633"/>
      <c r="Z635" s="633"/>
      <c r="AA635" s="633"/>
      <c r="AB635" s="633"/>
      <c r="AC635" s="633"/>
      <c r="AD635" s="652">
        <f>CCBASE!$I$32*2</f>
        <v>108.826984</v>
      </c>
      <c r="AI635" s="635"/>
      <c r="AJ635" s="635"/>
      <c r="AN635" s="636"/>
      <c r="AO635" s="636"/>
      <c r="AP635" s="636"/>
      <c r="AQ635" s="636"/>
      <c r="AR635" s="636"/>
      <c r="AS635" s="636"/>
    </row>
    <row r="636" spans="1:45" ht="17" thickBot="1" x14ac:dyDescent="0.25">
      <c r="A636" s="659" t="s">
        <v>768</v>
      </c>
      <c r="B636" s="631">
        <v>2250</v>
      </c>
      <c r="C636" s="631">
        <v>1250</v>
      </c>
      <c r="D636" s="651" t="str">
        <f t="shared" si="184"/>
        <v>UVX-M22501250</v>
      </c>
      <c r="E636" s="1054">
        <f t="shared" si="183"/>
        <v>1725.1450966999996</v>
      </c>
      <c r="F636" s="632">
        <v>22</v>
      </c>
      <c r="G636" s="633">
        <f>F636*CCBASE!$B$51</f>
        <v>792</v>
      </c>
      <c r="H636" s="633">
        <f>CCBASE!$I$11*B636/1000</f>
        <v>362.23416494999998</v>
      </c>
      <c r="I636" s="633"/>
      <c r="J636" s="633"/>
      <c r="K636" s="633"/>
      <c r="L636" s="632"/>
      <c r="M636" s="633">
        <f>CCBASE!$I$15*B636/1000</f>
        <v>179.65324125000001</v>
      </c>
      <c r="N636" s="633">
        <f>CCBASE!$I$7*B636/1000</f>
        <v>70.970130000000012</v>
      </c>
      <c r="O636" s="633">
        <f>CCBASE!$I$45*B636/1000</f>
        <v>22.432500000000001</v>
      </c>
      <c r="P636" s="633">
        <f>CCBASE!$I$9</f>
        <v>39.7111223</v>
      </c>
      <c r="Q636" s="633">
        <f>CCBASE!$I$51</f>
        <v>2.9</v>
      </c>
      <c r="R636" s="633">
        <f>CCBASE!$I$4</f>
        <v>8.3986041999999994</v>
      </c>
      <c r="S636" s="633">
        <f>CCBASE!$I$8</f>
        <v>16.25526</v>
      </c>
      <c r="T636" s="632"/>
      <c r="U636" s="638">
        <f>CCBASE!$I$47*2</f>
        <v>28.82</v>
      </c>
      <c r="V636" s="633"/>
      <c r="W636" s="633">
        <f>CCBASE!$I$40*B636/1000</f>
        <v>92.943089999999998</v>
      </c>
      <c r="X636" s="633"/>
      <c r="Y636" s="633"/>
      <c r="Z636" s="633"/>
      <c r="AA636" s="633"/>
      <c r="AB636" s="633"/>
      <c r="AC636" s="633"/>
      <c r="AD636" s="652">
        <f>CCBASE!$I$32*2</f>
        <v>108.826984</v>
      </c>
      <c r="AI636" s="635"/>
      <c r="AJ636" s="635"/>
      <c r="AN636" s="636"/>
      <c r="AO636" s="636"/>
      <c r="AP636" s="636"/>
      <c r="AQ636" s="636"/>
      <c r="AR636" s="636"/>
      <c r="AS636" s="636"/>
    </row>
    <row r="637" spans="1:45" ht="17" thickBot="1" x14ac:dyDescent="0.25">
      <c r="A637" s="659" t="s">
        <v>768</v>
      </c>
      <c r="B637" s="631">
        <v>2500</v>
      </c>
      <c r="C637" s="631">
        <v>1250</v>
      </c>
      <c r="D637" s="651" t="str">
        <f t="shared" si="184"/>
        <v>UVX-M25001250</v>
      </c>
      <c r="E637" s="1054">
        <f t="shared" si="183"/>
        <v>1806.0598884999997</v>
      </c>
      <c r="F637" s="632">
        <v>22</v>
      </c>
      <c r="G637" s="633">
        <f>F637*CCBASE!$B$51</f>
        <v>792</v>
      </c>
      <c r="H637" s="633">
        <f>CCBASE!$I$11*B637/1000</f>
        <v>402.48240549999997</v>
      </c>
      <c r="I637" s="633"/>
      <c r="J637" s="633"/>
      <c r="K637" s="633"/>
      <c r="L637" s="632"/>
      <c r="M637" s="633">
        <f>CCBASE!$I$15*B637/1000</f>
        <v>199.61471250000002</v>
      </c>
      <c r="N637" s="633">
        <f>CCBASE!$I$7*B637/1000</f>
        <v>78.855699999999999</v>
      </c>
      <c r="O637" s="633">
        <f>CCBASE!$I$45*B637/1000</f>
        <v>24.925000000000001</v>
      </c>
      <c r="P637" s="633">
        <f>CCBASE!$I$9</f>
        <v>39.7111223</v>
      </c>
      <c r="Q637" s="633">
        <f>CCBASE!$I$51</f>
        <v>2.9</v>
      </c>
      <c r="R637" s="633">
        <f>CCBASE!$I$4</f>
        <v>8.3986041999999994</v>
      </c>
      <c r="S637" s="633">
        <f>CCBASE!$I$8</f>
        <v>16.25526</v>
      </c>
      <c r="T637" s="632"/>
      <c r="U637" s="638">
        <f>CCBASE!$I$47*2</f>
        <v>28.82</v>
      </c>
      <c r="V637" s="633"/>
      <c r="W637" s="633">
        <f>CCBASE!$I$40*B637/1000</f>
        <v>103.27009999999999</v>
      </c>
      <c r="X637" s="633"/>
      <c r="Y637" s="633"/>
      <c r="Z637" s="633"/>
      <c r="AA637" s="633"/>
      <c r="AB637" s="633"/>
      <c r="AC637" s="633"/>
      <c r="AD637" s="652">
        <f>CCBASE!$I$32*2</f>
        <v>108.826984</v>
      </c>
      <c r="AI637" s="635"/>
      <c r="AJ637" s="635"/>
      <c r="AN637" s="636"/>
      <c r="AO637" s="636"/>
      <c r="AP637" s="636"/>
      <c r="AQ637" s="636"/>
      <c r="AR637" s="636"/>
      <c r="AS637" s="636"/>
    </row>
    <row r="638" spans="1:45" ht="17" thickBot="1" x14ac:dyDescent="0.25">
      <c r="A638" s="659" t="s">
        <v>768</v>
      </c>
      <c r="B638" s="631">
        <v>2750</v>
      </c>
      <c r="C638" s="631">
        <v>1250</v>
      </c>
      <c r="D638" s="651" t="str">
        <f t="shared" si="184"/>
        <v>UVX-M27501250</v>
      </c>
      <c r="E638" s="1054">
        <f t="shared" si="183"/>
        <v>1922.9746802999996</v>
      </c>
      <c r="F638" s="632">
        <v>23</v>
      </c>
      <c r="G638" s="633">
        <f>F638*CCBASE!$B$51</f>
        <v>828</v>
      </c>
      <c r="H638" s="633">
        <f>CCBASE!$I$11*B638/1000</f>
        <v>442.73064604999996</v>
      </c>
      <c r="I638" s="633"/>
      <c r="J638" s="633"/>
      <c r="K638" s="633"/>
      <c r="L638" s="632"/>
      <c r="M638" s="633">
        <f>CCBASE!$I$15*B638/1000</f>
        <v>219.57618375000001</v>
      </c>
      <c r="N638" s="633">
        <f>CCBASE!$I$7*B638/1000</f>
        <v>86.74127</v>
      </c>
      <c r="O638" s="633">
        <f>CCBASE!$I$45*B638/1000</f>
        <v>27.4175</v>
      </c>
      <c r="P638" s="633">
        <f>CCBASE!$I$9</f>
        <v>39.7111223</v>
      </c>
      <c r="Q638" s="633">
        <f>CCBASE!$I$51</f>
        <v>2.9</v>
      </c>
      <c r="R638" s="633">
        <f>CCBASE!$I$4</f>
        <v>8.3986041999999994</v>
      </c>
      <c r="S638" s="633">
        <f>CCBASE!$I$8</f>
        <v>16.25526</v>
      </c>
      <c r="T638" s="632"/>
      <c r="U638" s="638">
        <f>CCBASE!$I$47*2</f>
        <v>28.82</v>
      </c>
      <c r="V638" s="633"/>
      <c r="W638" s="633">
        <f>CCBASE!$I$40*B638/1000</f>
        <v>113.59711</v>
      </c>
      <c r="X638" s="633"/>
      <c r="Y638" s="633"/>
      <c r="Z638" s="633"/>
      <c r="AA638" s="633"/>
      <c r="AB638" s="633"/>
      <c r="AC638" s="633"/>
      <c r="AD638" s="652">
        <f>CCBASE!$I$32*2</f>
        <v>108.826984</v>
      </c>
      <c r="AI638" s="635"/>
      <c r="AJ638" s="635"/>
      <c r="AN638" s="636"/>
      <c r="AO638" s="636"/>
      <c r="AP638" s="636"/>
      <c r="AQ638" s="636"/>
      <c r="AR638" s="636"/>
      <c r="AS638" s="636"/>
    </row>
    <row r="639" spans="1:45" ht="17" thickBot="1" x14ac:dyDescent="0.25">
      <c r="A639" s="659" t="s">
        <v>768</v>
      </c>
      <c r="B639" s="631">
        <v>3000</v>
      </c>
      <c r="C639" s="631">
        <v>1250</v>
      </c>
      <c r="D639" s="651" t="str">
        <f t="shared" si="184"/>
        <v>UVX-M30001250</v>
      </c>
      <c r="E639" s="1054">
        <f t="shared" si="183"/>
        <v>2003.8894720999997</v>
      </c>
      <c r="F639" s="632">
        <v>23</v>
      </c>
      <c r="G639" s="633">
        <f>F639*CCBASE!$B$51</f>
        <v>828</v>
      </c>
      <c r="H639" s="633">
        <f>CCBASE!$I$11*B639/1000</f>
        <v>482.97888659999995</v>
      </c>
      <c r="I639" s="633"/>
      <c r="J639" s="633"/>
      <c r="K639" s="633"/>
      <c r="L639" s="632"/>
      <c r="M639" s="633">
        <f>CCBASE!$I$15*B639/1000</f>
        <v>239.53765500000003</v>
      </c>
      <c r="N639" s="633">
        <f>CCBASE!$I$7*B639/1000</f>
        <v>94.626840000000016</v>
      </c>
      <c r="O639" s="633">
        <f>CCBASE!$I$45*B639/1000</f>
        <v>29.910000000000004</v>
      </c>
      <c r="P639" s="633">
        <f>CCBASE!$I$9</f>
        <v>39.7111223</v>
      </c>
      <c r="Q639" s="633">
        <f>CCBASE!$I$51</f>
        <v>2.9</v>
      </c>
      <c r="R639" s="633">
        <f>CCBASE!$I$4</f>
        <v>8.3986041999999994</v>
      </c>
      <c r="S639" s="633">
        <f>CCBASE!$I$8</f>
        <v>16.25526</v>
      </c>
      <c r="T639" s="632"/>
      <c r="U639" s="638">
        <f>CCBASE!$I$47*2</f>
        <v>28.82</v>
      </c>
      <c r="V639" s="633"/>
      <c r="W639" s="633">
        <f>CCBASE!$I$40*B639/1000</f>
        <v>123.92412</v>
      </c>
      <c r="X639" s="633"/>
      <c r="Y639" s="633"/>
      <c r="Z639" s="633"/>
      <c r="AA639" s="633"/>
      <c r="AB639" s="633"/>
      <c r="AC639" s="633"/>
      <c r="AD639" s="652">
        <f>CCBASE!$I$32*2</f>
        <v>108.826984</v>
      </c>
      <c r="AI639" s="635"/>
      <c r="AJ639" s="635"/>
      <c r="AN639" s="636"/>
      <c r="AO639" s="636"/>
      <c r="AP639" s="636"/>
      <c r="AQ639" s="636"/>
      <c r="AR639" s="636"/>
      <c r="AS639" s="636"/>
    </row>
    <row r="640" spans="1:45" ht="17" thickBot="1" x14ac:dyDescent="0.25">
      <c r="A640" s="659" t="s">
        <v>768</v>
      </c>
      <c r="B640" s="631">
        <v>1000</v>
      </c>
      <c r="C640" s="631">
        <v>1500</v>
      </c>
      <c r="D640" s="651" t="str">
        <f t="shared" si="184"/>
        <v>UVX-M10001500</v>
      </c>
      <c r="E640" s="1054">
        <f t="shared" si="183"/>
        <v>1306.0622134</v>
      </c>
      <c r="F640" s="647">
        <v>21</v>
      </c>
      <c r="G640" s="633">
        <f>F640*CCBASE!$B$51</f>
        <v>756</v>
      </c>
      <c r="H640" s="633">
        <f>CCBASE!$I$11*B640/1000</f>
        <v>160.99296219999999</v>
      </c>
      <c r="I640" s="633"/>
      <c r="J640" s="633"/>
      <c r="K640" s="633"/>
      <c r="L640" s="632"/>
      <c r="M640" s="633">
        <f>CCBASE!$I$15*B640/1000</f>
        <v>79.84588500000001</v>
      </c>
      <c r="N640" s="633">
        <f>CCBASE!$I$7*B640/1000</f>
        <v>31.542280000000002</v>
      </c>
      <c r="O640" s="633">
        <f>CCBASE!$I$45*B640/1000</f>
        <v>9.9700000000000006</v>
      </c>
      <c r="P640" s="633">
        <f>CCBASE!$I$10</f>
        <v>30.661922000000001</v>
      </c>
      <c r="Q640" s="633">
        <f>CCBASE!$I$51</f>
        <v>2.9</v>
      </c>
      <c r="R640" s="633">
        <f>CCBASE!$I$4</f>
        <v>8.3986041999999994</v>
      </c>
      <c r="S640" s="633">
        <f>CCBASE!$I$8</f>
        <v>16.25526</v>
      </c>
      <c r="T640" s="632"/>
      <c r="U640" s="638">
        <f>CCBASE!$I$47</f>
        <v>14.41</v>
      </c>
      <c r="V640" s="633"/>
      <c r="W640" s="633">
        <f>CCBASE!$I$41*B640/1000</f>
        <v>59.051569999999998</v>
      </c>
      <c r="X640" s="633"/>
      <c r="Y640" s="633"/>
      <c r="Z640" s="633"/>
      <c r="AA640" s="633"/>
      <c r="AB640" s="633"/>
      <c r="AC640" s="633"/>
      <c r="AD640" s="652">
        <f>CCBASE!$I$33*2</f>
        <v>136.03372999999999</v>
      </c>
      <c r="AI640" s="635"/>
      <c r="AJ640" s="635"/>
      <c r="AN640" s="636"/>
      <c r="AO640" s="636"/>
      <c r="AP640" s="636"/>
      <c r="AQ640" s="636"/>
      <c r="AR640" s="636"/>
      <c r="AS640" s="636"/>
    </row>
    <row r="641" spans="1:45" ht="17" thickBot="1" x14ac:dyDescent="0.25">
      <c r="A641" s="659" t="s">
        <v>768</v>
      </c>
      <c r="B641" s="631">
        <v>1250</v>
      </c>
      <c r="C641" s="631">
        <v>1500</v>
      </c>
      <c r="D641" s="651" t="str">
        <f t="shared" si="184"/>
        <v>UVX-M12501500</v>
      </c>
      <c r="E641" s="1054">
        <f t="shared" si="183"/>
        <v>1391.4128877000003</v>
      </c>
      <c r="F641" s="632">
        <v>21</v>
      </c>
      <c r="G641" s="633">
        <f>F641*CCBASE!$B$51</f>
        <v>756</v>
      </c>
      <c r="H641" s="633">
        <f>CCBASE!$I$11*B641/1000</f>
        <v>201.24120274999999</v>
      </c>
      <c r="I641" s="633"/>
      <c r="J641" s="633"/>
      <c r="K641" s="633"/>
      <c r="L641" s="632"/>
      <c r="M641" s="633">
        <f>CCBASE!$I$15*B641/1000</f>
        <v>99.807356250000012</v>
      </c>
      <c r="N641" s="633">
        <f>CCBASE!$I$7*B641/1000</f>
        <v>39.427849999999999</v>
      </c>
      <c r="O641" s="633">
        <f>CCBASE!$I$45*B641/1000</f>
        <v>12.4625</v>
      </c>
      <c r="P641" s="633">
        <f>CCBASE!$I$10</f>
        <v>30.661922000000001</v>
      </c>
      <c r="Q641" s="633">
        <f>CCBASE!$I$51</f>
        <v>2.9</v>
      </c>
      <c r="R641" s="633">
        <f>CCBASE!$I$4</f>
        <v>8.3986041999999994</v>
      </c>
      <c r="S641" s="633">
        <f>CCBASE!$I$8</f>
        <v>16.25526</v>
      </c>
      <c r="T641" s="632"/>
      <c r="U641" s="638">
        <f>CCBASE!$I$47</f>
        <v>14.41</v>
      </c>
      <c r="V641" s="633"/>
      <c r="W641" s="633">
        <f>CCBASE!$I$41*B641/1000</f>
        <v>73.814462499999991</v>
      </c>
      <c r="X641" s="633"/>
      <c r="Y641" s="633"/>
      <c r="Z641" s="633"/>
      <c r="AA641" s="633"/>
      <c r="AB641" s="633"/>
      <c r="AC641" s="633"/>
      <c r="AD641" s="652">
        <f>CCBASE!$I$33*2</f>
        <v>136.03372999999999</v>
      </c>
      <c r="AI641" s="635"/>
      <c r="AJ641" s="635"/>
      <c r="AK641" s="636"/>
      <c r="AL641" s="636"/>
      <c r="AM641" s="636"/>
      <c r="AN641" s="636"/>
      <c r="AO641" s="636"/>
      <c r="AP641" s="636"/>
      <c r="AQ641" s="636"/>
      <c r="AR641" s="636"/>
      <c r="AS641" s="636"/>
    </row>
    <row r="642" spans="1:45" ht="17" thickBot="1" x14ac:dyDescent="0.25">
      <c r="A642" s="659" t="s">
        <v>768</v>
      </c>
      <c r="B642" s="631">
        <v>1500</v>
      </c>
      <c r="C642" s="631">
        <v>1500</v>
      </c>
      <c r="D642" s="651" t="str">
        <f t="shared" si="184"/>
        <v>UVX-M15001500</v>
      </c>
      <c r="E642" s="1054">
        <f t="shared" si="183"/>
        <v>1476.7635619999996</v>
      </c>
      <c r="F642" s="632">
        <v>21</v>
      </c>
      <c r="G642" s="633">
        <f>F642*CCBASE!$B$51</f>
        <v>756</v>
      </c>
      <c r="H642" s="633">
        <f>CCBASE!$I$11*B642/1000</f>
        <v>241.48944329999998</v>
      </c>
      <c r="I642" s="633"/>
      <c r="J642" s="633"/>
      <c r="K642" s="633"/>
      <c r="L642" s="632"/>
      <c r="M642" s="633">
        <f>CCBASE!$I$15*B642/1000</f>
        <v>119.76882750000001</v>
      </c>
      <c r="N642" s="633">
        <f>CCBASE!$I$7*B642/1000</f>
        <v>47.313420000000008</v>
      </c>
      <c r="O642" s="633">
        <f>CCBASE!$I$45*B642/1000</f>
        <v>14.955000000000002</v>
      </c>
      <c r="P642" s="633">
        <f>CCBASE!$I$10</f>
        <v>30.661922000000001</v>
      </c>
      <c r="Q642" s="633">
        <f>CCBASE!$I$51</f>
        <v>2.9</v>
      </c>
      <c r="R642" s="633">
        <f>CCBASE!$I$4</f>
        <v>8.3986041999999994</v>
      </c>
      <c r="S642" s="633">
        <f>CCBASE!$I$8</f>
        <v>16.25526</v>
      </c>
      <c r="T642" s="632"/>
      <c r="U642" s="638">
        <f>CCBASE!$I$47</f>
        <v>14.41</v>
      </c>
      <c r="V642" s="633"/>
      <c r="W642" s="633">
        <f>CCBASE!$I$41*B642/1000</f>
        <v>88.577354999999997</v>
      </c>
      <c r="X642" s="633"/>
      <c r="Y642" s="633"/>
      <c r="Z642" s="633"/>
      <c r="AA642" s="633"/>
      <c r="AB642" s="633"/>
      <c r="AC642" s="633"/>
      <c r="AD642" s="652">
        <f>CCBASE!$I$33*2</f>
        <v>136.03372999999999</v>
      </c>
      <c r="AI642" s="635"/>
      <c r="AJ642" s="635"/>
      <c r="AK642" s="636"/>
      <c r="AL642" s="636"/>
      <c r="AM642" s="636"/>
      <c r="AN642" s="636"/>
      <c r="AO642" s="636"/>
      <c r="AP642" s="636"/>
      <c r="AQ642" s="636"/>
      <c r="AR642" s="636"/>
      <c r="AS642" s="636"/>
    </row>
    <row r="643" spans="1:45" ht="17" thickBot="1" x14ac:dyDescent="0.25">
      <c r="A643" s="659" t="s">
        <v>768</v>
      </c>
      <c r="B643" s="631">
        <v>1750</v>
      </c>
      <c r="C643" s="631">
        <v>1500</v>
      </c>
      <c r="D643" s="651" t="str">
        <f t="shared" si="184"/>
        <v>UVX-M17501500</v>
      </c>
      <c r="E643" s="1054">
        <f t="shared" si="183"/>
        <v>1562.1142362999999</v>
      </c>
      <c r="F643" s="632">
        <v>21</v>
      </c>
      <c r="G643" s="633">
        <f>F643*CCBASE!$B$51</f>
        <v>756</v>
      </c>
      <c r="H643" s="633">
        <f>CCBASE!$I$11*B643/1000</f>
        <v>281.73768385</v>
      </c>
      <c r="I643" s="633"/>
      <c r="J643" s="633"/>
      <c r="K643" s="633"/>
      <c r="L643" s="632"/>
      <c r="M643" s="633">
        <f>CCBASE!$I$15*B643/1000</f>
        <v>139.73029875</v>
      </c>
      <c r="N643" s="633">
        <f>CCBASE!$I$7*B643/1000</f>
        <v>55.198990000000002</v>
      </c>
      <c r="O643" s="633">
        <f>CCBASE!$I$45*B643/1000</f>
        <v>17.447500000000002</v>
      </c>
      <c r="P643" s="633">
        <f>CCBASE!$I$10</f>
        <v>30.661922000000001</v>
      </c>
      <c r="Q643" s="633">
        <f>CCBASE!$I$51</f>
        <v>2.9</v>
      </c>
      <c r="R643" s="633">
        <f>CCBASE!$I$4</f>
        <v>8.3986041999999994</v>
      </c>
      <c r="S643" s="633">
        <f>CCBASE!$I$8</f>
        <v>16.25526</v>
      </c>
      <c r="T643" s="632"/>
      <c r="U643" s="638">
        <f>CCBASE!$I$47</f>
        <v>14.41</v>
      </c>
      <c r="V643" s="633"/>
      <c r="W643" s="633">
        <f>CCBASE!$I$41*B643/1000</f>
        <v>103.3402475</v>
      </c>
      <c r="X643" s="633"/>
      <c r="Y643" s="633"/>
      <c r="Z643" s="633"/>
      <c r="AA643" s="633"/>
      <c r="AB643" s="633"/>
      <c r="AC643" s="633"/>
      <c r="AD643" s="652">
        <f>CCBASE!$I$33*2</f>
        <v>136.03372999999999</v>
      </c>
      <c r="AI643" s="635"/>
      <c r="AJ643" s="635"/>
      <c r="AK643" s="636"/>
      <c r="AL643" s="636"/>
      <c r="AM643" s="636"/>
      <c r="AN643" s="636"/>
      <c r="AO643" s="636"/>
      <c r="AP643" s="636"/>
      <c r="AQ643" s="636"/>
      <c r="AR643" s="636"/>
      <c r="AS643" s="636"/>
    </row>
    <row r="644" spans="1:45" ht="17" thickBot="1" x14ac:dyDescent="0.25">
      <c r="A644" s="659" t="s">
        <v>768</v>
      </c>
      <c r="B644" s="631">
        <v>2000</v>
      </c>
      <c r="C644" s="631">
        <v>1500</v>
      </c>
      <c r="D644" s="651" t="str">
        <f t="shared" si="184"/>
        <v>UVX-M20001500</v>
      </c>
      <c r="E644" s="1054">
        <f t="shared" si="183"/>
        <v>1656.5141108999997</v>
      </c>
      <c r="F644" s="632">
        <v>21</v>
      </c>
      <c r="G644" s="633">
        <f>F644*CCBASE!$B$51</f>
        <v>756</v>
      </c>
      <c r="H644" s="633">
        <f>CCBASE!$I$11*B644/1000</f>
        <v>321.98592439999999</v>
      </c>
      <c r="I644" s="633"/>
      <c r="J644" s="633"/>
      <c r="K644" s="633"/>
      <c r="L644" s="632"/>
      <c r="M644" s="633">
        <f>CCBASE!$I$15*B644/1000</f>
        <v>159.69177000000002</v>
      </c>
      <c r="N644" s="633">
        <f>CCBASE!$I$7*B644/1000</f>
        <v>63.084560000000003</v>
      </c>
      <c r="O644" s="633">
        <f>CCBASE!$I$45*B644/1000</f>
        <v>19.940000000000001</v>
      </c>
      <c r="P644" s="633">
        <f>CCBASE!$I$9</f>
        <v>39.7111223</v>
      </c>
      <c r="Q644" s="633">
        <f>CCBASE!$I$51</f>
        <v>2.9</v>
      </c>
      <c r="R644" s="633">
        <f>CCBASE!$I$4</f>
        <v>8.3986041999999994</v>
      </c>
      <c r="S644" s="633">
        <f>CCBASE!$I$8</f>
        <v>16.25526</v>
      </c>
      <c r="T644" s="632"/>
      <c r="U644" s="638">
        <f>CCBASE!$I$47</f>
        <v>14.41</v>
      </c>
      <c r="V644" s="633"/>
      <c r="W644" s="633">
        <f>CCBASE!$I$41*B644/1000</f>
        <v>118.10314</v>
      </c>
      <c r="X644" s="633"/>
      <c r="Y644" s="633"/>
      <c r="Z644" s="633"/>
      <c r="AA644" s="633"/>
      <c r="AB644" s="633"/>
      <c r="AC644" s="633"/>
      <c r="AD644" s="652">
        <f>CCBASE!$I$33*2</f>
        <v>136.03372999999999</v>
      </c>
      <c r="AI644" s="635"/>
      <c r="AJ644" s="635"/>
      <c r="AK644" s="636"/>
      <c r="AL644" s="636"/>
      <c r="AM644" s="636"/>
      <c r="AN644" s="636"/>
      <c r="AO644" s="636"/>
      <c r="AP644" s="636"/>
      <c r="AQ644" s="636"/>
      <c r="AR644" s="636"/>
      <c r="AS644" s="636"/>
    </row>
    <row r="645" spans="1:45" ht="17" thickBot="1" x14ac:dyDescent="0.25">
      <c r="A645" s="659" t="s">
        <v>768</v>
      </c>
      <c r="B645" s="631">
        <v>2250</v>
      </c>
      <c r="C645" s="631">
        <v>1500</v>
      </c>
      <c r="D645" s="651" t="str">
        <f t="shared" si="184"/>
        <v>UVX-M22501500</v>
      </c>
      <c r="E645" s="1054">
        <f t="shared" si="183"/>
        <v>1792.2747851999998</v>
      </c>
      <c r="F645" s="632">
        <v>22</v>
      </c>
      <c r="G645" s="633">
        <f>F645*CCBASE!$B$51</f>
        <v>792</v>
      </c>
      <c r="H645" s="633">
        <f>CCBASE!$I$11*B645/1000</f>
        <v>362.23416494999998</v>
      </c>
      <c r="I645" s="633"/>
      <c r="J645" s="633"/>
      <c r="K645" s="633"/>
      <c r="L645" s="632"/>
      <c r="M645" s="633">
        <f>CCBASE!$I$15*B645/1000</f>
        <v>179.65324125000001</v>
      </c>
      <c r="N645" s="633">
        <f>CCBASE!$I$7*B645/1000</f>
        <v>70.970130000000012</v>
      </c>
      <c r="O645" s="633">
        <f>CCBASE!$I$45*B645/1000</f>
        <v>22.432500000000001</v>
      </c>
      <c r="P645" s="633">
        <f>CCBASE!$I$9</f>
        <v>39.7111223</v>
      </c>
      <c r="Q645" s="633">
        <f>CCBASE!$I$51</f>
        <v>2.9</v>
      </c>
      <c r="R645" s="633">
        <f>CCBASE!$I$4</f>
        <v>8.3986041999999994</v>
      </c>
      <c r="S645" s="633">
        <f>CCBASE!$I$8</f>
        <v>16.25526</v>
      </c>
      <c r="T645" s="632"/>
      <c r="U645" s="638">
        <f>CCBASE!$I$47*2</f>
        <v>28.82</v>
      </c>
      <c r="V645" s="633"/>
      <c r="W645" s="633">
        <f>CCBASE!$I$41*B645/1000</f>
        <v>132.86603249999999</v>
      </c>
      <c r="X645" s="633"/>
      <c r="Y645" s="633"/>
      <c r="Z645" s="633"/>
      <c r="AA645" s="633"/>
      <c r="AB645" s="633"/>
      <c r="AC645" s="633"/>
      <c r="AD645" s="652">
        <f>CCBASE!$I$33*2</f>
        <v>136.03372999999999</v>
      </c>
      <c r="AI645" s="635"/>
      <c r="AJ645" s="635"/>
      <c r="AK645" s="636"/>
      <c r="AL645" s="636"/>
      <c r="AM645" s="636"/>
      <c r="AN645" s="636"/>
      <c r="AO645" s="636"/>
      <c r="AP645" s="636"/>
      <c r="AQ645" s="636"/>
      <c r="AR645" s="636"/>
      <c r="AS645" s="636"/>
    </row>
    <row r="646" spans="1:45" ht="17" thickBot="1" x14ac:dyDescent="0.25">
      <c r="A646" s="659" t="s">
        <v>768</v>
      </c>
      <c r="B646" s="631">
        <v>2500</v>
      </c>
      <c r="C646" s="631">
        <v>1500</v>
      </c>
      <c r="D646" s="651" t="str">
        <f t="shared" si="184"/>
        <v>UVX-M25001500</v>
      </c>
      <c r="E646" s="1054">
        <f t="shared" si="183"/>
        <v>1877.6254594999996</v>
      </c>
      <c r="F646" s="632">
        <v>22</v>
      </c>
      <c r="G646" s="633">
        <f>F646*CCBASE!$B$51</f>
        <v>792</v>
      </c>
      <c r="H646" s="633">
        <f>CCBASE!$I$11*B646/1000</f>
        <v>402.48240549999997</v>
      </c>
      <c r="I646" s="633"/>
      <c r="J646" s="633"/>
      <c r="K646" s="633"/>
      <c r="L646" s="632"/>
      <c r="M646" s="633">
        <f>CCBASE!$I$15*B646/1000</f>
        <v>199.61471250000002</v>
      </c>
      <c r="N646" s="633">
        <f>CCBASE!$I$7*B646/1000</f>
        <v>78.855699999999999</v>
      </c>
      <c r="O646" s="633">
        <f>CCBASE!$I$45*B646/1000</f>
        <v>24.925000000000001</v>
      </c>
      <c r="P646" s="633">
        <f>CCBASE!$I$9</f>
        <v>39.7111223</v>
      </c>
      <c r="Q646" s="633">
        <f>CCBASE!$I$51</f>
        <v>2.9</v>
      </c>
      <c r="R646" s="633">
        <f>CCBASE!$I$4</f>
        <v>8.3986041999999994</v>
      </c>
      <c r="S646" s="633">
        <f>CCBASE!$I$8</f>
        <v>16.25526</v>
      </c>
      <c r="T646" s="632"/>
      <c r="U646" s="638">
        <f>CCBASE!$I$47*2</f>
        <v>28.82</v>
      </c>
      <c r="V646" s="633"/>
      <c r="W646" s="633">
        <f>CCBASE!$I$41*B646/1000</f>
        <v>147.62892499999998</v>
      </c>
      <c r="X646" s="633"/>
      <c r="Y646" s="633"/>
      <c r="Z646" s="633"/>
      <c r="AA646" s="633"/>
      <c r="AB646" s="633"/>
      <c r="AC646" s="633"/>
      <c r="AD646" s="652">
        <f>CCBASE!$I$33*2</f>
        <v>136.03372999999999</v>
      </c>
      <c r="AI646" s="635"/>
      <c r="AJ646" s="635"/>
      <c r="AK646" s="636"/>
      <c r="AL646" s="636"/>
      <c r="AM646" s="636"/>
      <c r="AN646" s="636"/>
      <c r="AO646" s="636"/>
      <c r="AP646" s="636"/>
      <c r="AQ646" s="636"/>
      <c r="AR646" s="636"/>
      <c r="AS646" s="636"/>
    </row>
    <row r="647" spans="1:45" ht="17" thickBot="1" x14ac:dyDescent="0.25">
      <c r="A647" s="659" t="s">
        <v>768</v>
      </c>
      <c r="B647" s="631">
        <v>2750</v>
      </c>
      <c r="C647" s="631">
        <v>1500</v>
      </c>
      <c r="D647" s="651" t="str">
        <f t="shared" si="184"/>
        <v>UVX-M27501500</v>
      </c>
      <c r="E647" s="1054">
        <f t="shared" si="183"/>
        <v>1998.9761337999998</v>
      </c>
      <c r="F647" s="632">
        <v>23</v>
      </c>
      <c r="G647" s="633">
        <f>F647*CCBASE!$B$51</f>
        <v>828</v>
      </c>
      <c r="H647" s="633">
        <f>CCBASE!$I$11*B647/1000</f>
        <v>442.73064604999996</v>
      </c>
      <c r="I647" s="633"/>
      <c r="J647" s="633"/>
      <c r="K647" s="633"/>
      <c r="L647" s="632"/>
      <c r="M647" s="633">
        <f>CCBASE!$I$15*B647/1000</f>
        <v>219.57618375000001</v>
      </c>
      <c r="N647" s="633">
        <f>CCBASE!$I$7*B647/1000</f>
        <v>86.74127</v>
      </c>
      <c r="O647" s="633">
        <f>CCBASE!$I$45*B647/1000</f>
        <v>27.4175</v>
      </c>
      <c r="P647" s="633">
        <f>CCBASE!$I$9</f>
        <v>39.7111223</v>
      </c>
      <c r="Q647" s="633">
        <f>CCBASE!$I$51</f>
        <v>2.9</v>
      </c>
      <c r="R647" s="633">
        <f>CCBASE!$I$4</f>
        <v>8.3986041999999994</v>
      </c>
      <c r="S647" s="633">
        <f>CCBASE!$I$8</f>
        <v>16.25526</v>
      </c>
      <c r="T647" s="632"/>
      <c r="U647" s="638">
        <f>CCBASE!$I$47*2</f>
        <v>28.82</v>
      </c>
      <c r="V647" s="633"/>
      <c r="W647" s="633">
        <f>CCBASE!$I$41*B647/1000</f>
        <v>162.3918175</v>
      </c>
      <c r="X647" s="633"/>
      <c r="Y647" s="633"/>
      <c r="Z647" s="633"/>
      <c r="AA647" s="633"/>
      <c r="AB647" s="633"/>
      <c r="AC647" s="633"/>
      <c r="AD647" s="652">
        <f>CCBASE!$I$33*2</f>
        <v>136.03372999999999</v>
      </c>
      <c r="AI647" s="635"/>
      <c r="AJ647" s="635"/>
      <c r="AN647" s="636"/>
      <c r="AO647" s="636"/>
      <c r="AP647" s="636"/>
      <c r="AQ647" s="636"/>
      <c r="AR647" s="636"/>
      <c r="AS647" s="636"/>
    </row>
    <row r="648" spans="1:45" ht="17" thickBot="1" x14ac:dyDescent="0.25">
      <c r="A648" s="659" t="s">
        <v>768</v>
      </c>
      <c r="B648" s="631">
        <v>3000</v>
      </c>
      <c r="C648" s="631">
        <v>1500</v>
      </c>
      <c r="D648" s="651" t="str">
        <f t="shared" si="184"/>
        <v>UVX-M30001500</v>
      </c>
      <c r="E648" s="1054">
        <f t="shared" si="183"/>
        <v>2084.3268080999997</v>
      </c>
      <c r="F648" s="632">
        <v>23</v>
      </c>
      <c r="G648" s="633">
        <f>F648*CCBASE!$B$51</f>
        <v>828</v>
      </c>
      <c r="H648" s="633">
        <f>CCBASE!$I$11*B648/1000</f>
        <v>482.97888659999995</v>
      </c>
      <c r="I648" s="633"/>
      <c r="J648" s="633"/>
      <c r="K648" s="633"/>
      <c r="L648" s="632"/>
      <c r="M648" s="633">
        <f>CCBASE!$I$15*B648/1000</f>
        <v>239.53765500000003</v>
      </c>
      <c r="N648" s="633">
        <f>CCBASE!$I$7*B648/1000</f>
        <v>94.626840000000016</v>
      </c>
      <c r="O648" s="633">
        <f>CCBASE!$I$45*B648/1000</f>
        <v>29.910000000000004</v>
      </c>
      <c r="P648" s="633">
        <f>CCBASE!$I$9</f>
        <v>39.7111223</v>
      </c>
      <c r="Q648" s="633">
        <f>CCBASE!$I$51</f>
        <v>2.9</v>
      </c>
      <c r="R648" s="633">
        <f>CCBASE!$I$4</f>
        <v>8.3986041999999994</v>
      </c>
      <c r="S648" s="633">
        <f>CCBASE!$I$8</f>
        <v>16.25526</v>
      </c>
      <c r="T648" s="632"/>
      <c r="U648" s="638">
        <f>CCBASE!$I$47*2</f>
        <v>28.82</v>
      </c>
      <c r="V648" s="633"/>
      <c r="W648" s="633">
        <f>CCBASE!$I$41*B648/1000</f>
        <v>177.15470999999999</v>
      </c>
      <c r="X648" s="633"/>
      <c r="Y648" s="633"/>
      <c r="Z648" s="633"/>
      <c r="AA648" s="633"/>
      <c r="AB648" s="633"/>
      <c r="AC648" s="633"/>
      <c r="AD648" s="652">
        <f>CCBASE!$I$33*2</f>
        <v>136.03372999999999</v>
      </c>
      <c r="AI648" s="635"/>
      <c r="AJ648" s="635"/>
      <c r="AN648" s="636"/>
      <c r="AO648" s="636"/>
      <c r="AP648" s="636"/>
      <c r="AQ648" s="636"/>
      <c r="AR648" s="636"/>
      <c r="AS648" s="636"/>
    </row>
    <row r="649" spans="1:45" ht="17" thickBot="1" x14ac:dyDescent="0.25">
      <c r="A649" s="659" t="s">
        <v>768</v>
      </c>
      <c r="B649" s="631">
        <v>1000</v>
      </c>
      <c r="C649" s="631">
        <v>1750</v>
      </c>
      <c r="D649" s="651" t="str">
        <f t="shared" si="184"/>
        <v>UVX-M10001750</v>
      </c>
      <c r="E649" s="1054">
        <f t="shared" si="183"/>
        <v>1391.2311573999998</v>
      </c>
      <c r="F649" s="647">
        <v>21</v>
      </c>
      <c r="G649" s="633">
        <f>F649*CCBASE!$B$51</f>
        <v>756</v>
      </c>
      <c r="H649" s="633">
        <f>CCBASE!$I$11*B649/1000</f>
        <v>160.99296219999999</v>
      </c>
      <c r="I649" s="633"/>
      <c r="J649" s="633"/>
      <c r="K649" s="633"/>
      <c r="L649" s="638"/>
      <c r="M649" s="633">
        <f>CCBASE!$I$15*B649/1000</f>
        <v>79.84588500000001</v>
      </c>
      <c r="N649" s="633">
        <f>CCBASE!$I$7*B649/1000</f>
        <v>31.542280000000002</v>
      </c>
      <c r="O649" s="633">
        <f>CCBASE!$I$45*B649/1000</f>
        <v>9.9700000000000006</v>
      </c>
      <c r="P649" s="633">
        <f>CCBASE!$I$10</f>
        <v>30.661922000000001</v>
      </c>
      <c r="Q649" s="633">
        <f>CCBASE!$I$51</f>
        <v>2.9</v>
      </c>
      <c r="R649" s="633">
        <f>CCBASE!$I$4</f>
        <v>8.3986041999999994</v>
      </c>
      <c r="S649" s="633">
        <f>CCBASE!$I$8</f>
        <v>16.25526</v>
      </c>
      <c r="T649" s="632"/>
      <c r="U649" s="638">
        <f>CCBASE!$I$47</f>
        <v>14.41</v>
      </c>
      <c r="V649" s="632"/>
      <c r="W649" s="633">
        <f>CCBASE!$I$42*B649/1000</f>
        <v>70.880589999999998</v>
      </c>
      <c r="X649" s="633"/>
      <c r="Y649" s="633"/>
      <c r="Z649" s="633"/>
      <c r="AA649" s="633"/>
      <c r="AB649" s="633"/>
      <c r="AC649" s="633"/>
      <c r="AD649" s="652">
        <f>CCBASE!$I$34*2</f>
        <v>209.37365399999999</v>
      </c>
      <c r="AI649" s="635"/>
      <c r="AJ649" s="635"/>
      <c r="AK649" s="636"/>
      <c r="AL649" s="636"/>
      <c r="AM649" s="636"/>
      <c r="AN649" s="636"/>
      <c r="AO649" s="636"/>
      <c r="AP649" s="636"/>
      <c r="AQ649" s="636"/>
      <c r="AR649" s="636"/>
      <c r="AS649" s="636"/>
    </row>
    <row r="650" spans="1:45" ht="17" thickBot="1" x14ac:dyDescent="0.25">
      <c r="A650" s="659" t="s">
        <v>768</v>
      </c>
      <c r="B650" s="631">
        <v>1250</v>
      </c>
      <c r="C650" s="631">
        <v>1750</v>
      </c>
      <c r="D650" s="651" t="str">
        <f t="shared" si="184"/>
        <v>UVX-M12501750</v>
      </c>
      <c r="E650" s="1054">
        <f t="shared" si="183"/>
        <v>1479.5390867000001</v>
      </c>
      <c r="F650" s="632">
        <v>21</v>
      </c>
      <c r="G650" s="633">
        <f>F650*CCBASE!$B$51</f>
        <v>756</v>
      </c>
      <c r="H650" s="633">
        <f>CCBASE!$I$11*B650/1000</f>
        <v>201.24120274999999</v>
      </c>
      <c r="I650" s="633"/>
      <c r="J650" s="633"/>
      <c r="K650" s="633"/>
      <c r="L650" s="638"/>
      <c r="M650" s="633">
        <f>CCBASE!$I$15*B650/1000</f>
        <v>99.807356250000012</v>
      </c>
      <c r="N650" s="633">
        <f>CCBASE!$I$7*B650/1000</f>
        <v>39.427849999999999</v>
      </c>
      <c r="O650" s="633">
        <f>CCBASE!$I$45*B650/1000</f>
        <v>12.4625</v>
      </c>
      <c r="P650" s="633">
        <f>CCBASE!$I$10</f>
        <v>30.661922000000001</v>
      </c>
      <c r="Q650" s="633">
        <f>CCBASE!$I$51</f>
        <v>2.9</v>
      </c>
      <c r="R650" s="633">
        <f>CCBASE!$I$4</f>
        <v>8.3986041999999994</v>
      </c>
      <c r="S650" s="633">
        <f>CCBASE!$I$8</f>
        <v>16.25526</v>
      </c>
      <c r="T650" s="632"/>
      <c r="U650" s="638">
        <f>CCBASE!$I$47</f>
        <v>14.41</v>
      </c>
      <c r="V650" s="632"/>
      <c r="W650" s="633">
        <f>CCBASE!$I$42*B650/1000</f>
        <v>88.600737500000008</v>
      </c>
      <c r="X650" s="633"/>
      <c r="Y650" s="633"/>
      <c r="Z650" s="633"/>
      <c r="AA650" s="633"/>
      <c r="AB650" s="633"/>
      <c r="AC650" s="633"/>
      <c r="AD650" s="652">
        <f>CCBASE!$I$34*2</f>
        <v>209.37365399999999</v>
      </c>
      <c r="AI650" s="635"/>
      <c r="AJ650" s="635"/>
      <c r="AK650" s="636"/>
      <c r="AL650" s="636"/>
      <c r="AM650" s="636"/>
      <c r="AN650" s="636"/>
      <c r="AO650" s="636"/>
      <c r="AP650" s="636"/>
      <c r="AQ650" s="636"/>
      <c r="AR650" s="636"/>
      <c r="AS650" s="636"/>
    </row>
    <row r="651" spans="1:45" ht="17" thickBot="1" x14ac:dyDescent="0.25">
      <c r="A651" s="659" t="s">
        <v>768</v>
      </c>
      <c r="B651" s="631">
        <v>1500</v>
      </c>
      <c r="C651" s="631">
        <v>1750</v>
      </c>
      <c r="D651" s="651" t="str">
        <f t="shared" si="184"/>
        <v>UVX-M15001750</v>
      </c>
      <c r="E651" s="1054">
        <f t="shared" si="183"/>
        <v>1567.8470159999999</v>
      </c>
      <c r="F651" s="632">
        <v>21</v>
      </c>
      <c r="G651" s="633">
        <f>F651*CCBASE!$B$51</f>
        <v>756</v>
      </c>
      <c r="H651" s="633">
        <f>CCBASE!$I$11*B651/1000</f>
        <v>241.48944329999998</v>
      </c>
      <c r="I651" s="633"/>
      <c r="J651" s="633"/>
      <c r="K651" s="633"/>
      <c r="L651" s="638"/>
      <c r="M651" s="633">
        <f>CCBASE!$I$15*B651/1000</f>
        <v>119.76882750000001</v>
      </c>
      <c r="N651" s="633">
        <f>CCBASE!$I$7*B651/1000</f>
        <v>47.313420000000008</v>
      </c>
      <c r="O651" s="633">
        <f>CCBASE!$I$45*B651/1000</f>
        <v>14.955000000000002</v>
      </c>
      <c r="P651" s="633">
        <f>CCBASE!$I$10</f>
        <v>30.661922000000001</v>
      </c>
      <c r="Q651" s="633">
        <f>CCBASE!$I$51</f>
        <v>2.9</v>
      </c>
      <c r="R651" s="633">
        <f>CCBASE!$I$4</f>
        <v>8.3986041999999994</v>
      </c>
      <c r="S651" s="633">
        <f>CCBASE!$I$8</f>
        <v>16.25526</v>
      </c>
      <c r="T651" s="632"/>
      <c r="U651" s="638">
        <f>CCBASE!$I$47</f>
        <v>14.41</v>
      </c>
      <c r="V651" s="632"/>
      <c r="W651" s="633">
        <f>CCBASE!$I$42*B651/1000</f>
        <v>106.32088499999999</v>
      </c>
      <c r="X651" s="633"/>
      <c r="Y651" s="633"/>
      <c r="Z651" s="633"/>
      <c r="AA651" s="633"/>
      <c r="AB651" s="633"/>
      <c r="AC651" s="633"/>
      <c r="AD651" s="652">
        <f>CCBASE!$I$34*2</f>
        <v>209.37365399999999</v>
      </c>
      <c r="AI651" s="635"/>
      <c r="AJ651" s="635"/>
      <c r="AK651" s="636"/>
      <c r="AL651" s="636"/>
      <c r="AM651" s="636"/>
      <c r="AN651" s="636"/>
      <c r="AO651" s="636"/>
      <c r="AP651" s="636"/>
      <c r="AQ651" s="636"/>
      <c r="AR651" s="636"/>
      <c r="AS651" s="636"/>
    </row>
    <row r="652" spans="1:45" ht="17" thickBot="1" x14ac:dyDescent="0.25">
      <c r="A652" s="659" t="s">
        <v>768</v>
      </c>
      <c r="B652" s="631">
        <v>1750</v>
      </c>
      <c r="C652" s="631">
        <v>1750</v>
      </c>
      <c r="D652" s="651" t="str">
        <f t="shared" si="184"/>
        <v>UVX-M17501750</v>
      </c>
      <c r="E652" s="1054">
        <f t="shared" si="183"/>
        <v>1665.2041455999999</v>
      </c>
      <c r="F652" s="632">
        <v>21</v>
      </c>
      <c r="G652" s="633">
        <f>F652*CCBASE!$B$51</f>
        <v>756</v>
      </c>
      <c r="H652" s="633">
        <f>CCBASE!$I$11*B652/1000</f>
        <v>281.73768385</v>
      </c>
      <c r="I652" s="633"/>
      <c r="J652" s="633"/>
      <c r="K652" s="633"/>
      <c r="L652" s="638"/>
      <c r="M652" s="633">
        <f>CCBASE!$I$15*B652/1000</f>
        <v>139.73029875</v>
      </c>
      <c r="N652" s="633">
        <f>CCBASE!$I$7*B652/1000</f>
        <v>55.198990000000002</v>
      </c>
      <c r="O652" s="633">
        <f>CCBASE!$I$45*B652/1000</f>
        <v>17.447500000000002</v>
      </c>
      <c r="P652" s="633">
        <f>CCBASE!$I$9</f>
        <v>39.7111223</v>
      </c>
      <c r="Q652" s="633">
        <f>CCBASE!$I$51</f>
        <v>2.9</v>
      </c>
      <c r="R652" s="633">
        <f>CCBASE!$I$4</f>
        <v>8.3986041999999994</v>
      </c>
      <c r="S652" s="633">
        <f>CCBASE!$I$8</f>
        <v>16.25526</v>
      </c>
      <c r="T652" s="632"/>
      <c r="U652" s="638">
        <f>CCBASE!$I$47</f>
        <v>14.41</v>
      </c>
      <c r="V652" s="632"/>
      <c r="W652" s="633">
        <f>CCBASE!$I$42*B652/1000</f>
        <v>124.0410325</v>
      </c>
      <c r="X652" s="633"/>
      <c r="Y652" s="633"/>
      <c r="Z652" s="633"/>
      <c r="AA652" s="633"/>
      <c r="AB652" s="633"/>
      <c r="AC652" s="633"/>
      <c r="AD652" s="652">
        <f>CCBASE!$I$34*2</f>
        <v>209.37365399999999</v>
      </c>
      <c r="AI652" s="635"/>
      <c r="AJ652" s="635"/>
    </row>
    <row r="653" spans="1:45" ht="17" thickBot="1" x14ac:dyDescent="0.25">
      <c r="A653" s="659" t="s">
        <v>768</v>
      </c>
      <c r="B653" s="631">
        <v>2000</v>
      </c>
      <c r="C653" s="631">
        <v>1750</v>
      </c>
      <c r="D653" s="651" t="str">
        <f t="shared" si="184"/>
        <v>UVX-M20001750</v>
      </c>
      <c r="E653" s="1054">
        <f t="shared" si="183"/>
        <v>1753.5120748999998</v>
      </c>
      <c r="F653" s="632">
        <v>21</v>
      </c>
      <c r="G653" s="633">
        <f>F653*CCBASE!$B$51</f>
        <v>756</v>
      </c>
      <c r="H653" s="633">
        <f>CCBASE!$I$11*B653/1000</f>
        <v>321.98592439999999</v>
      </c>
      <c r="I653" s="633"/>
      <c r="J653" s="633"/>
      <c r="K653" s="633"/>
      <c r="L653" s="638"/>
      <c r="M653" s="633">
        <f>CCBASE!$I$15*B653/1000</f>
        <v>159.69177000000002</v>
      </c>
      <c r="N653" s="633">
        <f>CCBASE!$I$7*B653/1000</f>
        <v>63.084560000000003</v>
      </c>
      <c r="O653" s="633">
        <f>CCBASE!$I$45*B653/1000</f>
        <v>19.940000000000001</v>
      </c>
      <c r="P653" s="633">
        <f>CCBASE!$I$9</f>
        <v>39.7111223</v>
      </c>
      <c r="Q653" s="633">
        <f>CCBASE!$I$51</f>
        <v>2.9</v>
      </c>
      <c r="R653" s="633">
        <f>CCBASE!$I$4</f>
        <v>8.3986041999999994</v>
      </c>
      <c r="S653" s="633">
        <f>CCBASE!$I$8</f>
        <v>16.25526</v>
      </c>
      <c r="T653" s="632"/>
      <c r="U653" s="638">
        <f>CCBASE!$I$47</f>
        <v>14.41</v>
      </c>
      <c r="V653" s="632"/>
      <c r="W653" s="633">
        <f>CCBASE!$I$42*B653/1000</f>
        <v>141.76118</v>
      </c>
      <c r="X653" s="633"/>
      <c r="Y653" s="633"/>
      <c r="Z653" s="633"/>
      <c r="AA653" s="633"/>
      <c r="AB653" s="633"/>
      <c r="AC653" s="633"/>
      <c r="AD653" s="652">
        <f>CCBASE!$I$34*2</f>
        <v>209.37365399999999</v>
      </c>
      <c r="AI653" s="635"/>
      <c r="AJ653" s="635"/>
    </row>
    <row r="654" spans="1:45" ht="17" thickBot="1" x14ac:dyDescent="0.25">
      <c r="A654" s="659" t="s">
        <v>768</v>
      </c>
      <c r="B654" s="631">
        <v>2250</v>
      </c>
      <c r="C654" s="631">
        <v>1750</v>
      </c>
      <c r="D654" s="651" t="str">
        <f t="shared" si="184"/>
        <v>UVX-M22501750</v>
      </c>
      <c r="E654" s="1054">
        <f t="shared" si="183"/>
        <v>1892.2300041999995</v>
      </c>
      <c r="F654" s="632">
        <v>22</v>
      </c>
      <c r="G654" s="633">
        <f>F654*CCBASE!$B$51</f>
        <v>792</v>
      </c>
      <c r="H654" s="633">
        <f>CCBASE!$I$11*B654/1000</f>
        <v>362.23416494999998</v>
      </c>
      <c r="I654" s="633"/>
      <c r="J654" s="633"/>
      <c r="K654" s="633"/>
      <c r="L654" s="638"/>
      <c r="M654" s="633">
        <f>CCBASE!$I$15*B654/1000</f>
        <v>179.65324125000001</v>
      </c>
      <c r="N654" s="633">
        <f>CCBASE!$I$7*B654/1000</f>
        <v>70.970130000000012</v>
      </c>
      <c r="O654" s="633">
        <f>CCBASE!$I$45*B654/1000</f>
        <v>22.432500000000001</v>
      </c>
      <c r="P654" s="633">
        <f>CCBASE!$I$9</f>
        <v>39.7111223</v>
      </c>
      <c r="Q654" s="633">
        <f>CCBASE!$I$51</f>
        <v>2.9</v>
      </c>
      <c r="R654" s="633">
        <f>CCBASE!$I$4</f>
        <v>8.3986041999999994</v>
      </c>
      <c r="S654" s="633">
        <f>CCBASE!$I$8</f>
        <v>16.25526</v>
      </c>
      <c r="T654" s="632"/>
      <c r="U654" s="638">
        <f>CCBASE!$I$47*2</f>
        <v>28.82</v>
      </c>
      <c r="V654" s="632"/>
      <c r="W654" s="633">
        <f>CCBASE!$I$42*B654/1000</f>
        <v>159.48132749999999</v>
      </c>
      <c r="X654" s="633"/>
      <c r="Y654" s="633"/>
      <c r="Z654" s="633"/>
      <c r="AA654" s="633"/>
      <c r="AB654" s="633"/>
      <c r="AC654" s="633"/>
      <c r="AD654" s="652">
        <f>CCBASE!$I$34*2</f>
        <v>209.37365399999999</v>
      </c>
      <c r="AI654" s="635"/>
      <c r="AJ654" s="635"/>
      <c r="AR654" s="636"/>
      <c r="AS654" s="636"/>
    </row>
    <row r="655" spans="1:45" ht="17" thickBot="1" x14ac:dyDescent="0.25">
      <c r="A655" s="659" t="s">
        <v>768</v>
      </c>
      <c r="B655" s="631">
        <v>2500</v>
      </c>
      <c r="C655" s="631">
        <v>1750</v>
      </c>
      <c r="D655" s="651" t="str">
        <f t="shared" si="184"/>
        <v>UVX-M25001750</v>
      </c>
      <c r="E655" s="1054">
        <f t="shared" si="183"/>
        <v>1980.5379334999998</v>
      </c>
      <c r="F655" s="632">
        <v>22</v>
      </c>
      <c r="G655" s="633">
        <f>F655*CCBASE!$B$51</f>
        <v>792</v>
      </c>
      <c r="H655" s="633">
        <f>CCBASE!$I$11*B655/1000</f>
        <v>402.48240549999997</v>
      </c>
      <c r="I655" s="633"/>
      <c r="J655" s="633"/>
      <c r="K655" s="633"/>
      <c r="L655" s="638"/>
      <c r="M655" s="633">
        <f>CCBASE!$I$15*B655/1000</f>
        <v>199.61471250000002</v>
      </c>
      <c r="N655" s="633">
        <f>CCBASE!$I$7*B655/1000</f>
        <v>78.855699999999999</v>
      </c>
      <c r="O655" s="633">
        <f>CCBASE!$I$45*B655/1000</f>
        <v>24.925000000000001</v>
      </c>
      <c r="P655" s="633">
        <f>CCBASE!$I$9</f>
        <v>39.7111223</v>
      </c>
      <c r="Q655" s="633">
        <f>CCBASE!$I$51</f>
        <v>2.9</v>
      </c>
      <c r="R655" s="633">
        <f>CCBASE!$I$4</f>
        <v>8.3986041999999994</v>
      </c>
      <c r="S655" s="633">
        <f>CCBASE!$I$8</f>
        <v>16.25526</v>
      </c>
      <c r="T655" s="632"/>
      <c r="U655" s="638">
        <f>CCBASE!$I$47*2</f>
        <v>28.82</v>
      </c>
      <c r="V655" s="632"/>
      <c r="W655" s="633">
        <f>CCBASE!$I$42*B655/1000</f>
        <v>177.20147500000002</v>
      </c>
      <c r="X655" s="633"/>
      <c r="Y655" s="633"/>
      <c r="Z655" s="633"/>
      <c r="AA655" s="633"/>
      <c r="AB655" s="633"/>
      <c r="AC655" s="633"/>
      <c r="AD655" s="652">
        <f>CCBASE!$I$34*2</f>
        <v>209.37365399999999</v>
      </c>
      <c r="AI655" s="635"/>
      <c r="AJ655" s="635"/>
      <c r="AR655" s="636"/>
      <c r="AS655" s="636"/>
    </row>
    <row r="656" spans="1:45" ht="17" thickBot="1" x14ac:dyDescent="0.25">
      <c r="A656" s="659" t="s">
        <v>768</v>
      </c>
      <c r="B656" s="631">
        <v>2750</v>
      </c>
      <c r="C656" s="631">
        <v>1750</v>
      </c>
      <c r="D656" s="651" t="str">
        <f t="shared" si="184"/>
        <v>UVX-M27501750</v>
      </c>
      <c r="E656" s="1054">
        <f t="shared" si="183"/>
        <v>2104.8458627999998</v>
      </c>
      <c r="F656" s="632">
        <v>23</v>
      </c>
      <c r="G656" s="633">
        <f>F656*CCBASE!$B$51</f>
        <v>828</v>
      </c>
      <c r="H656" s="633">
        <f>CCBASE!$I$11*B656/1000</f>
        <v>442.73064604999996</v>
      </c>
      <c r="I656" s="633"/>
      <c r="J656" s="633"/>
      <c r="K656" s="633"/>
      <c r="L656" s="638"/>
      <c r="M656" s="633">
        <f>CCBASE!$I$15*B656/1000</f>
        <v>219.57618375000001</v>
      </c>
      <c r="N656" s="633">
        <f>CCBASE!$I$7*B656/1000</f>
        <v>86.74127</v>
      </c>
      <c r="O656" s="633">
        <f>CCBASE!$I$45*B656/1000</f>
        <v>27.4175</v>
      </c>
      <c r="P656" s="633">
        <f>CCBASE!$I$9</f>
        <v>39.7111223</v>
      </c>
      <c r="Q656" s="633">
        <f>CCBASE!$I$51</f>
        <v>2.9</v>
      </c>
      <c r="R656" s="633">
        <f>CCBASE!$I$4</f>
        <v>8.3986041999999994</v>
      </c>
      <c r="S656" s="633">
        <f>CCBASE!$I$8</f>
        <v>16.25526</v>
      </c>
      <c r="T656" s="632"/>
      <c r="U656" s="638">
        <f>CCBASE!$I$47*2</f>
        <v>28.82</v>
      </c>
      <c r="V656" s="632"/>
      <c r="W656" s="633">
        <f>CCBASE!$I$42*B656/1000</f>
        <v>194.92162249999998</v>
      </c>
      <c r="X656" s="633"/>
      <c r="Y656" s="633"/>
      <c r="Z656" s="633"/>
      <c r="AA656" s="633"/>
      <c r="AB656" s="633"/>
      <c r="AC656" s="633"/>
      <c r="AD656" s="652">
        <f>CCBASE!$I$34*2</f>
        <v>209.37365399999999</v>
      </c>
      <c r="AI656" s="635"/>
      <c r="AJ656" s="635"/>
      <c r="AK656" s="636"/>
      <c r="AL656" s="636"/>
      <c r="AM656" s="636"/>
      <c r="AN656" s="636"/>
      <c r="AO656" s="636"/>
      <c r="AP656" s="636"/>
      <c r="AQ656" s="636"/>
      <c r="AR656" s="636"/>
      <c r="AS656" s="636"/>
    </row>
    <row r="657" spans="1:45" ht="17" thickBot="1" x14ac:dyDescent="0.25">
      <c r="A657" s="659" t="s">
        <v>768</v>
      </c>
      <c r="B657" s="631">
        <v>3000</v>
      </c>
      <c r="C657" s="631">
        <v>1750</v>
      </c>
      <c r="D657" s="651" t="str">
        <f t="shared" si="184"/>
        <v>UVX-M30001750</v>
      </c>
      <c r="E657" s="1054">
        <f t="shared" si="183"/>
        <v>2193.1537920999999</v>
      </c>
      <c r="F657" s="632">
        <v>23</v>
      </c>
      <c r="G657" s="633">
        <f>F657*CCBASE!$B$51</f>
        <v>828</v>
      </c>
      <c r="H657" s="633">
        <f>CCBASE!$I$11*B657/1000</f>
        <v>482.97888659999995</v>
      </c>
      <c r="I657" s="633"/>
      <c r="J657" s="633"/>
      <c r="K657" s="633"/>
      <c r="L657" s="638"/>
      <c r="M657" s="633">
        <f>CCBASE!$I$15*B657/1000</f>
        <v>239.53765500000003</v>
      </c>
      <c r="N657" s="633">
        <f>CCBASE!$I$7*B657/1000</f>
        <v>94.626840000000016</v>
      </c>
      <c r="O657" s="633">
        <f>CCBASE!$I$45*B657/1000</f>
        <v>29.910000000000004</v>
      </c>
      <c r="P657" s="633">
        <f>CCBASE!$I$9</f>
        <v>39.7111223</v>
      </c>
      <c r="Q657" s="633">
        <f>CCBASE!$I$51</f>
        <v>2.9</v>
      </c>
      <c r="R657" s="633">
        <f>CCBASE!$I$4</f>
        <v>8.3986041999999994</v>
      </c>
      <c r="S657" s="633">
        <f>CCBASE!$I$8</f>
        <v>16.25526</v>
      </c>
      <c r="T657" s="632"/>
      <c r="U657" s="638">
        <f>CCBASE!$I$47*2</f>
        <v>28.82</v>
      </c>
      <c r="V657" s="632"/>
      <c r="W657" s="633">
        <f>CCBASE!$I$42*B657/1000</f>
        <v>212.64176999999998</v>
      </c>
      <c r="X657" s="633"/>
      <c r="Y657" s="633"/>
      <c r="Z657" s="633"/>
      <c r="AA657" s="633"/>
      <c r="AB657" s="633"/>
      <c r="AC657" s="633"/>
      <c r="AD657" s="652">
        <f>CCBASE!$I$34*2</f>
        <v>209.37365399999999</v>
      </c>
      <c r="AI657" s="635"/>
      <c r="AJ657" s="635"/>
      <c r="AK657" s="636"/>
      <c r="AL657" s="636"/>
      <c r="AM657" s="636"/>
      <c r="AN657" s="636"/>
      <c r="AO657" s="636"/>
      <c r="AP657" s="636"/>
      <c r="AQ657" s="636"/>
      <c r="AR657" s="636"/>
      <c r="AS657" s="636"/>
    </row>
    <row r="658" spans="1:45" ht="17" thickBot="1" x14ac:dyDescent="0.25">
      <c r="A658" s="659" t="s">
        <v>768</v>
      </c>
      <c r="B658" s="631">
        <v>1000</v>
      </c>
      <c r="C658" s="631">
        <v>2000</v>
      </c>
      <c r="D658" s="651" t="str">
        <f t="shared" si="184"/>
        <v>UVX-M10002000</v>
      </c>
      <c r="E658" s="1054">
        <f t="shared" si="183"/>
        <v>1483.4975133999997</v>
      </c>
      <c r="F658" s="647">
        <v>21</v>
      </c>
      <c r="G658" s="633">
        <f>F658*CCBASE!$B$51</f>
        <v>756</v>
      </c>
      <c r="H658" s="633">
        <f>CCBASE!$I$11*B658/1000</f>
        <v>160.99296219999999</v>
      </c>
      <c r="I658" s="633"/>
      <c r="J658" s="633"/>
      <c r="K658" s="633"/>
      <c r="L658" s="638"/>
      <c r="M658" s="633">
        <f>CCBASE!$I$15*B658/1000</f>
        <v>79.84588500000001</v>
      </c>
      <c r="N658" s="633">
        <f>CCBASE!$I$7*B658/1000</f>
        <v>31.542280000000002</v>
      </c>
      <c r="O658" s="633">
        <f>CCBASE!$I$45*B658/1000</f>
        <v>9.9700000000000006</v>
      </c>
      <c r="P658" s="633">
        <f>CCBASE!$I$10</f>
        <v>30.661922000000001</v>
      </c>
      <c r="Q658" s="633">
        <f>CCBASE!$I$51</f>
        <v>2.9</v>
      </c>
      <c r="R658" s="633">
        <f>CCBASE!$I$4</f>
        <v>8.3986041999999994</v>
      </c>
      <c r="S658" s="633">
        <f>CCBASE!$I$8</f>
        <v>16.25526</v>
      </c>
      <c r="T658" s="632"/>
      <c r="U658" s="638">
        <f>CCBASE!$I$47</f>
        <v>14.41</v>
      </c>
      <c r="V658" s="632"/>
      <c r="W658" s="633">
        <f>CCBASE!$I$43*B658/1000</f>
        <v>88.624119999999991</v>
      </c>
      <c r="X658" s="633"/>
      <c r="Y658" s="633"/>
      <c r="Z658" s="633"/>
      <c r="AA658" s="633"/>
      <c r="AB658" s="633"/>
      <c r="AC658" s="633"/>
      <c r="AD658" s="652">
        <f>CCBASE!$I$35*2</f>
        <v>283.89648</v>
      </c>
      <c r="AI658" s="635"/>
      <c r="AJ658" s="635"/>
      <c r="AK658" s="636"/>
      <c r="AL658" s="636"/>
      <c r="AM658" s="636"/>
      <c r="AN658" s="636"/>
      <c r="AO658" s="636"/>
      <c r="AP658" s="636"/>
      <c r="AQ658" s="636"/>
      <c r="AR658" s="636"/>
      <c r="AS658" s="636"/>
    </row>
    <row r="659" spans="1:45" ht="17" thickBot="1" x14ac:dyDescent="0.25">
      <c r="A659" s="659" t="s">
        <v>768</v>
      </c>
      <c r="B659" s="631">
        <v>1250</v>
      </c>
      <c r="C659" s="631">
        <v>2000</v>
      </c>
      <c r="D659" s="651" t="str">
        <f t="shared" si="184"/>
        <v>UVX-M12502000</v>
      </c>
      <c r="E659" s="1054">
        <f t="shared" si="183"/>
        <v>1576.2413252000001</v>
      </c>
      <c r="F659" s="632">
        <v>21</v>
      </c>
      <c r="G659" s="633">
        <f>F659*CCBASE!$B$51</f>
        <v>756</v>
      </c>
      <c r="H659" s="633">
        <f>CCBASE!$I$11*B659/1000</f>
        <v>201.24120274999999</v>
      </c>
      <c r="I659" s="633"/>
      <c r="J659" s="633"/>
      <c r="K659" s="633"/>
      <c r="L659" s="638"/>
      <c r="M659" s="633">
        <f>CCBASE!$I$15*B659/1000</f>
        <v>99.807356250000012</v>
      </c>
      <c r="N659" s="633">
        <f>CCBASE!$I$7*B659/1000</f>
        <v>39.427849999999999</v>
      </c>
      <c r="O659" s="633">
        <f>CCBASE!$I$45*B659/1000</f>
        <v>12.4625</v>
      </c>
      <c r="P659" s="633">
        <f>CCBASE!$I$10</f>
        <v>30.661922000000001</v>
      </c>
      <c r="Q659" s="633">
        <f>CCBASE!$I$51</f>
        <v>2.9</v>
      </c>
      <c r="R659" s="633">
        <f>CCBASE!$I$4</f>
        <v>8.3986041999999994</v>
      </c>
      <c r="S659" s="633">
        <f>CCBASE!$I$8</f>
        <v>16.25526</v>
      </c>
      <c r="T659" s="632"/>
      <c r="U659" s="638">
        <f>CCBASE!$I$47</f>
        <v>14.41</v>
      </c>
      <c r="V659" s="632"/>
      <c r="W659" s="633">
        <f>CCBASE!$I$43*B659/1000</f>
        <v>110.78014999999999</v>
      </c>
      <c r="X659" s="633"/>
      <c r="Y659" s="633"/>
      <c r="Z659" s="633"/>
      <c r="AA659" s="633"/>
      <c r="AB659" s="633"/>
      <c r="AC659" s="633"/>
      <c r="AD659" s="652">
        <f>CCBASE!$I$35*2</f>
        <v>283.89648</v>
      </c>
      <c r="AI659" s="635"/>
      <c r="AJ659" s="635"/>
      <c r="AK659" s="636"/>
      <c r="AL659" s="636"/>
      <c r="AM659" s="636"/>
      <c r="AN659" s="636"/>
      <c r="AO659" s="636"/>
      <c r="AP659" s="636"/>
      <c r="AQ659" s="636"/>
      <c r="AR659" s="636"/>
      <c r="AS659" s="636"/>
    </row>
    <row r="660" spans="1:45" ht="17" thickBot="1" x14ac:dyDescent="0.25">
      <c r="A660" s="659" t="s">
        <v>768</v>
      </c>
      <c r="B660" s="631">
        <v>1500</v>
      </c>
      <c r="C660" s="631">
        <v>2000</v>
      </c>
      <c r="D660" s="651" t="str">
        <f t="shared" si="184"/>
        <v>UVX-M15002000</v>
      </c>
      <c r="E660" s="1054">
        <f t="shared" si="183"/>
        <v>1668.9851369999997</v>
      </c>
      <c r="F660" s="632">
        <v>21</v>
      </c>
      <c r="G660" s="633">
        <f>F660*CCBASE!$B$51</f>
        <v>756</v>
      </c>
      <c r="H660" s="633">
        <f>CCBASE!$I$11*B660/1000</f>
        <v>241.48944329999998</v>
      </c>
      <c r="I660" s="633"/>
      <c r="J660" s="633"/>
      <c r="K660" s="633"/>
      <c r="L660" s="638"/>
      <c r="M660" s="633">
        <f>CCBASE!$I$15*B660/1000</f>
        <v>119.76882750000001</v>
      </c>
      <c r="N660" s="633">
        <f>CCBASE!$I$7*B660/1000</f>
        <v>47.313420000000008</v>
      </c>
      <c r="O660" s="633">
        <f>CCBASE!$I$45*B660/1000</f>
        <v>14.955000000000002</v>
      </c>
      <c r="P660" s="633">
        <f>CCBASE!$I$10</f>
        <v>30.661922000000001</v>
      </c>
      <c r="Q660" s="633">
        <f>CCBASE!$I$51</f>
        <v>2.9</v>
      </c>
      <c r="R660" s="633">
        <f>CCBASE!$I$4</f>
        <v>8.3986041999999994</v>
      </c>
      <c r="S660" s="633">
        <f>CCBASE!$I$8</f>
        <v>16.25526</v>
      </c>
      <c r="T660" s="632"/>
      <c r="U660" s="638">
        <f>CCBASE!$I$47</f>
        <v>14.41</v>
      </c>
      <c r="V660" s="632"/>
      <c r="W660" s="633">
        <f>CCBASE!$I$43*B660/1000</f>
        <v>132.93617999999998</v>
      </c>
      <c r="X660" s="633"/>
      <c r="Y660" s="633"/>
      <c r="Z660" s="633"/>
      <c r="AA660" s="633"/>
      <c r="AB660" s="633"/>
      <c r="AC660" s="633"/>
      <c r="AD660" s="652">
        <f>CCBASE!$I$35*2</f>
        <v>283.89648</v>
      </c>
      <c r="AI660" s="635"/>
      <c r="AJ660" s="635"/>
      <c r="AK660" s="636"/>
      <c r="AL660" s="636"/>
      <c r="AM660" s="636"/>
      <c r="AN660" s="636"/>
      <c r="AO660" s="636"/>
      <c r="AP660" s="636"/>
      <c r="AQ660" s="636"/>
      <c r="AR660" s="636"/>
      <c r="AS660" s="636"/>
    </row>
    <row r="661" spans="1:45" ht="17" thickBot="1" x14ac:dyDescent="0.25">
      <c r="A661" s="659" t="s">
        <v>768</v>
      </c>
      <c r="B661" s="631">
        <v>1750</v>
      </c>
      <c r="C661" s="631">
        <v>2000</v>
      </c>
      <c r="D661" s="651" t="str">
        <f t="shared" si="184"/>
        <v>UVX-M17502000</v>
      </c>
      <c r="E661" s="1054">
        <f t="shared" ref="E661:E670" si="185">SUM(G661:AD661)</f>
        <v>1761.7289488000001</v>
      </c>
      <c r="F661" s="632">
        <v>21</v>
      </c>
      <c r="G661" s="633">
        <f>F661*CCBASE!$B$51</f>
        <v>756</v>
      </c>
      <c r="H661" s="633">
        <f>CCBASE!$I$11*B661/1000</f>
        <v>281.73768385</v>
      </c>
      <c r="I661" s="633"/>
      <c r="J661" s="633"/>
      <c r="K661" s="633"/>
      <c r="L661" s="638"/>
      <c r="M661" s="633">
        <f>CCBASE!$I$15*B661/1000</f>
        <v>139.73029875</v>
      </c>
      <c r="N661" s="633">
        <f>CCBASE!$I$7*B661/1000</f>
        <v>55.198990000000002</v>
      </c>
      <c r="O661" s="633">
        <f>CCBASE!$I$45*B661/1000</f>
        <v>17.447500000000002</v>
      </c>
      <c r="P661" s="633">
        <f>CCBASE!$I$10</f>
        <v>30.661922000000001</v>
      </c>
      <c r="Q661" s="633">
        <f>CCBASE!$I$51</f>
        <v>2.9</v>
      </c>
      <c r="R661" s="633">
        <f>CCBASE!$I$4</f>
        <v>8.3986041999999994</v>
      </c>
      <c r="S661" s="633">
        <f>CCBASE!$I$8</f>
        <v>16.25526</v>
      </c>
      <c r="T661" s="632"/>
      <c r="U661" s="638">
        <f>CCBASE!$I$47</f>
        <v>14.41</v>
      </c>
      <c r="V661" s="632"/>
      <c r="W661" s="633">
        <f>CCBASE!$I$43*B661/1000</f>
        <v>155.09220999999999</v>
      </c>
      <c r="X661" s="633"/>
      <c r="Y661" s="633"/>
      <c r="Z661" s="633"/>
      <c r="AA661" s="633"/>
      <c r="AB661" s="633"/>
      <c r="AC661" s="633"/>
      <c r="AD661" s="652">
        <f>CCBASE!$I$35*2</f>
        <v>283.89648</v>
      </c>
      <c r="AI661" s="635"/>
      <c r="AJ661" s="635"/>
      <c r="AK661" s="636"/>
      <c r="AL661" s="636"/>
      <c r="AM661" s="636"/>
      <c r="AN661" s="636"/>
      <c r="AO661" s="636"/>
      <c r="AP661" s="636"/>
      <c r="AQ661" s="636"/>
      <c r="AR661" s="636"/>
      <c r="AS661" s="636"/>
    </row>
    <row r="662" spans="1:45" ht="17" thickBot="1" x14ac:dyDescent="0.25">
      <c r="A662" s="659" t="s">
        <v>768</v>
      </c>
      <c r="B662" s="631">
        <v>2000</v>
      </c>
      <c r="C662" s="631">
        <v>2000</v>
      </c>
      <c r="D662" s="651" t="str">
        <f t="shared" si="184"/>
        <v>UVX-M20002000</v>
      </c>
      <c r="E662" s="1054">
        <f t="shared" si="185"/>
        <v>1863.5219608999996</v>
      </c>
      <c r="F662" s="632">
        <v>21</v>
      </c>
      <c r="G662" s="633">
        <f>F662*CCBASE!$B$51</f>
        <v>756</v>
      </c>
      <c r="H662" s="633">
        <f>CCBASE!$I$11*B662/1000</f>
        <v>321.98592439999999</v>
      </c>
      <c r="I662" s="633"/>
      <c r="J662" s="633"/>
      <c r="K662" s="633"/>
      <c r="L662" s="638"/>
      <c r="M662" s="633">
        <f>CCBASE!$I$15*B662/1000</f>
        <v>159.69177000000002</v>
      </c>
      <c r="N662" s="633">
        <f>CCBASE!$I$7*B662/1000</f>
        <v>63.084560000000003</v>
      </c>
      <c r="O662" s="633">
        <f>CCBASE!$I$45*B662/1000</f>
        <v>19.940000000000001</v>
      </c>
      <c r="P662" s="633">
        <f>CCBASE!$I$9</f>
        <v>39.7111223</v>
      </c>
      <c r="Q662" s="633">
        <f>CCBASE!$I$51</f>
        <v>2.9</v>
      </c>
      <c r="R662" s="633">
        <f>CCBASE!$I$4</f>
        <v>8.3986041999999994</v>
      </c>
      <c r="S662" s="633">
        <f>CCBASE!$I$8</f>
        <v>16.25526</v>
      </c>
      <c r="T662" s="632"/>
      <c r="U662" s="638">
        <f>CCBASE!$I$47</f>
        <v>14.41</v>
      </c>
      <c r="V662" s="632"/>
      <c r="W662" s="633">
        <f>CCBASE!$I$43*B662/1000</f>
        <v>177.24823999999998</v>
      </c>
      <c r="X662" s="633"/>
      <c r="Y662" s="633"/>
      <c r="Z662" s="633"/>
      <c r="AA662" s="633"/>
      <c r="AB662" s="633"/>
      <c r="AC662" s="633"/>
      <c r="AD662" s="652">
        <f>CCBASE!$I$35*2</f>
        <v>283.89648</v>
      </c>
      <c r="AI662" s="635"/>
      <c r="AJ662" s="635"/>
    </row>
    <row r="663" spans="1:45" ht="17" thickBot="1" x14ac:dyDescent="0.25">
      <c r="A663" s="659" t="s">
        <v>768</v>
      </c>
      <c r="B663" s="631">
        <v>2250</v>
      </c>
      <c r="C663" s="631">
        <v>2000</v>
      </c>
      <c r="D663" s="651" t="str">
        <f t="shared" si="184"/>
        <v>UVX-M22502000</v>
      </c>
      <c r="E663" s="1054">
        <f t="shared" si="185"/>
        <v>2006.6757726999995</v>
      </c>
      <c r="F663" s="632">
        <v>22</v>
      </c>
      <c r="G663" s="633">
        <f>F663*CCBASE!$B$51</f>
        <v>792</v>
      </c>
      <c r="H663" s="633">
        <f>CCBASE!$I$11*B663/1000</f>
        <v>362.23416494999998</v>
      </c>
      <c r="I663" s="633"/>
      <c r="J663" s="633"/>
      <c r="K663" s="633"/>
      <c r="L663" s="638"/>
      <c r="M663" s="633">
        <f>CCBASE!$I$15*B663/1000</f>
        <v>179.65324125000001</v>
      </c>
      <c r="N663" s="633">
        <f>CCBASE!$I$7*B663/1000</f>
        <v>70.970130000000012</v>
      </c>
      <c r="O663" s="633">
        <f>CCBASE!$I$45*B663/1000</f>
        <v>22.432500000000001</v>
      </c>
      <c r="P663" s="633">
        <f>CCBASE!$I$9</f>
        <v>39.7111223</v>
      </c>
      <c r="Q663" s="633">
        <f>CCBASE!$I$51</f>
        <v>2.9</v>
      </c>
      <c r="R663" s="633">
        <f>CCBASE!$I$4</f>
        <v>8.3986041999999994</v>
      </c>
      <c r="S663" s="633">
        <f>CCBASE!$I$8</f>
        <v>16.25526</v>
      </c>
      <c r="T663" s="632"/>
      <c r="U663" s="638">
        <f>CCBASE!$I$47*2</f>
        <v>28.82</v>
      </c>
      <c r="V663" s="632"/>
      <c r="W663" s="633">
        <f>CCBASE!$I$43*B663/1000</f>
        <v>199.40427</v>
      </c>
      <c r="X663" s="633"/>
      <c r="Y663" s="633"/>
      <c r="Z663" s="633"/>
      <c r="AA663" s="633"/>
      <c r="AB663" s="633"/>
      <c r="AC663" s="633"/>
      <c r="AD663" s="652">
        <f>CCBASE!$I$35*2</f>
        <v>283.89648</v>
      </c>
      <c r="AI663" s="635"/>
      <c r="AJ663" s="635"/>
      <c r="AR663" s="636"/>
      <c r="AS663" s="636"/>
    </row>
    <row r="664" spans="1:45" ht="17" thickBot="1" x14ac:dyDescent="0.25">
      <c r="A664" s="659" t="s">
        <v>768</v>
      </c>
      <c r="B664" s="631">
        <v>2500</v>
      </c>
      <c r="C664" s="631">
        <v>2000</v>
      </c>
      <c r="D664" s="651" t="str">
        <f t="shared" si="184"/>
        <v>UVX-M25002000</v>
      </c>
      <c r="E664" s="1054">
        <f t="shared" si="185"/>
        <v>2099.4195844999995</v>
      </c>
      <c r="F664" s="632">
        <v>22</v>
      </c>
      <c r="G664" s="633">
        <f>F664*CCBASE!$B$51</f>
        <v>792</v>
      </c>
      <c r="H664" s="633">
        <f>CCBASE!$I$11*B664/1000</f>
        <v>402.48240549999997</v>
      </c>
      <c r="I664" s="633"/>
      <c r="J664" s="633"/>
      <c r="K664" s="633"/>
      <c r="L664" s="638"/>
      <c r="M664" s="633">
        <f>CCBASE!$I$15*B664/1000</f>
        <v>199.61471250000002</v>
      </c>
      <c r="N664" s="633">
        <f>CCBASE!$I$7*B664/1000</f>
        <v>78.855699999999999</v>
      </c>
      <c r="O664" s="633">
        <f>CCBASE!$I$45*B664/1000</f>
        <v>24.925000000000001</v>
      </c>
      <c r="P664" s="633">
        <f>CCBASE!$I$9</f>
        <v>39.7111223</v>
      </c>
      <c r="Q664" s="633">
        <f>CCBASE!$I$51</f>
        <v>2.9</v>
      </c>
      <c r="R664" s="633">
        <f>CCBASE!$I$4</f>
        <v>8.3986041999999994</v>
      </c>
      <c r="S664" s="633">
        <f>CCBASE!$I$8</f>
        <v>16.25526</v>
      </c>
      <c r="T664" s="632"/>
      <c r="U664" s="638">
        <f>CCBASE!$I$47*2</f>
        <v>28.82</v>
      </c>
      <c r="V664" s="632"/>
      <c r="W664" s="633">
        <f>CCBASE!$I$43*B664/1000</f>
        <v>221.56029999999998</v>
      </c>
      <c r="X664" s="633"/>
      <c r="Y664" s="633"/>
      <c r="Z664" s="633"/>
      <c r="AA664" s="633"/>
      <c r="AB664" s="633"/>
      <c r="AC664" s="633"/>
      <c r="AD664" s="652">
        <f>CCBASE!$I$35*2</f>
        <v>283.89648</v>
      </c>
      <c r="AI664" s="635"/>
      <c r="AJ664" s="635"/>
      <c r="AR664" s="636"/>
      <c r="AS664" s="636"/>
    </row>
    <row r="665" spans="1:45" ht="17" thickBot="1" x14ac:dyDescent="0.25">
      <c r="A665" s="659" t="s">
        <v>768</v>
      </c>
      <c r="B665" s="631">
        <v>2750</v>
      </c>
      <c r="C665" s="631">
        <v>2000</v>
      </c>
      <c r="D665" s="651" t="str">
        <f t="shared" si="184"/>
        <v>UVX-M27502000</v>
      </c>
      <c r="E665" s="1054">
        <f t="shared" si="185"/>
        <v>2228.1633962999995</v>
      </c>
      <c r="F665" s="632">
        <v>23</v>
      </c>
      <c r="G665" s="633">
        <f>F665*CCBASE!$B$51</f>
        <v>828</v>
      </c>
      <c r="H665" s="633">
        <f>CCBASE!$I$11*B665/1000</f>
        <v>442.73064604999996</v>
      </c>
      <c r="I665" s="633"/>
      <c r="J665" s="633"/>
      <c r="K665" s="633"/>
      <c r="L665" s="638"/>
      <c r="M665" s="633">
        <f>CCBASE!$I$15*B665/1000</f>
        <v>219.57618375000001</v>
      </c>
      <c r="N665" s="633">
        <f>CCBASE!$I$7*B665/1000</f>
        <v>86.74127</v>
      </c>
      <c r="O665" s="633">
        <f>CCBASE!$I$45*B665/1000</f>
        <v>27.4175</v>
      </c>
      <c r="P665" s="633">
        <f>CCBASE!$I$9</f>
        <v>39.7111223</v>
      </c>
      <c r="Q665" s="633">
        <f>CCBASE!$I$51</f>
        <v>2.9</v>
      </c>
      <c r="R665" s="633">
        <f>CCBASE!$I$4</f>
        <v>8.3986041999999994</v>
      </c>
      <c r="S665" s="633">
        <f>CCBASE!$I$8</f>
        <v>16.25526</v>
      </c>
      <c r="T665" s="632"/>
      <c r="U665" s="638">
        <f>CCBASE!$I$47*2</f>
        <v>28.82</v>
      </c>
      <c r="V665" s="632"/>
      <c r="W665" s="633">
        <f>CCBASE!$I$43*B665/1000</f>
        <v>243.71633</v>
      </c>
      <c r="X665" s="633"/>
      <c r="Y665" s="633"/>
      <c r="Z665" s="633"/>
      <c r="AA665" s="633"/>
      <c r="AB665" s="633"/>
      <c r="AC665" s="633"/>
      <c r="AD665" s="652">
        <f>CCBASE!$I$35*2</f>
        <v>283.89648</v>
      </c>
      <c r="AI665" s="635"/>
      <c r="AJ665" s="635"/>
      <c r="AK665" s="636"/>
      <c r="AL665" s="636"/>
      <c r="AM665" s="636"/>
      <c r="AN665" s="636"/>
      <c r="AO665" s="636"/>
      <c r="AP665" s="636"/>
      <c r="AQ665" s="636"/>
      <c r="AR665" s="636"/>
      <c r="AS665" s="636"/>
    </row>
    <row r="666" spans="1:45" ht="17" thickBot="1" x14ac:dyDescent="0.25">
      <c r="A666" s="659" t="s">
        <v>768</v>
      </c>
      <c r="B666" s="653">
        <v>3000</v>
      </c>
      <c r="C666" s="653">
        <v>2000</v>
      </c>
      <c r="D666" s="654" t="str">
        <f t="shared" si="184"/>
        <v>UVX-M30002000</v>
      </c>
      <c r="E666" s="1054">
        <f t="shared" si="185"/>
        <v>2320.9072080999995</v>
      </c>
      <c r="F666" s="632">
        <v>23</v>
      </c>
      <c r="G666" s="655">
        <f>F666*CCBASE!$B$51</f>
        <v>828</v>
      </c>
      <c r="H666" s="655">
        <f>CCBASE!$I$11*B666/1000</f>
        <v>482.97888659999995</v>
      </c>
      <c r="I666" s="655"/>
      <c r="J666" s="655"/>
      <c r="K666" s="655"/>
      <c r="L666" s="656"/>
      <c r="M666" s="655">
        <f>CCBASE!$I$15*B666/1000</f>
        <v>239.53765500000003</v>
      </c>
      <c r="N666" s="655">
        <f>CCBASE!$I$7*B666/1000</f>
        <v>94.626840000000016</v>
      </c>
      <c r="O666" s="655">
        <f>CCBASE!$I$45*B666/1000</f>
        <v>29.910000000000004</v>
      </c>
      <c r="P666" s="655">
        <f>CCBASE!$I$9</f>
        <v>39.7111223</v>
      </c>
      <c r="Q666" s="655">
        <f>CCBASE!$I$51</f>
        <v>2.9</v>
      </c>
      <c r="R666" s="655">
        <f>CCBASE!$I$4</f>
        <v>8.3986041999999994</v>
      </c>
      <c r="S666" s="655">
        <f>CCBASE!$I$8</f>
        <v>16.25526</v>
      </c>
      <c r="T666" s="657"/>
      <c r="U666" s="656">
        <f>CCBASE!$I$47*2</f>
        <v>28.82</v>
      </c>
      <c r="V666" s="657"/>
      <c r="W666" s="655">
        <f>CCBASE!$I$43*B666/1000</f>
        <v>265.87235999999996</v>
      </c>
      <c r="X666" s="655"/>
      <c r="Y666" s="655"/>
      <c r="Z666" s="655"/>
      <c r="AA666" s="655"/>
      <c r="AB666" s="655"/>
      <c r="AC666" s="655"/>
      <c r="AD666" s="658">
        <f>CCBASE!$I$35*2</f>
        <v>283.89648</v>
      </c>
      <c r="AI666" s="635"/>
      <c r="AJ666" s="635"/>
      <c r="AK666" s="636"/>
      <c r="AL666" s="636"/>
      <c r="AM666" s="636"/>
      <c r="AN666" s="636"/>
      <c r="AO666" s="636"/>
      <c r="AP666" s="636"/>
      <c r="AQ666" s="636"/>
      <c r="AR666" s="636"/>
      <c r="AS666" s="636"/>
    </row>
    <row r="667" spans="1:45" x14ac:dyDescent="0.2">
      <c r="A667" s="660" t="s">
        <v>663</v>
      </c>
      <c r="B667" s="631">
        <v>1500</v>
      </c>
      <c r="C667" s="631">
        <v>1000</v>
      </c>
      <c r="D667" s="651" t="str">
        <f t="shared" ref="D667:D670" si="186">$A667&amp;B667&amp;C667</f>
        <v>UV-C POD15001000</v>
      </c>
      <c r="E667" s="1054">
        <f t="shared" si="185"/>
        <v>1090</v>
      </c>
      <c r="F667" s="632">
        <v>20</v>
      </c>
      <c r="G667" s="633">
        <f>F667*CCBASE!$B$51</f>
        <v>720</v>
      </c>
      <c r="H667" s="633"/>
      <c r="I667" s="633">
        <v>320</v>
      </c>
      <c r="J667" s="633">
        <v>50</v>
      </c>
      <c r="K667" s="633"/>
      <c r="L667" s="638"/>
      <c r="M667" s="638"/>
      <c r="N667" s="638"/>
      <c r="O667" s="638"/>
      <c r="P667" s="638"/>
      <c r="Q667" s="638"/>
      <c r="R667" s="638"/>
      <c r="S667" s="638"/>
      <c r="T667" s="638"/>
      <c r="U667" s="638"/>
      <c r="V667" s="638"/>
      <c r="W667" s="638"/>
      <c r="X667" s="638"/>
      <c r="Y667" s="638"/>
      <c r="Z667" s="638"/>
      <c r="AA667" s="638"/>
      <c r="AB667" s="638"/>
      <c r="AC667" s="638"/>
      <c r="AD667" s="638"/>
      <c r="AI667" s="635"/>
      <c r="AJ667" s="635"/>
      <c r="AR667" s="636"/>
      <c r="AS667" s="636"/>
    </row>
    <row r="668" spans="1:45" x14ac:dyDescent="0.2">
      <c r="A668" s="660" t="s">
        <v>663</v>
      </c>
      <c r="B668" s="631">
        <v>2000</v>
      </c>
      <c r="C668" s="631">
        <v>1000</v>
      </c>
      <c r="D668" s="651" t="str">
        <f t="shared" si="186"/>
        <v>UV-C POD20001000</v>
      </c>
      <c r="E668" s="1054">
        <f t="shared" si="185"/>
        <v>1196</v>
      </c>
      <c r="F668" s="632">
        <v>20</v>
      </c>
      <c r="G668" s="633">
        <f>F668*CCBASE!$B$51</f>
        <v>720</v>
      </c>
      <c r="H668" s="633"/>
      <c r="I668" s="633">
        <v>426</v>
      </c>
      <c r="J668" s="633">
        <v>50</v>
      </c>
      <c r="K668" s="633"/>
      <c r="L668" s="638"/>
      <c r="M668" s="638"/>
      <c r="N668" s="638"/>
      <c r="O668" s="638"/>
      <c r="P668" s="638"/>
      <c r="Q668" s="638"/>
      <c r="R668" s="638"/>
      <c r="S668" s="638"/>
      <c r="T668" s="638"/>
      <c r="U668" s="638"/>
      <c r="V668" s="638"/>
      <c r="W668" s="638"/>
      <c r="X668" s="638"/>
      <c r="Y668" s="638"/>
      <c r="Z668" s="638"/>
      <c r="AA668" s="638"/>
      <c r="AB668" s="638"/>
      <c r="AC668" s="638"/>
      <c r="AD668" s="638"/>
      <c r="AI668" s="635"/>
      <c r="AJ668" s="635"/>
      <c r="AR668" s="636"/>
      <c r="AS668" s="636"/>
    </row>
    <row r="669" spans="1:45" x14ac:dyDescent="0.2">
      <c r="A669" s="660" t="s">
        <v>663</v>
      </c>
      <c r="B669" s="631">
        <v>2500</v>
      </c>
      <c r="C669" s="631">
        <v>1000</v>
      </c>
      <c r="D669" s="651" t="str">
        <f t="shared" si="186"/>
        <v>UV-C POD25001000</v>
      </c>
      <c r="E669" s="1054">
        <f t="shared" si="185"/>
        <v>1303</v>
      </c>
      <c r="F669" s="632">
        <v>20</v>
      </c>
      <c r="G669" s="633">
        <f>F669*CCBASE!$B$51</f>
        <v>720</v>
      </c>
      <c r="H669" s="633"/>
      <c r="I669" s="633">
        <v>533</v>
      </c>
      <c r="J669" s="633">
        <v>50</v>
      </c>
      <c r="K669" s="633"/>
      <c r="L669" s="638"/>
      <c r="M669" s="638"/>
      <c r="N669" s="638"/>
      <c r="O669" s="638"/>
      <c r="P669" s="638"/>
      <c r="Q669" s="638"/>
      <c r="R669" s="638"/>
      <c r="S669" s="638"/>
      <c r="T669" s="638"/>
      <c r="U669" s="638"/>
      <c r="V669" s="638"/>
      <c r="W669" s="638"/>
      <c r="X669" s="638"/>
      <c r="Y669" s="638"/>
      <c r="Z669" s="638"/>
      <c r="AA669" s="638"/>
      <c r="AB669" s="638"/>
      <c r="AC669" s="638"/>
      <c r="AD669" s="638"/>
      <c r="AI669" s="635"/>
      <c r="AJ669" s="635"/>
      <c r="AK669" s="636"/>
      <c r="AL669" s="636"/>
      <c r="AM669" s="636"/>
      <c r="AN669" s="636"/>
      <c r="AO669" s="636"/>
      <c r="AP669" s="636"/>
      <c r="AQ669" s="636"/>
      <c r="AR669" s="636"/>
      <c r="AS669" s="636"/>
    </row>
    <row r="670" spans="1:45" ht="17" thickBot="1" x14ac:dyDescent="0.25">
      <c r="A670" s="660" t="s">
        <v>663</v>
      </c>
      <c r="B670" s="653">
        <v>3000</v>
      </c>
      <c r="C670" s="653">
        <v>1000</v>
      </c>
      <c r="D670" s="654" t="str">
        <f t="shared" si="186"/>
        <v>UV-C POD30001000</v>
      </c>
      <c r="E670" s="1054">
        <f t="shared" si="185"/>
        <v>1409</v>
      </c>
      <c r="F670" s="657">
        <v>20</v>
      </c>
      <c r="G670" s="655">
        <f>F670*CCBASE!$B$51</f>
        <v>720</v>
      </c>
      <c r="H670" s="655"/>
      <c r="I670" s="655">
        <v>639</v>
      </c>
      <c r="J670" s="655">
        <v>50</v>
      </c>
      <c r="K670" s="655"/>
      <c r="L670" s="638"/>
      <c r="M670" s="638"/>
      <c r="N670" s="638"/>
      <c r="O670" s="638"/>
      <c r="P670" s="638"/>
      <c r="Q670" s="638"/>
      <c r="R670" s="638"/>
      <c r="S670" s="638"/>
      <c r="T670" s="638"/>
      <c r="U670" s="638"/>
      <c r="V670" s="638"/>
      <c r="W670" s="638"/>
      <c r="X670" s="638"/>
      <c r="Y670" s="638"/>
      <c r="Z670" s="638"/>
      <c r="AA670" s="638"/>
      <c r="AB670" s="638"/>
      <c r="AC670" s="638"/>
      <c r="AD670" s="638"/>
      <c r="AI670" s="635"/>
      <c r="AJ670" s="635"/>
      <c r="AK670" s="636"/>
      <c r="AL670" s="636"/>
      <c r="AM670" s="636"/>
      <c r="AN670" s="636"/>
      <c r="AO670" s="636"/>
      <c r="AP670" s="636"/>
      <c r="AQ670" s="636"/>
      <c r="AR670" s="636"/>
      <c r="AS670" s="636"/>
    </row>
  </sheetData>
  <conditionalFormatting sqref="A2:D670">
    <cfRule type="cellIs" dxfId="10998" priority="1" operator="greaterThan">
      <formula>0</formula>
    </cfRule>
  </conditionalFormatting>
  <conditionalFormatting sqref="F2:AD670">
    <cfRule type="cellIs" dxfId="10997" priority="2" operator="greaterThan">
      <formula>0</formula>
    </cfRule>
  </conditionalFormatting>
  <pageMargins left="0.7" right="0.7" top="0.75" bottom="0.75" header="0.3" footer="0.3"/>
  <pageSetup paperSize="9" orientation="portrait" verticalDpi="0" r:id="rId1"/>
  <cellWatches>
    <cellWatch r="E2"/>
  </cellWatche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426" bestFit="1" customWidth="1"/>
    <col min="2" max="2" width="12.5" style="426" bestFit="1" customWidth="1"/>
    <col min="3" max="3" width="19.1640625" style="426" bestFit="1" customWidth="1"/>
    <col min="4" max="4" width="26.1640625" style="426" bestFit="1" customWidth="1"/>
    <col min="5" max="5" width="12.5" style="426" bestFit="1" customWidth="1"/>
    <col min="6" max="6" width="14" style="426" bestFit="1" customWidth="1"/>
    <col min="7" max="7" width="14.33203125" style="426" bestFit="1" customWidth="1"/>
    <col min="8" max="8" width="16.6640625" style="426" bestFit="1" customWidth="1"/>
    <col min="9" max="10" width="13.33203125" style="426" bestFit="1" customWidth="1"/>
    <col min="11" max="11" width="12.5" style="426" bestFit="1" customWidth="1"/>
    <col min="12" max="12" width="14.33203125" style="426" bestFit="1" customWidth="1"/>
    <col min="13" max="13" width="16.6640625" style="426" bestFit="1" customWidth="1"/>
    <col min="14" max="14" width="13.33203125" style="426" bestFit="1" customWidth="1"/>
    <col min="15" max="15" width="7.33203125" style="426" customWidth="1"/>
    <col min="16" max="16" width="29.1640625" style="426" customWidth="1"/>
    <col min="17" max="17" width="21.6640625" style="426" bestFit="1" customWidth="1"/>
    <col min="18" max="16384" width="8.83203125" style="426"/>
  </cols>
  <sheetData>
    <row r="1" spans="1:17" ht="16" x14ac:dyDescent="0.2">
      <c r="A1" s="443" t="s">
        <v>1383</v>
      </c>
      <c r="B1" s="444"/>
      <c r="C1" s="445"/>
      <c r="D1" s="444"/>
      <c r="E1" s="444"/>
      <c r="F1" s="445"/>
      <c r="G1" s="445"/>
      <c r="H1" s="445"/>
      <c r="I1" s="445"/>
      <c r="J1" s="428"/>
      <c r="K1" s="428"/>
      <c r="L1" s="428"/>
      <c r="M1" s="427"/>
      <c r="N1" s="427"/>
      <c r="O1" s="427"/>
      <c r="P1" s="427"/>
      <c r="Q1" s="427"/>
    </row>
    <row r="2" spans="1:17" x14ac:dyDescent="0.15">
      <c r="A2" s="430"/>
      <c r="B2" s="430"/>
      <c r="C2" s="430"/>
      <c r="D2" s="430"/>
      <c r="E2" s="430"/>
      <c r="F2" s="430"/>
      <c r="G2" s="430"/>
      <c r="H2" s="430"/>
      <c r="I2" s="430"/>
      <c r="J2" s="430"/>
      <c r="K2" s="430"/>
      <c r="L2" s="430"/>
      <c r="M2" s="429"/>
      <c r="N2" s="430"/>
      <c r="O2" s="430"/>
      <c r="P2" s="430"/>
      <c r="Q2" s="430"/>
    </row>
    <row r="3" spans="1:17" ht="14" x14ac:dyDescent="0.15">
      <c r="A3" s="456"/>
      <c r="B3" s="454" t="s">
        <v>147</v>
      </c>
      <c r="C3" s="457" t="s">
        <v>155</v>
      </c>
      <c r="D3" s="454" t="s">
        <v>148</v>
      </c>
      <c r="E3" s="457" t="s">
        <v>149</v>
      </c>
      <c r="F3" s="457" t="s">
        <v>150</v>
      </c>
      <c r="G3" s="457" t="s">
        <v>161</v>
      </c>
      <c r="H3" s="457" t="s">
        <v>162</v>
      </c>
      <c r="I3" s="454" t="s">
        <v>90</v>
      </c>
      <c r="J3" s="428"/>
      <c r="K3" s="430"/>
      <c r="L3" s="430"/>
      <c r="M3" s="430"/>
    </row>
    <row r="4" spans="1:17" x14ac:dyDescent="0.15">
      <c r="A4" s="458" t="s">
        <v>156</v>
      </c>
      <c r="B4" s="455" t="s">
        <v>151</v>
      </c>
      <c r="C4" s="435">
        <f t="shared" ref="C4:C48" si="0">HLOOKUP(B4,$A$50:$N$51,2,FALSE)</f>
        <v>44.47</v>
      </c>
      <c r="D4" s="455">
        <v>0.14199999999999999</v>
      </c>
      <c r="E4" s="436">
        <f t="shared" ref="E4:E48" si="1">C4*D4</f>
        <v>6.3147399999999996</v>
      </c>
      <c r="F4" s="436">
        <f t="shared" ref="F4:F43" si="2">E4*$A$51</f>
        <v>2.0838641999999998</v>
      </c>
      <c r="G4" s="435"/>
      <c r="H4" s="435"/>
      <c r="I4" s="437">
        <f>SUM(E4:H4)</f>
        <v>8.3986041999999994</v>
      </c>
      <c r="J4" s="438"/>
    </row>
    <row r="5" spans="1:17" x14ac:dyDescent="0.15">
      <c r="A5" s="458" t="s">
        <v>157</v>
      </c>
      <c r="B5" s="441" t="s">
        <v>151</v>
      </c>
      <c r="C5" s="435">
        <f t="shared" si="0"/>
        <v>44.47</v>
      </c>
      <c r="D5" s="441">
        <v>0.79300000000000004</v>
      </c>
      <c r="E5" s="436">
        <f t="shared" si="1"/>
        <v>35.264710000000001</v>
      </c>
      <c r="F5" s="436">
        <f t="shared" si="2"/>
        <v>11.6373543</v>
      </c>
      <c r="G5" s="435"/>
      <c r="H5" s="435"/>
      <c r="I5" s="437">
        <f>SUM(E5:H5)</f>
        <v>46.902064299999999</v>
      </c>
      <c r="J5" s="438"/>
    </row>
    <row r="6" spans="1:17" x14ac:dyDescent="0.15">
      <c r="A6" s="458" t="s">
        <v>574</v>
      </c>
      <c r="B6" s="441" t="s">
        <v>151</v>
      </c>
      <c r="C6" s="435">
        <f t="shared" si="0"/>
        <v>44.47</v>
      </c>
      <c r="D6" s="441">
        <v>2.0499999999999998</v>
      </c>
      <c r="E6" s="436">
        <f t="shared" si="1"/>
        <v>91.163499999999985</v>
      </c>
      <c r="F6" s="436">
        <f t="shared" si="2"/>
        <v>30.083954999999996</v>
      </c>
      <c r="G6" s="435"/>
      <c r="H6" s="435"/>
      <c r="I6" s="437">
        <f>SUM(E6:H6)</f>
        <v>121.24745499999997</v>
      </c>
      <c r="J6" s="438"/>
    </row>
    <row r="7" spans="1:17" x14ac:dyDescent="0.15">
      <c r="A7" s="458" t="s">
        <v>207</v>
      </c>
      <c r="B7" s="441" t="s">
        <v>154</v>
      </c>
      <c r="C7" s="788">
        <f t="shared" si="0"/>
        <v>30.8</v>
      </c>
      <c r="D7" s="441">
        <v>0.77</v>
      </c>
      <c r="E7" s="436">
        <f t="shared" si="1"/>
        <v>23.716000000000001</v>
      </c>
      <c r="F7" s="436">
        <f t="shared" si="2"/>
        <v>7.8262800000000006</v>
      </c>
      <c r="G7" s="435"/>
      <c r="H7" s="435"/>
      <c r="I7" s="437">
        <f>SUM(E7:H7)</f>
        <v>31.542280000000002</v>
      </c>
      <c r="J7" s="438"/>
    </row>
    <row r="8" spans="1:17" x14ac:dyDescent="0.15">
      <c r="A8" s="458" t="s">
        <v>158</v>
      </c>
      <c r="B8" s="441" t="s">
        <v>152</v>
      </c>
      <c r="C8" s="435">
        <f t="shared" si="0"/>
        <v>40.74</v>
      </c>
      <c r="D8" s="441">
        <v>0.3</v>
      </c>
      <c r="E8" s="436">
        <f t="shared" si="1"/>
        <v>12.222</v>
      </c>
      <c r="F8" s="436">
        <f t="shared" si="2"/>
        <v>4.0332600000000003</v>
      </c>
      <c r="G8" s="435"/>
      <c r="H8" s="435"/>
      <c r="I8" s="437">
        <f>SUM(E8:H8)</f>
        <v>16.25526</v>
      </c>
      <c r="J8" s="434"/>
    </row>
    <row r="9" spans="1:17" x14ac:dyDescent="0.15">
      <c r="A9" s="458" t="s">
        <v>159</v>
      </c>
      <c r="B9" s="441" t="s">
        <v>151</v>
      </c>
      <c r="C9" s="435">
        <f t="shared" si="0"/>
        <v>44.47</v>
      </c>
      <c r="D9" s="441">
        <v>0.373</v>
      </c>
      <c r="E9" s="439">
        <f t="shared" si="1"/>
        <v>16.587309999999999</v>
      </c>
      <c r="F9" s="439">
        <f t="shared" si="2"/>
        <v>5.4738122999999996</v>
      </c>
      <c r="G9" s="435">
        <f>$C$51</f>
        <v>12.19</v>
      </c>
      <c r="H9" s="435">
        <f>$D$51</f>
        <v>5.46</v>
      </c>
      <c r="I9" s="437">
        <f t="shared" ref="I9:I10" si="3">SUM(E9:H9)</f>
        <v>39.7111223</v>
      </c>
      <c r="J9" s="438"/>
    </row>
    <row r="10" spans="1:17" x14ac:dyDescent="0.15">
      <c r="A10" s="458" t="s">
        <v>160</v>
      </c>
      <c r="B10" s="441" t="s">
        <v>151</v>
      </c>
      <c r="C10" s="435">
        <f t="shared" si="0"/>
        <v>44.47</v>
      </c>
      <c r="D10" s="441">
        <v>0.22</v>
      </c>
      <c r="E10" s="439">
        <f t="shared" si="1"/>
        <v>9.7834000000000003</v>
      </c>
      <c r="F10" s="439">
        <f t="shared" si="2"/>
        <v>3.2285220000000003</v>
      </c>
      <c r="G10" s="435">
        <f>$C$51</f>
        <v>12.19</v>
      </c>
      <c r="H10" s="435">
        <f>$D$51</f>
        <v>5.46</v>
      </c>
      <c r="I10" s="437">
        <f t="shared" si="3"/>
        <v>30.661922000000001</v>
      </c>
      <c r="J10" s="434"/>
    </row>
    <row r="11" spans="1:17" x14ac:dyDescent="0.15">
      <c r="A11" s="458" t="s">
        <v>163</v>
      </c>
      <c r="B11" s="441" t="s">
        <v>151</v>
      </c>
      <c r="C11" s="435">
        <f t="shared" si="0"/>
        <v>44.47</v>
      </c>
      <c r="D11" s="441">
        <v>2.722</v>
      </c>
      <c r="E11" s="435">
        <f t="shared" si="1"/>
        <v>121.04733999999999</v>
      </c>
      <c r="F11" s="435">
        <f t="shared" si="2"/>
        <v>39.945622200000003</v>
      </c>
      <c r="G11" s="435"/>
      <c r="H11" s="435"/>
      <c r="I11" s="437">
        <f t="shared" ref="I11:I45" si="4">SUM(E11:H11)</f>
        <v>160.99296219999999</v>
      </c>
      <c r="J11" s="434"/>
    </row>
    <row r="12" spans="1:17" x14ac:dyDescent="0.15">
      <c r="A12" s="458" t="s">
        <v>164</v>
      </c>
      <c r="B12" s="441" t="s">
        <v>151</v>
      </c>
      <c r="C12" s="435">
        <f t="shared" si="0"/>
        <v>44.47</v>
      </c>
      <c r="D12" s="441">
        <v>2.0230000000000001</v>
      </c>
      <c r="E12" s="435">
        <f t="shared" si="1"/>
        <v>89.962810000000005</v>
      </c>
      <c r="F12" s="435">
        <f t="shared" si="2"/>
        <v>29.687727300000002</v>
      </c>
      <c r="G12" s="435"/>
      <c r="H12" s="435"/>
      <c r="I12" s="437">
        <f t="shared" si="4"/>
        <v>119.65053730000001</v>
      </c>
      <c r="J12" s="438"/>
    </row>
    <row r="13" spans="1:17" x14ac:dyDescent="0.15">
      <c r="A13" s="458" t="s">
        <v>165</v>
      </c>
      <c r="B13" s="441" t="s">
        <v>151</v>
      </c>
      <c r="C13" s="435">
        <f t="shared" si="0"/>
        <v>44.47</v>
      </c>
      <c r="D13" s="441">
        <v>4.05</v>
      </c>
      <c r="E13" s="435">
        <f t="shared" si="1"/>
        <v>180.1035</v>
      </c>
      <c r="F13" s="435">
        <f t="shared" si="2"/>
        <v>59.434155000000004</v>
      </c>
      <c r="G13" s="435"/>
      <c r="H13" s="435"/>
      <c r="I13" s="437">
        <f t="shared" si="4"/>
        <v>239.537655</v>
      </c>
      <c r="J13" s="438"/>
    </row>
    <row r="14" spans="1:17" x14ac:dyDescent="0.15">
      <c r="A14" s="458" t="s">
        <v>166</v>
      </c>
      <c r="B14" s="441" t="s">
        <v>151</v>
      </c>
      <c r="C14" s="435">
        <f t="shared" si="0"/>
        <v>44.47</v>
      </c>
      <c r="D14" s="441">
        <v>3.54</v>
      </c>
      <c r="E14" s="435">
        <f t="shared" si="1"/>
        <v>157.4238</v>
      </c>
      <c r="F14" s="435">
        <f t="shared" si="2"/>
        <v>51.949854000000002</v>
      </c>
      <c r="G14" s="435"/>
      <c r="H14" s="435"/>
      <c r="I14" s="437">
        <f t="shared" si="4"/>
        <v>209.37365399999999</v>
      </c>
      <c r="J14" s="438"/>
    </row>
    <row r="15" spans="1:17" x14ac:dyDescent="0.15">
      <c r="A15" s="458" t="s">
        <v>167</v>
      </c>
      <c r="B15" s="441" t="s">
        <v>151</v>
      </c>
      <c r="C15" s="435">
        <f t="shared" si="0"/>
        <v>44.47</v>
      </c>
      <c r="D15" s="441">
        <v>1.35</v>
      </c>
      <c r="E15" s="435">
        <f t="shared" si="1"/>
        <v>60.034500000000001</v>
      </c>
      <c r="F15" s="435">
        <f t="shared" si="2"/>
        <v>19.811385000000001</v>
      </c>
      <c r="G15" s="435"/>
      <c r="H15" s="435"/>
      <c r="I15" s="437">
        <f t="shared" si="4"/>
        <v>79.84588500000001</v>
      </c>
      <c r="J15" s="438"/>
      <c r="K15" s="438"/>
    </row>
    <row r="16" spans="1:17" x14ac:dyDescent="0.15">
      <c r="A16" s="458" t="s">
        <v>335</v>
      </c>
      <c r="B16" s="441" t="s">
        <v>151</v>
      </c>
      <c r="C16" s="435">
        <f t="shared" si="0"/>
        <v>44.47</v>
      </c>
      <c r="D16" s="441">
        <v>1.3357000000000001</v>
      </c>
      <c r="E16" s="435">
        <f t="shared" si="1"/>
        <v>59.398579000000005</v>
      </c>
      <c r="F16" s="435">
        <f t="shared" si="2"/>
        <v>19.601531070000004</v>
      </c>
      <c r="G16" s="435"/>
      <c r="H16" s="435"/>
      <c r="I16" s="437">
        <f t="shared" si="4"/>
        <v>79.000110070000005</v>
      </c>
      <c r="J16" s="438"/>
    </row>
    <row r="17" spans="1:17" x14ac:dyDescent="0.15">
      <c r="A17" s="458" t="s">
        <v>336</v>
      </c>
      <c r="B17" s="441" t="s">
        <v>151</v>
      </c>
      <c r="C17" s="435">
        <f t="shared" si="0"/>
        <v>44.47</v>
      </c>
      <c r="D17" s="441">
        <v>1.669</v>
      </c>
      <c r="E17" s="435">
        <f t="shared" si="1"/>
        <v>74.220429999999993</v>
      </c>
      <c r="F17" s="435">
        <f t="shared" si="2"/>
        <v>24.492741899999999</v>
      </c>
      <c r="G17" s="435"/>
      <c r="H17" s="435"/>
      <c r="I17" s="437">
        <f t="shared" si="4"/>
        <v>98.713171899999992</v>
      </c>
      <c r="J17" s="438"/>
    </row>
    <row r="18" spans="1:17" x14ac:dyDescent="0.15">
      <c r="A18" s="458" t="s">
        <v>337</v>
      </c>
      <c r="B18" s="441" t="s">
        <v>151</v>
      </c>
      <c r="C18" s="435">
        <f t="shared" si="0"/>
        <v>44.47</v>
      </c>
      <c r="D18" s="441">
        <v>2.57</v>
      </c>
      <c r="E18" s="435">
        <f t="shared" si="1"/>
        <v>114.28789999999999</v>
      </c>
      <c r="F18" s="435">
        <f t="shared" si="2"/>
        <v>37.715007</v>
      </c>
      <c r="G18" s="435"/>
      <c r="H18" s="435"/>
      <c r="I18" s="437">
        <f t="shared" si="4"/>
        <v>152.00290699999999</v>
      </c>
      <c r="J18" s="438"/>
    </row>
    <row r="19" spans="1:17" x14ac:dyDescent="0.15">
      <c r="A19" s="458" t="s">
        <v>360</v>
      </c>
      <c r="B19" s="441" t="s">
        <v>151</v>
      </c>
      <c r="C19" s="435">
        <f t="shared" si="0"/>
        <v>44.47</v>
      </c>
      <c r="D19" s="441">
        <v>2.8</v>
      </c>
      <c r="E19" s="435">
        <f t="shared" si="1"/>
        <v>124.51599999999999</v>
      </c>
      <c r="F19" s="435">
        <f t="shared" si="2"/>
        <v>41.09028</v>
      </c>
      <c r="G19" s="435"/>
      <c r="H19" s="435"/>
      <c r="I19" s="437">
        <f t="shared" si="4"/>
        <v>165.60628</v>
      </c>
      <c r="J19" s="438"/>
    </row>
    <row r="20" spans="1:17" x14ac:dyDescent="0.15">
      <c r="A20" s="458" t="s">
        <v>334</v>
      </c>
      <c r="B20" s="441" t="s">
        <v>151</v>
      </c>
      <c r="C20" s="435">
        <f t="shared" si="0"/>
        <v>44.47</v>
      </c>
      <c r="D20" s="441">
        <v>1.4650000000000001</v>
      </c>
      <c r="E20" s="435">
        <f t="shared" si="1"/>
        <v>65.14855</v>
      </c>
      <c r="F20" s="435">
        <f t="shared" si="2"/>
        <v>21.499021500000001</v>
      </c>
      <c r="G20" s="435"/>
      <c r="H20" s="435"/>
      <c r="I20" s="437">
        <f t="shared" si="4"/>
        <v>86.647571499999998</v>
      </c>
      <c r="J20" s="438"/>
    </row>
    <row r="21" spans="1:17" x14ac:dyDescent="0.15">
      <c r="A21" s="458" t="s">
        <v>554</v>
      </c>
      <c r="B21" s="441" t="s">
        <v>151</v>
      </c>
      <c r="C21" s="435">
        <f t="shared" si="0"/>
        <v>44.47</v>
      </c>
      <c r="D21" s="441">
        <v>3.7</v>
      </c>
      <c r="E21" s="435">
        <f t="shared" si="1"/>
        <v>164.53900000000002</v>
      </c>
      <c r="F21" s="435">
        <f t="shared" si="2"/>
        <v>54.29787000000001</v>
      </c>
      <c r="G21" s="435"/>
      <c r="H21" s="435"/>
      <c r="I21" s="437">
        <f t="shared" si="4"/>
        <v>218.83687000000003</v>
      </c>
      <c r="J21" s="438"/>
      <c r="N21" s="427"/>
      <c r="O21" s="427"/>
      <c r="P21" s="427"/>
      <c r="Q21" s="427"/>
    </row>
    <row r="22" spans="1:17" x14ac:dyDescent="0.15">
      <c r="A22" s="458" t="s">
        <v>555</v>
      </c>
      <c r="B22" s="441" t="s">
        <v>151</v>
      </c>
      <c r="C22" s="435">
        <f t="shared" si="0"/>
        <v>44.47</v>
      </c>
      <c r="D22" s="441">
        <v>4.2</v>
      </c>
      <c r="E22" s="435">
        <f t="shared" si="1"/>
        <v>186.774</v>
      </c>
      <c r="F22" s="435">
        <f t="shared" si="2"/>
        <v>61.635420000000003</v>
      </c>
      <c r="G22" s="435"/>
      <c r="H22" s="435"/>
      <c r="I22" s="437">
        <f t="shared" si="4"/>
        <v>248.40942000000001</v>
      </c>
      <c r="J22" s="438"/>
      <c r="K22" s="787"/>
      <c r="M22" s="427"/>
      <c r="N22" s="427"/>
      <c r="O22" s="427"/>
      <c r="P22" s="427"/>
      <c r="Q22" s="427"/>
    </row>
    <row r="23" spans="1:17" x14ac:dyDescent="0.15">
      <c r="A23" s="458" t="s">
        <v>556</v>
      </c>
      <c r="B23" s="441" t="s">
        <v>151</v>
      </c>
      <c r="C23" s="435">
        <f t="shared" si="0"/>
        <v>44.47</v>
      </c>
      <c r="D23" s="441">
        <v>4.8499999999999996</v>
      </c>
      <c r="E23" s="435">
        <f t="shared" si="1"/>
        <v>215.67949999999999</v>
      </c>
      <c r="F23" s="435">
        <f t="shared" si="2"/>
        <v>71.174234999999996</v>
      </c>
      <c r="G23" s="435"/>
      <c r="H23" s="435"/>
      <c r="I23" s="437">
        <f t="shared" si="4"/>
        <v>286.85373499999997</v>
      </c>
      <c r="J23" s="438"/>
      <c r="M23" s="427"/>
      <c r="N23" s="427"/>
      <c r="O23" s="427"/>
      <c r="P23" s="427"/>
      <c r="Q23" s="427"/>
    </row>
    <row r="24" spans="1:17" x14ac:dyDescent="0.15">
      <c r="A24" s="458" t="s">
        <v>557</v>
      </c>
      <c r="B24" s="441" t="s">
        <v>151</v>
      </c>
      <c r="C24" s="435">
        <f t="shared" si="0"/>
        <v>44.47</v>
      </c>
      <c r="D24" s="441">
        <v>7</v>
      </c>
      <c r="E24" s="435">
        <f t="shared" si="1"/>
        <v>311.28999999999996</v>
      </c>
      <c r="F24" s="435">
        <f t="shared" si="2"/>
        <v>102.72569999999999</v>
      </c>
      <c r="G24" s="435"/>
      <c r="H24" s="435"/>
      <c r="I24" s="437">
        <f t="shared" si="4"/>
        <v>414.01569999999992</v>
      </c>
      <c r="J24" s="438"/>
      <c r="M24" s="427"/>
      <c r="N24" s="427"/>
      <c r="O24" s="427"/>
      <c r="P24" s="427"/>
      <c r="Q24" s="427"/>
    </row>
    <row r="25" spans="1:17" x14ac:dyDescent="0.15">
      <c r="A25" s="458" t="s">
        <v>558</v>
      </c>
      <c r="B25" s="441" t="s">
        <v>151</v>
      </c>
      <c r="C25" s="435">
        <f t="shared" si="0"/>
        <v>44.47</v>
      </c>
      <c r="D25" s="441">
        <v>7.75</v>
      </c>
      <c r="E25" s="435">
        <f t="shared" si="1"/>
        <v>344.64249999999998</v>
      </c>
      <c r="F25" s="435">
        <f t="shared" si="2"/>
        <v>113.73202499999999</v>
      </c>
      <c r="G25" s="435"/>
      <c r="H25" s="435"/>
      <c r="I25" s="437">
        <f t="shared" si="4"/>
        <v>458.37452499999995</v>
      </c>
      <c r="J25" s="438"/>
      <c r="M25" s="427"/>
      <c r="N25" s="427"/>
      <c r="O25" s="427"/>
      <c r="P25" s="427"/>
      <c r="Q25" s="427"/>
    </row>
    <row r="26" spans="1:17" x14ac:dyDescent="0.15">
      <c r="A26" s="458" t="s">
        <v>560</v>
      </c>
      <c r="B26" s="441" t="s">
        <v>151</v>
      </c>
      <c r="C26" s="435">
        <f t="shared" si="0"/>
        <v>44.47</v>
      </c>
      <c r="D26" s="441">
        <v>4.5</v>
      </c>
      <c r="E26" s="435">
        <f t="shared" si="1"/>
        <v>200.11500000000001</v>
      </c>
      <c r="F26" s="435">
        <f t="shared" si="2"/>
        <v>66.037950000000009</v>
      </c>
      <c r="G26" s="435"/>
      <c r="H26" s="435"/>
      <c r="I26" s="437">
        <f t="shared" si="4"/>
        <v>266.15295000000003</v>
      </c>
      <c r="J26" s="438"/>
      <c r="M26" s="427"/>
      <c r="N26" s="427"/>
      <c r="O26" s="427"/>
      <c r="P26" s="427"/>
      <c r="Q26" s="427"/>
    </row>
    <row r="27" spans="1:17" x14ac:dyDescent="0.15">
      <c r="A27" s="458" t="s">
        <v>561</v>
      </c>
      <c r="B27" s="441" t="s">
        <v>151</v>
      </c>
      <c r="C27" s="435">
        <f t="shared" si="0"/>
        <v>44.47</v>
      </c>
      <c r="D27" s="441">
        <v>5.6</v>
      </c>
      <c r="E27" s="435">
        <f t="shared" si="1"/>
        <v>249.03199999999998</v>
      </c>
      <c r="F27" s="435">
        <f t="shared" si="2"/>
        <v>82.18056</v>
      </c>
      <c r="G27" s="435"/>
      <c r="H27" s="435"/>
      <c r="I27" s="437">
        <f t="shared" si="4"/>
        <v>331.21256</v>
      </c>
      <c r="J27" s="438"/>
      <c r="M27" s="427"/>
      <c r="N27" s="427"/>
      <c r="O27" s="427"/>
      <c r="P27" s="427"/>
      <c r="Q27" s="427"/>
    </row>
    <row r="28" spans="1:17" x14ac:dyDescent="0.15">
      <c r="A28" s="458" t="s">
        <v>562</v>
      </c>
      <c r="B28" s="441" t="s">
        <v>151</v>
      </c>
      <c r="C28" s="435">
        <f t="shared" si="0"/>
        <v>44.47</v>
      </c>
      <c r="D28" s="441">
        <v>6.75</v>
      </c>
      <c r="E28" s="435">
        <f t="shared" si="1"/>
        <v>300.17250000000001</v>
      </c>
      <c r="F28" s="435">
        <f t="shared" si="2"/>
        <v>99.056925000000007</v>
      </c>
      <c r="G28" s="435"/>
      <c r="H28" s="435"/>
      <c r="I28" s="437">
        <f t="shared" si="4"/>
        <v>399.22942499999999</v>
      </c>
      <c r="J28" s="438"/>
      <c r="M28" s="427"/>
      <c r="N28" s="427"/>
      <c r="O28" s="427"/>
      <c r="P28" s="427"/>
      <c r="Q28" s="427"/>
    </row>
    <row r="29" spans="1:17" x14ac:dyDescent="0.15">
      <c r="A29" s="458" t="s">
        <v>563</v>
      </c>
      <c r="B29" s="441" t="s">
        <v>151</v>
      </c>
      <c r="C29" s="435">
        <f t="shared" si="0"/>
        <v>44.47</v>
      </c>
      <c r="D29" s="441">
        <v>7.88</v>
      </c>
      <c r="E29" s="435">
        <f t="shared" si="1"/>
        <v>350.42359999999996</v>
      </c>
      <c r="F29" s="435">
        <f t="shared" si="2"/>
        <v>115.639788</v>
      </c>
      <c r="G29" s="435"/>
      <c r="H29" s="435"/>
      <c r="I29" s="437">
        <f t="shared" si="4"/>
        <v>466.06338799999997</v>
      </c>
      <c r="J29" s="438"/>
      <c r="M29" s="427"/>
      <c r="N29" s="427"/>
      <c r="O29" s="427"/>
      <c r="P29" s="427"/>
      <c r="Q29" s="427"/>
    </row>
    <row r="30" spans="1:17" x14ac:dyDescent="0.15">
      <c r="A30" s="458" t="s">
        <v>564</v>
      </c>
      <c r="B30" s="441" t="s">
        <v>151</v>
      </c>
      <c r="C30" s="435">
        <f t="shared" si="0"/>
        <v>44.47</v>
      </c>
      <c r="D30" s="441">
        <v>9</v>
      </c>
      <c r="E30" s="435">
        <f t="shared" si="1"/>
        <v>400.23</v>
      </c>
      <c r="F30" s="435">
        <f t="shared" si="2"/>
        <v>132.07590000000002</v>
      </c>
      <c r="G30" s="435"/>
      <c r="H30" s="435"/>
      <c r="I30" s="437">
        <f t="shared" si="4"/>
        <v>532.30590000000007</v>
      </c>
      <c r="J30" s="438"/>
      <c r="M30" s="427"/>
      <c r="N30" s="427"/>
      <c r="O30" s="427"/>
      <c r="P30" s="427"/>
      <c r="Q30" s="427"/>
    </row>
    <row r="31" spans="1:17" x14ac:dyDescent="0.15">
      <c r="A31" s="458" t="s">
        <v>568</v>
      </c>
      <c r="B31" s="441" t="s">
        <v>151</v>
      </c>
      <c r="C31" s="435">
        <f t="shared" si="0"/>
        <v>44.47</v>
      </c>
      <c r="D31" s="441">
        <v>0.75</v>
      </c>
      <c r="E31" s="435">
        <f t="shared" si="1"/>
        <v>33.352499999999999</v>
      </c>
      <c r="F31" s="435">
        <f t="shared" si="2"/>
        <v>11.006325</v>
      </c>
      <c r="G31" s="435"/>
      <c r="H31" s="435"/>
      <c r="I31" s="437">
        <f t="shared" si="4"/>
        <v>44.358824999999996</v>
      </c>
      <c r="J31" s="438"/>
      <c r="M31" s="427"/>
      <c r="N31" s="427"/>
      <c r="O31" s="427"/>
      <c r="P31" s="427"/>
      <c r="Q31" s="427"/>
    </row>
    <row r="32" spans="1:17" x14ac:dyDescent="0.15">
      <c r="A32" s="458" t="s">
        <v>566</v>
      </c>
      <c r="B32" s="441" t="s">
        <v>151</v>
      </c>
      <c r="C32" s="435">
        <f t="shared" si="0"/>
        <v>44.47</v>
      </c>
      <c r="D32" s="441">
        <v>0.92</v>
      </c>
      <c r="E32" s="435">
        <f t="shared" si="1"/>
        <v>40.912399999999998</v>
      </c>
      <c r="F32" s="435">
        <f t="shared" si="2"/>
        <v>13.501092</v>
      </c>
      <c r="G32" s="435"/>
      <c r="H32" s="435"/>
      <c r="I32" s="437">
        <f t="shared" si="4"/>
        <v>54.413491999999998</v>
      </c>
      <c r="J32" s="438"/>
      <c r="M32" s="427"/>
      <c r="N32" s="427"/>
      <c r="O32" s="427"/>
      <c r="P32" s="427"/>
      <c r="Q32" s="427"/>
    </row>
    <row r="33" spans="1:17" x14ac:dyDescent="0.15">
      <c r="A33" s="458" t="s">
        <v>567</v>
      </c>
      <c r="B33" s="441" t="s">
        <v>151</v>
      </c>
      <c r="C33" s="435">
        <f t="shared" si="0"/>
        <v>44.47</v>
      </c>
      <c r="D33" s="441">
        <v>1.1499999999999999</v>
      </c>
      <c r="E33" s="435">
        <f t="shared" si="1"/>
        <v>51.140499999999996</v>
      </c>
      <c r="F33" s="435">
        <f t="shared" si="2"/>
        <v>16.876365</v>
      </c>
      <c r="G33" s="435"/>
      <c r="H33" s="435"/>
      <c r="I33" s="437">
        <f t="shared" si="4"/>
        <v>68.016864999999996</v>
      </c>
      <c r="J33" s="438"/>
      <c r="K33" s="438"/>
      <c r="L33" s="438"/>
      <c r="M33" s="427"/>
      <c r="N33" s="427"/>
      <c r="O33" s="427"/>
      <c r="P33" s="427"/>
      <c r="Q33" s="427"/>
    </row>
    <row r="34" spans="1:17" x14ac:dyDescent="0.15">
      <c r="A34" s="458" t="s">
        <v>199</v>
      </c>
      <c r="B34" s="441" t="s">
        <v>151</v>
      </c>
      <c r="C34" s="435">
        <f t="shared" si="0"/>
        <v>44.47</v>
      </c>
      <c r="D34" s="441">
        <v>1.77</v>
      </c>
      <c r="E34" s="435">
        <f t="shared" si="1"/>
        <v>78.7119</v>
      </c>
      <c r="F34" s="435">
        <f t="shared" si="2"/>
        <v>25.974927000000001</v>
      </c>
      <c r="G34" s="435"/>
      <c r="H34" s="435"/>
      <c r="I34" s="437">
        <f t="shared" si="4"/>
        <v>104.68682699999999</v>
      </c>
      <c r="J34" s="438"/>
      <c r="K34" s="438"/>
      <c r="L34" s="438"/>
      <c r="M34" s="427"/>
      <c r="N34" s="427"/>
      <c r="O34" s="427"/>
      <c r="P34" s="427"/>
      <c r="Q34" s="427"/>
    </row>
    <row r="35" spans="1:17" x14ac:dyDescent="0.15">
      <c r="A35" s="458" t="s">
        <v>358</v>
      </c>
      <c r="B35" s="441" t="s">
        <v>151</v>
      </c>
      <c r="C35" s="435">
        <f t="shared" si="0"/>
        <v>44.47</v>
      </c>
      <c r="D35" s="441">
        <v>2.4</v>
      </c>
      <c r="E35" s="435">
        <f t="shared" si="1"/>
        <v>106.72799999999999</v>
      </c>
      <c r="F35" s="435">
        <f t="shared" si="2"/>
        <v>35.220239999999997</v>
      </c>
      <c r="G35" s="435"/>
      <c r="H35" s="435"/>
      <c r="I35" s="437">
        <f t="shared" si="4"/>
        <v>141.94824</v>
      </c>
      <c r="J35" s="438"/>
      <c r="K35" s="438"/>
      <c r="L35" s="438"/>
      <c r="M35" s="427"/>
      <c r="N35" s="427"/>
      <c r="O35" s="427"/>
      <c r="P35" s="440"/>
      <c r="Q35" s="431"/>
    </row>
    <row r="36" spans="1:17" x14ac:dyDescent="0.15">
      <c r="A36" s="458" t="s">
        <v>195</v>
      </c>
      <c r="B36" s="441" t="s">
        <v>151</v>
      </c>
      <c r="C36" s="435">
        <f t="shared" si="0"/>
        <v>44.47</v>
      </c>
      <c r="D36" s="441">
        <v>1.62</v>
      </c>
      <c r="E36" s="435">
        <f t="shared" si="1"/>
        <v>72.041399999999996</v>
      </c>
      <c r="F36" s="435">
        <f t="shared" si="2"/>
        <v>23.773661999999998</v>
      </c>
      <c r="G36" s="435"/>
      <c r="H36" s="435"/>
      <c r="I36" s="437">
        <f t="shared" si="4"/>
        <v>95.815061999999998</v>
      </c>
      <c r="J36" s="438"/>
      <c r="K36" s="438"/>
      <c r="L36" s="438"/>
      <c r="M36" s="427"/>
      <c r="N36" s="427"/>
      <c r="O36" s="427"/>
      <c r="P36" s="440"/>
      <c r="Q36" s="431"/>
    </row>
    <row r="37" spans="1:17" x14ac:dyDescent="0.15">
      <c r="A37" s="458" t="s">
        <v>196</v>
      </c>
      <c r="B37" s="441" t="s">
        <v>151</v>
      </c>
      <c r="C37" s="435">
        <f t="shared" si="0"/>
        <v>44.47</v>
      </c>
      <c r="D37" s="441">
        <v>2.0299999999999998</v>
      </c>
      <c r="E37" s="435">
        <f t="shared" si="1"/>
        <v>90.27409999999999</v>
      </c>
      <c r="F37" s="435">
        <f t="shared" si="2"/>
        <v>29.790452999999999</v>
      </c>
      <c r="G37" s="435"/>
      <c r="H37" s="435"/>
      <c r="I37" s="437">
        <f t="shared" si="4"/>
        <v>120.06455299999999</v>
      </c>
      <c r="J37" s="438"/>
      <c r="K37" s="438"/>
      <c r="L37" s="438"/>
      <c r="M37" s="427"/>
      <c r="N37" s="427"/>
      <c r="O37" s="427"/>
      <c r="P37" s="440"/>
      <c r="Q37" s="431"/>
    </row>
    <row r="38" spans="1:17" x14ac:dyDescent="0.15">
      <c r="A38" s="458" t="s">
        <v>200</v>
      </c>
      <c r="B38" s="441" t="s">
        <v>151</v>
      </c>
      <c r="C38" s="435">
        <f t="shared" si="0"/>
        <v>44.47</v>
      </c>
      <c r="D38" s="441">
        <v>2.2999999999999998</v>
      </c>
      <c r="E38" s="435">
        <f t="shared" si="1"/>
        <v>102.28099999999999</v>
      </c>
      <c r="F38" s="435">
        <f t="shared" si="2"/>
        <v>33.75273</v>
      </c>
      <c r="G38" s="435"/>
      <c r="H38" s="435"/>
      <c r="I38" s="437">
        <f t="shared" si="4"/>
        <v>136.03372999999999</v>
      </c>
      <c r="J38" s="438"/>
      <c r="K38" s="438"/>
    </row>
    <row r="39" spans="1:17" x14ac:dyDescent="0.15">
      <c r="A39" s="458" t="s">
        <v>357</v>
      </c>
      <c r="B39" s="441" t="s">
        <v>151</v>
      </c>
      <c r="C39" s="435">
        <f t="shared" si="0"/>
        <v>44.47</v>
      </c>
      <c r="D39" s="441">
        <v>2.63</v>
      </c>
      <c r="E39" s="435">
        <f t="shared" si="1"/>
        <v>116.95609999999999</v>
      </c>
      <c r="F39" s="435">
        <f t="shared" si="2"/>
        <v>38.595512999999997</v>
      </c>
      <c r="G39" s="435"/>
      <c r="H39" s="435"/>
      <c r="I39" s="437">
        <f t="shared" si="4"/>
        <v>155.55161299999997</v>
      </c>
      <c r="J39" s="438"/>
      <c r="K39" s="438"/>
    </row>
    <row r="40" spans="1:17" x14ac:dyDescent="0.15">
      <c r="A40" s="458" t="s">
        <v>197</v>
      </c>
      <c r="B40" s="441" t="s">
        <v>151</v>
      </c>
      <c r="C40" s="435">
        <f t="shared" si="0"/>
        <v>44.47</v>
      </c>
      <c r="D40" s="441">
        <v>0.4</v>
      </c>
      <c r="E40" s="435">
        <f t="shared" si="1"/>
        <v>17.788</v>
      </c>
      <c r="F40" s="435">
        <f t="shared" si="2"/>
        <v>5.8700400000000004</v>
      </c>
      <c r="G40" s="435">
        <f>$C$51</f>
        <v>12.19</v>
      </c>
      <c r="H40" s="435">
        <f>$D$51</f>
        <v>5.46</v>
      </c>
      <c r="I40" s="437">
        <f t="shared" si="4"/>
        <v>41.308039999999998</v>
      </c>
      <c r="J40" s="438"/>
      <c r="K40" s="438"/>
    </row>
    <row r="41" spans="1:17" x14ac:dyDescent="0.15">
      <c r="A41" s="458" t="s">
        <v>198</v>
      </c>
      <c r="B41" s="441" t="s">
        <v>151</v>
      </c>
      <c r="C41" s="435">
        <f t="shared" si="0"/>
        <v>44.47</v>
      </c>
      <c r="D41" s="441">
        <v>0.7</v>
      </c>
      <c r="E41" s="435">
        <f t="shared" si="1"/>
        <v>31.128999999999998</v>
      </c>
      <c r="F41" s="435">
        <f t="shared" si="2"/>
        <v>10.27257</v>
      </c>
      <c r="G41" s="435">
        <f t="shared" ref="G41:G43" si="5">$C$51</f>
        <v>12.19</v>
      </c>
      <c r="H41" s="435">
        <f t="shared" ref="H41:H43" si="6">$D$51</f>
        <v>5.46</v>
      </c>
      <c r="I41" s="437">
        <f t="shared" si="4"/>
        <v>59.051569999999998</v>
      </c>
      <c r="J41" s="438"/>
      <c r="K41" s="438"/>
    </row>
    <row r="42" spans="1:17" x14ac:dyDescent="0.15">
      <c r="A42" s="458" t="s">
        <v>201</v>
      </c>
      <c r="B42" s="441" t="s">
        <v>151</v>
      </c>
      <c r="C42" s="435">
        <f t="shared" si="0"/>
        <v>44.47</v>
      </c>
      <c r="D42" s="441">
        <v>0.9</v>
      </c>
      <c r="E42" s="435">
        <f t="shared" si="1"/>
        <v>40.023000000000003</v>
      </c>
      <c r="F42" s="435">
        <f t="shared" si="2"/>
        <v>13.207590000000001</v>
      </c>
      <c r="G42" s="435">
        <f t="shared" si="5"/>
        <v>12.19</v>
      </c>
      <c r="H42" s="435">
        <f t="shared" si="6"/>
        <v>5.46</v>
      </c>
      <c r="I42" s="437">
        <f t="shared" si="4"/>
        <v>70.880589999999998</v>
      </c>
      <c r="J42" s="438"/>
      <c r="K42" s="438"/>
    </row>
    <row r="43" spans="1:17" x14ac:dyDescent="0.15">
      <c r="A43" s="458" t="s">
        <v>356</v>
      </c>
      <c r="B43" s="441" t="s">
        <v>151</v>
      </c>
      <c r="C43" s="435">
        <f t="shared" si="0"/>
        <v>44.47</v>
      </c>
      <c r="D43" s="441">
        <v>1.2</v>
      </c>
      <c r="E43" s="435">
        <f t="shared" si="1"/>
        <v>53.363999999999997</v>
      </c>
      <c r="F43" s="435">
        <f t="shared" si="2"/>
        <v>17.610119999999998</v>
      </c>
      <c r="G43" s="435">
        <f t="shared" si="5"/>
        <v>12.19</v>
      </c>
      <c r="H43" s="435">
        <f t="shared" si="6"/>
        <v>5.46</v>
      </c>
      <c r="I43" s="437">
        <f t="shared" si="4"/>
        <v>88.624119999999991</v>
      </c>
      <c r="J43" s="438"/>
      <c r="K43" s="438"/>
    </row>
    <row r="44" spans="1:17" x14ac:dyDescent="0.15">
      <c r="A44" s="458" t="s">
        <v>179</v>
      </c>
      <c r="B44" s="441" t="s">
        <v>182</v>
      </c>
      <c r="C44" s="435">
        <f>+F51</f>
        <v>94.69</v>
      </c>
      <c r="D44" s="441">
        <v>1</v>
      </c>
      <c r="E44" s="435">
        <f t="shared" si="1"/>
        <v>94.69</v>
      </c>
      <c r="F44" s="435"/>
      <c r="G44" s="435"/>
      <c r="H44" s="435"/>
      <c r="I44" s="437">
        <f t="shared" si="4"/>
        <v>94.69</v>
      </c>
      <c r="J44" s="438"/>
      <c r="K44" s="438"/>
      <c r="L44" s="942"/>
    </row>
    <row r="45" spans="1:17" x14ac:dyDescent="0.15">
      <c r="A45" s="458" t="s">
        <v>180</v>
      </c>
      <c r="B45" s="441" t="s">
        <v>181</v>
      </c>
      <c r="C45" s="435">
        <f t="shared" si="0"/>
        <v>9.9700000000000006</v>
      </c>
      <c r="D45" s="441">
        <v>1</v>
      </c>
      <c r="E45" s="435">
        <f t="shared" si="1"/>
        <v>9.9700000000000006</v>
      </c>
      <c r="F45" s="435"/>
      <c r="G45" s="435"/>
      <c r="H45" s="435"/>
      <c r="I45" s="437">
        <f t="shared" si="4"/>
        <v>9.9700000000000006</v>
      </c>
      <c r="J45" s="438"/>
      <c r="K45" s="438"/>
    </row>
    <row r="46" spans="1:17" x14ac:dyDescent="0.15">
      <c r="A46" s="458" t="s">
        <v>186</v>
      </c>
      <c r="B46" s="441" t="s">
        <v>186</v>
      </c>
      <c r="C46" s="435">
        <f t="shared" si="0"/>
        <v>2.44</v>
      </c>
      <c r="D46" s="441">
        <v>1</v>
      </c>
      <c r="E46" s="435">
        <f t="shared" si="1"/>
        <v>2.44</v>
      </c>
      <c r="F46" s="435"/>
      <c r="G46" s="435"/>
      <c r="H46" s="435"/>
      <c r="I46" s="437">
        <f>SUM(E46:H46)</f>
        <v>2.44</v>
      </c>
      <c r="J46" s="438"/>
      <c r="K46" s="438"/>
    </row>
    <row r="47" spans="1:17" x14ac:dyDescent="0.15">
      <c r="A47" s="458" t="s">
        <v>184</v>
      </c>
      <c r="B47" s="441" t="s">
        <v>184</v>
      </c>
      <c r="C47" s="435">
        <f t="shared" si="0"/>
        <v>14.41</v>
      </c>
      <c r="D47" s="441">
        <v>1</v>
      </c>
      <c r="E47" s="435">
        <f t="shared" si="1"/>
        <v>14.41</v>
      </c>
      <c r="F47" s="435"/>
      <c r="G47" s="435"/>
      <c r="H47" s="435"/>
      <c r="I47" s="437">
        <f>SUM(E47:H47)</f>
        <v>14.41</v>
      </c>
      <c r="J47" s="438"/>
      <c r="K47" s="438"/>
    </row>
    <row r="48" spans="1:17" x14ac:dyDescent="0.15">
      <c r="A48" s="458" t="s">
        <v>576</v>
      </c>
      <c r="B48" s="441" t="s">
        <v>151</v>
      </c>
      <c r="C48" s="435">
        <f t="shared" si="0"/>
        <v>44.47</v>
      </c>
      <c r="D48" s="441">
        <v>3.4510000000000001</v>
      </c>
      <c r="E48" s="435">
        <f t="shared" si="1"/>
        <v>153.46597</v>
      </c>
      <c r="F48" s="435"/>
      <c r="G48" s="435"/>
      <c r="H48" s="435"/>
      <c r="I48" s="437">
        <f>SUM(E48:H48)</f>
        <v>153.46597</v>
      </c>
      <c r="J48" s="438"/>
      <c r="K48" s="438"/>
    </row>
    <row r="49" spans="1:17" x14ac:dyDescent="0.15">
      <c r="A49" s="432"/>
      <c r="B49" s="429"/>
      <c r="C49" s="433"/>
      <c r="D49" s="433"/>
      <c r="E49" s="433"/>
      <c r="F49" s="433"/>
      <c r="G49" s="433"/>
      <c r="H49" s="433"/>
      <c r="J49" s="438"/>
      <c r="K49" s="438"/>
    </row>
    <row r="50" spans="1:17" ht="15" thickBot="1" x14ac:dyDescent="0.2">
      <c r="A50" s="454" t="s">
        <v>153</v>
      </c>
      <c r="B50" s="454" t="s">
        <v>171</v>
      </c>
      <c r="C50" s="454" t="s">
        <v>1388</v>
      </c>
      <c r="D50" s="454" t="s">
        <v>1387</v>
      </c>
      <c r="E50" s="454" t="s">
        <v>186</v>
      </c>
      <c r="F50" s="454" t="s">
        <v>1449</v>
      </c>
      <c r="G50" s="454" t="s">
        <v>184</v>
      </c>
      <c r="H50" s="454" t="s">
        <v>216</v>
      </c>
      <c r="I50" s="454" t="s">
        <v>175</v>
      </c>
      <c r="J50" s="454" t="s">
        <v>152</v>
      </c>
      <c r="K50" s="454" t="s">
        <v>151</v>
      </c>
      <c r="L50" s="454" t="s">
        <v>154</v>
      </c>
      <c r="M50" s="454" t="s">
        <v>1337</v>
      </c>
      <c r="N50" s="454" t="s">
        <v>181</v>
      </c>
      <c r="P50" s="807"/>
    </row>
    <row r="51" spans="1:17" ht="14" thickBot="1" x14ac:dyDescent="0.2">
      <c r="A51" s="945">
        <v>0.33</v>
      </c>
      <c r="B51" s="921">
        <v>36</v>
      </c>
      <c r="C51" s="921">
        <v>12.19</v>
      </c>
      <c r="D51" s="921">
        <v>5.46</v>
      </c>
      <c r="E51" s="921">
        <v>2.44</v>
      </c>
      <c r="F51" s="1050">
        <v>94.69</v>
      </c>
      <c r="G51" s="921">
        <v>14.41</v>
      </c>
      <c r="H51" s="921">
        <v>5.16</v>
      </c>
      <c r="I51" s="921">
        <v>2.9</v>
      </c>
      <c r="J51" s="946">
        <v>40.74</v>
      </c>
      <c r="K51" s="946">
        <v>44.47</v>
      </c>
      <c r="L51" s="946">
        <v>30.8</v>
      </c>
      <c r="M51" s="946">
        <v>38.9</v>
      </c>
      <c r="N51" s="946">
        <v>9.9700000000000006</v>
      </c>
      <c r="O51" s="567"/>
      <c r="P51" s="565" t="s">
        <v>542</v>
      </c>
      <c r="Q51" s="564"/>
    </row>
    <row r="52" spans="1:17" x14ac:dyDescent="0.15">
      <c r="P52" s="807"/>
    </row>
    <row r="53" spans="1:17" x14ac:dyDescent="0.15">
      <c r="A53" s="453" t="s">
        <v>347</v>
      </c>
      <c r="B53" s="442">
        <v>0</v>
      </c>
      <c r="C53" s="446">
        <v>0</v>
      </c>
      <c r="D53" s="442" t="str">
        <f>""</f>
        <v/>
      </c>
      <c r="I53" s="450"/>
      <c r="J53" s="429"/>
      <c r="K53" s="429"/>
      <c r="L53" s="429"/>
      <c r="M53" s="429"/>
      <c r="N53" s="429"/>
      <c r="O53" s="429"/>
    </row>
    <row r="54" spans="1:17" x14ac:dyDescent="0.15">
      <c r="A54" s="453" t="s">
        <v>345</v>
      </c>
      <c r="B54" s="921">
        <v>63.6</v>
      </c>
      <c r="C54" s="447">
        <v>4</v>
      </c>
      <c r="D54" s="442" t="s">
        <v>551</v>
      </c>
      <c r="F54" s="806"/>
      <c r="I54" s="433"/>
      <c r="J54" s="449"/>
      <c r="K54" s="434"/>
      <c r="N54" s="451"/>
      <c r="O54" s="451"/>
    </row>
    <row r="55" spans="1:17" x14ac:dyDescent="0.15">
      <c r="A55" s="453" t="s">
        <v>346</v>
      </c>
      <c r="B55" s="921">
        <v>170</v>
      </c>
      <c r="C55" s="447">
        <v>5</v>
      </c>
      <c r="D55" s="442" t="s">
        <v>550</v>
      </c>
      <c r="J55" s="449"/>
      <c r="K55" s="434"/>
      <c r="N55" s="451"/>
      <c r="O55" s="451"/>
    </row>
    <row r="56" spans="1:17" x14ac:dyDescent="0.15">
      <c r="A56" s="453" t="s">
        <v>546</v>
      </c>
      <c r="B56" s="921">
        <v>1043</v>
      </c>
      <c r="C56" s="446">
        <v>8</v>
      </c>
      <c r="D56" s="442" t="s">
        <v>552</v>
      </c>
      <c r="J56" s="449"/>
      <c r="K56" s="434"/>
      <c r="N56" s="451"/>
      <c r="O56" s="451"/>
    </row>
    <row r="57" spans="1:17" x14ac:dyDescent="0.15">
      <c r="A57" s="453" t="s">
        <v>547</v>
      </c>
      <c r="B57" s="921">
        <v>398</v>
      </c>
      <c r="C57" s="447">
        <v>4</v>
      </c>
      <c r="D57" s="442" t="s">
        <v>549</v>
      </c>
      <c r="J57" s="449"/>
      <c r="K57" s="434"/>
      <c r="N57" s="451"/>
      <c r="O57" s="451"/>
    </row>
    <row r="58" spans="1:17" x14ac:dyDescent="0.15">
      <c r="A58" s="453" t="s">
        <v>548</v>
      </c>
      <c r="B58" s="921">
        <v>0</v>
      </c>
      <c r="C58" s="447">
        <v>0</v>
      </c>
      <c r="D58" s="442" t="s">
        <v>549</v>
      </c>
      <c r="G58" s="427">
        <v>2020</v>
      </c>
      <c r="H58" s="900" t="s">
        <v>1075</v>
      </c>
      <c r="I58" s="900" t="s">
        <v>1098</v>
      </c>
      <c r="J58" s="907">
        <v>44652</v>
      </c>
      <c r="K58" s="944" t="s">
        <v>1382</v>
      </c>
      <c r="L58" s="1051" t="s">
        <v>1475</v>
      </c>
    </row>
    <row r="59" spans="1:17" x14ac:dyDescent="0.15">
      <c r="A59" s="453" t="s">
        <v>572</v>
      </c>
      <c r="B59" s="921">
        <v>0</v>
      </c>
      <c r="C59" s="447">
        <v>0</v>
      </c>
      <c r="D59" s="442" t="s">
        <v>573</v>
      </c>
      <c r="F59" s="426" t="s">
        <v>1084</v>
      </c>
      <c r="G59" s="902" t="s">
        <v>1072</v>
      </c>
      <c r="H59" s="901">
        <v>24.52</v>
      </c>
      <c r="I59" s="901">
        <v>25.26</v>
      </c>
      <c r="J59" s="426">
        <v>35.36</v>
      </c>
      <c r="K59" s="943">
        <v>38.9</v>
      </c>
    </row>
    <row r="60" spans="1:17" x14ac:dyDescent="0.15">
      <c r="A60" s="453" t="s">
        <v>886</v>
      </c>
      <c r="B60" s="921">
        <v>257</v>
      </c>
      <c r="C60" s="447">
        <v>0</v>
      </c>
      <c r="D60" s="442" t="str">
        <f>""</f>
        <v/>
      </c>
      <c r="F60" s="426" t="s">
        <v>152</v>
      </c>
      <c r="G60" s="427" t="s">
        <v>1073</v>
      </c>
      <c r="H60" s="901">
        <v>25.69</v>
      </c>
      <c r="I60" s="901">
        <v>26.46</v>
      </c>
      <c r="J60" s="426">
        <v>37.04</v>
      </c>
      <c r="K60" s="943">
        <v>40.74</v>
      </c>
    </row>
    <row r="61" spans="1:17" x14ac:dyDescent="0.15">
      <c r="A61" s="453" t="s">
        <v>1081</v>
      </c>
      <c r="B61" s="921">
        <v>0</v>
      </c>
      <c r="C61" s="447">
        <v>0</v>
      </c>
      <c r="D61" s="442" t="s">
        <v>244</v>
      </c>
      <c r="F61" s="426" t="s">
        <v>151</v>
      </c>
      <c r="G61" s="427" t="s">
        <v>1074</v>
      </c>
      <c r="H61" s="901">
        <v>28.04</v>
      </c>
      <c r="I61" s="901">
        <v>28.88</v>
      </c>
      <c r="J61" s="426">
        <v>40.43</v>
      </c>
      <c r="K61" s="943">
        <v>44.47</v>
      </c>
    </row>
    <row r="62" spans="1:17" x14ac:dyDescent="0.15">
      <c r="A62" s="453" t="s">
        <v>1082</v>
      </c>
      <c r="B62" s="921">
        <v>0</v>
      </c>
      <c r="C62" s="447">
        <v>0</v>
      </c>
      <c r="D62" s="442" t="str">
        <f>""</f>
        <v/>
      </c>
      <c r="F62" s="426" t="s">
        <v>1097</v>
      </c>
      <c r="H62" s="901">
        <v>24.5</v>
      </c>
      <c r="I62" s="901">
        <v>25.24</v>
      </c>
      <c r="K62" s="943">
        <v>30.8</v>
      </c>
      <c r="M62" s="566"/>
    </row>
    <row r="63" spans="1:17" x14ac:dyDescent="0.15">
      <c r="A63" s="453" t="s">
        <v>1083</v>
      </c>
      <c r="B63" s="921">
        <v>0</v>
      </c>
      <c r="C63" s="447">
        <v>0</v>
      </c>
      <c r="D63" s="442" t="s">
        <v>668</v>
      </c>
    </row>
    <row r="64" spans="1:17" x14ac:dyDescent="0.15">
      <c r="A64" s="453" t="s">
        <v>887</v>
      </c>
      <c r="B64" s="921">
        <v>543</v>
      </c>
      <c r="C64" s="447">
        <v>0</v>
      </c>
      <c r="D64" s="442" t="s">
        <v>244</v>
      </c>
      <c r="I64" s="433"/>
      <c r="J64" s="449"/>
      <c r="K64" s="434"/>
      <c r="N64" s="451"/>
      <c r="O64" s="451"/>
    </row>
    <row r="65" spans="1:15" x14ac:dyDescent="0.15">
      <c r="A65" s="453" t="s">
        <v>673</v>
      </c>
      <c r="B65" s="921">
        <v>1590</v>
      </c>
      <c r="C65" s="447">
        <v>0</v>
      </c>
      <c r="D65" s="442" t="s">
        <v>672</v>
      </c>
      <c r="J65" s="449"/>
      <c r="K65" s="434"/>
      <c r="N65" s="451"/>
      <c r="O65" s="451"/>
    </row>
    <row r="66" spans="1:15" x14ac:dyDescent="0.15">
      <c r="A66" s="453" t="s">
        <v>674</v>
      </c>
      <c r="B66" s="921">
        <v>0</v>
      </c>
      <c r="C66" s="447">
        <v>1</v>
      </c>
      <c r="D66" s="442" t="s">
        <v>675</v>
      </c>
      <c r="J66" s="449"/>
      <c r="K66" s="434"/>
      <c r="N66" s="451"/>
      <c r="O66" s="451"/>
    </row>
    <row r="67" spans="1:15" x14ac:dyDescent="0.15">
      <c r="A67" s="453" t="s">
        <v>1404</v>
      </c>
      <c r="B67" s="921">
        <v>50</v>
      </c>
      <c r="C67" s="447">
        <v>1</v>
      </c>
      <c r="D67" s="442" t="s">
        <v>552</v>
      </c>
      <c r="J67" s="449"/>
      <c r="K67" s="434"/>
      <c r="N67" s="451"/>
      <c r="O67" s="451"/>
    </row>
    <row r="68" spans="1:15" x14ac:dyDescent="0.15">
      <c r="A68" s="453" t="s">
        <v>885</v>
      </c>
      <c r="B68" s="921">
        <v>449</v>
      </c>
      <c r="C68" s="447">
        <v>1</v>
      </c>
      <c r="D68" s="442" t="s">
        <v>676</v>
      </c>
    </row>
    <row r="69" spans="1:15" x14ac:dyDescent="0.15">
      <c r="A69" s="453" t="s">
        <v>677</v>
      </c>
      <c r="B69" s="921">
        <v>402</v>
      </c>
      <c r="C69" s="447">
        <v>1</v>
      </c>
      <c r="D69" s="442" t="s">
        <v>678</v>
      </c>
    </row>
    <row r="70" spans="1:15" x14ac:dyDescent="0.15">
      <c r="A70" s="453" t="s">
        <v>709</v>
      </c>
      <c r="B70" s="921">
        <v>288</v>
      </c>
      <c r="C70" s="447">
        <v>4</v>
      </c>
      <c r="D70" s="442" t="s">
        <v>518</v>
      </c>
    </row>
    <row r="71" spans="1:15" x14ac:dyDescent="0.15">
      <c r="A71" s="453" t="s">
        <v>1450</v>
      </c>
      <c r="B71" s="1049">
        <v>80</v>
      </c>
      <c r="C71" s="447">
        <v>1</v>
      </c>
      <c r="D71" s="442" t="s">
        <v>1451</v>
      </c>
    </row>
    <row r="72" spans="1:15" x14ac:dyDescent="0.15">
      <c r="A72" s="453"/>
      <c r="B72" s="442">
        <v>0</v>
      </c>
      <c r="C72" s="447">
        <v>0</v>
      </c>
      <c r="D72" s="442" t="str">
        <f>""</f>
        <v/>
      </c>
    </row>
    <row r="73" spans="1:15" x14ac:dyDescent="0.15">
      <c r="A73" s="453"/>
      <c r="B73" s="442">
        <v>0</v>
      </c>
      <c r="C73" s="447">
        <v>0</v>
      </c>
      <c r="D73" s="442" t="str">
        <f>""</f>
        <v/>
      </c>
    </row>
    <row r="81" spans="1:4" x14ac:dyDescent="0.15">
      <c r="A81" s="453" t="s">
        <v>593</v>
      </c>
      <c r="B81" s="905">
        <v>0</v>
      </c>
      <c r="C81" s="446">
        <v>0</v>
      </c>
      <c r="D81" s="1052" t="s">
        <v>1475</v>
      </c>
    </row>
    <row r="82" spans="1:4" x14ac:dyDescent="0.15">
      <c r="A82" s="453" t="str">
        <f>CC!D569</f>
        <v>CP1S</v>
      </c>
      <c r="B82" s="1053">
        <v>3957.74</v>
      </c>
      <c r="C82" s="446">
        <v>6</v>
      </c>
    </row>
    <row r="83" spans="1:4" x14ac:dyDescent="0.15">
      <c r="A83" s="453" t="str">
        <f>CC!D570</f>
        <v>CP2S</v>
      </c>
      <c r="B83" s="1053">
        <v>4249.6000000000004</v>
      </c>
      <c r="C83" s="446">
        <v>6</v>
      </c>
    </row>
    <row r="84" spans="1:4" x14ac:dyDescent="0.15">
      <c r="A84" s="453" t="str">
        <f>CC!D571</f>
        <v>CP3S</v>
      </c>
      <c r="B84" s="1053">
        <v>4541.45</v>
      </c>
      <c r="C84" s="446">
        <v>6</v>
      </c>
    </row>
    <row r="85" spans="1:4" x14ac:dyDescent="0.15">
      <c r="A85" s="453" t="str">
        <f>CC!D572</f>
        <v>CP4S</v>
      </c>
      <c r="B85" s="1053">
        <v>4611.6099999999997</v>
      </c>
      <c r="C85" s="446">
        <v>6</v>
      </c>
    </row>
    <row r="86" spans="1:4" x14ac:dyDescent="0.15">
      <c r="A86" s="789" t="s">
        <v>813</v>
      </c>
      <c r="B86" s="1051">
        <v>3640.4</v>
      </c>
    </row>
    <row r="87" spans="1:4" x14ac:dyDescent="0.15">
      <c r="A87" s="789" t="s">
        <v>814</v>
      </c>
      <c r="B87" s="1051">
        <v>3841.58</v>
      </c>
    </row>
    <row r="88" spans="1:4" x14ac:dyDescent="0.15">
      <c r="A88" s="789" t="s">
        <v>815</v>
      </c>
      <c r="B88" s="1051">
        <v>4077.12</v>
      </c>
    </row>
    <row r="89" spans="1:4" x14ac:dyDescent="0.15">
      <c r="A89" s="789" t="s">
        <v>816</v>
      </c>
      <c r="B89" s="1051">
        <v>4313.3900000000003</v>
      </c>
    </row>
  </sheetData>
  <dataValidations count="1">
    <dataValidation type="list" allowBlank="1" showInputMessage="1" showErrorMessage="1" sqref="B4:B48" xr:uid="{00000000-0002-0000-1300-000000000000}">
      <formula1>$A$50:$N$50</formula1>
    </dataValidation>
  </dataValidations>
  <pageMargins left="0.7" right="0.7" top="0.75" bottom="0.75" header="0.3" footer="0.3"/>
  <pageSetup paperSize="8" scale="66" orientation="landscape" r:id="rId1"/>
  <ignoredErrors>
    <ignoredError sqref="C44" formula="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59</vt:i4>
      </vt:variant>
      <vt:variant>
        <vt:lpstr>Named Ranges</vt:lpstr>
      </vt:variant>
      <vt:variant>
        <vt:i4>89</vt:i4>
      </vt:variant>
    </vt:vector>
  </HeadingPairs>
  <TitlesOfParts>
    <vt:vector size="148" baseType="lpstr">
      <vt:lpstr>JOB TOTAL</vt:lpstr>
      <vt:lpstr>CANOPY (6)</vt:lpstr>
      <vt:lpstr>FIRE SUPPRESSION (5)</vt:lpstr>
      <vt:lpstr>SDU (6)</vt:lpstr>
      <vt:lpstr>EDGE BOX (5)</vt:lpstr>
      <vt:lpstr>RECOAIR (5)</vt:lpstr>
      <vt:lpstr>CANOPY (7)</vt:lpstr>
      <vt:lpstr>FIRE SUPPRESSION (6)</vt:lpstr>
      <vt:lpstr>SDU (7)</vt:lpstr>
      <vt:lpstr>EDGE BOX (6)</vt:lpstr>
      <vt:lpstr>RECOAIR (6)</vt:lpstr>
      <vt:lpstr>CANOPY (8)</vt:lpstr>
      <vt:lpstr>FIRE SUPPRESSION (7)</vt:lpstr>
      <vt:lpstr>SDU (8)</vt:lpstr>
      <vt:lpstr>EDGE BOX (7)</vt:lpstr>
      <vt:lpstr>RECOAIR (7)</vt:lpstr>
      <vt:lpstr>CANOPY (9)</vt:lpstr>
      <vt:lpstr>FIRE SUPPRESSION (8)</vt:lpstr>
      <vt:lpstr>SDU (9)</vt:lpstr>
      <vt:lpstr>EDGE BOX (8)</vt:lpstr>
      <vt:lpstr>RECOAIR (8)</vt:lpstr>
      <vt:lpstr>CANOPY (4)</vt:lpstr>
      <vt:lpstr>FIRE SUPPRESSION (3)</vt:lpstr>
      <vt:lpstr>SDU (4)</vt:lpstr>
      <vt:lpstr>Sheet38</vt:lpstr>
      <vt:lpstr>EDGE BOX (3)</vt:lpstr>
      <vt:lpstr>RECOAIR (3)</vt:lpstr>
      <vt:lpstr>CANOPY (5)</vt:lpstr>
      <vt:lpstr>FIRE SUPPRESSION (4)</vt:lpstr>
      <vt:lpstr>SDU (5)</vt:lpstr>
      <vt:lpstr>EDGE BOX (4)</vt:lpstr>
      <vt:lpstr>RECOAIR (4)</vt:lpstr>
      <vt:lpstr>Quote Price Schedule</vt:lpstr>
      <vt:lpstr>SPIRAL DUCT</vt:lpstr>
      <vt:lpstr>SUPPLY DUCT </vt:lpstr>
      <vt:lpstr>EXTRACT DUCT</vt:lpstr>
      <vt:lpstr>AHU TEST</vt:lpstr>
      <vt:lpstr>CONTRACT</vt:lpstr>
      <vt:lpstr>CANOPY (3)</vt:lpstr>
      <vt:lpstr>FIRE SUPPRESSION (2)</vt:lpstr>
      <vt:lpstr>SDU (3)</vt:lpstr>
      <vt:lpstr>EDGE BOX (2)</vt:lpstr>
      <vt:lpstr>RECOAIR (2)</vt:lpstr>
      <vt:lpstr>CANOPY (2)</vt:lpstr>
      <vt:lpstr>FIRE SUPPRESSION</vt:lpstr>
      <vt:lpstr>SDU</vt:lpstr>
      <vt:lpstr>SDU (2)</vt:lpstr>
      <vt:lpstr>VENT CLG</vt:lpstr>
      <vt:lpstr>MARVEL</vt:lpstr>
      <vt:lpstr>EDGE BOX</vt:lpstr>
      <vt:lpstr>AEROLYS</vt:lpstr>
      <vt:lpstr>POLLUSTOP</vt:lpstr>
      <vt:lpstr>POLLU-LITE</vt:lpstr>
      <vt:lpstr>RECOAIR</vt:lpstr>
      <vt:lpstr>REACTAWAY </vt:lpstr>
      <vt:lpstr>INFECTAWAY</vt:lpstr>
      <vt:lpstr>Base Costs</vt:lpstr>
      <vt:lpstr>CC</vt:lpstr>
      <vt:lpstr>CCBASE</vt:lpstr>
      <vt:lpstr>FanSize</vt:lpstr>
      <vt:lpstr>AEROLYS!Print_Area</vt:lpstr>
      <vt:lpstr>'AHU TEST'!Print_Area</vt:lpstr>
      <vt:lpstr>'CANOPY (2)'!Print_Area</vt:lpstr>
      <vt:lpstr>'CANOPY (3)'!Print_Area</vt:lpstr>
      <vt:lpstr>'CANOPY (4)'!Print_Area</vt:lpstr>
      <vt:lpstr>'CANOPY (5)'!Print_Area</vt:lpstr>
      <vt:lpstr>'CANOPY (6)'!Print_Area</vt:lpstr>
      <vt:lpstr>'CANOPY (7)'!Print_Area</vt:lpstr>
      <vt:lpstr>'CANOPY (8)'!Print_Area</vt:lpstr>
      <vt:lpstr>'CANOPY (9)'!Print_Area</vt:lpstr>
      <vt:lpstr>CONTRACT!Print_Area</vt:lpstr>
      <vt:lpstr>'EDGE BOX'!Print_Area</vt:lpstr>
      <vt:lpstr>'EDGE BOX (2)'!Print_Area</vt:lpstr>
      <vt:lpstr>'EDGE BOX (3)'!Print_Area</vt:lpstr>
      <vt:lpstr>'EDGE BOX (4)'!Print_Area</vt:lpstr>
      <vt:lpstr>'EDGE BOX (5)'!Print_Area</vt:lpstr>
      <vt:lpstr>'EDGE BOX (6)'!Print_Area</vt:lpstr>
      <vt:lpstr>'EDGE BOX (7)'!Print_Area</vt:lpstr>
      <vt:lpstr>'EDGE BOX (8)'!Print_Area</vt:lpstr>
      <vt:lpstr>'FIRE SUPPRESSION'!Print_Area</vt:lpstr>
      <vt:lpstr>'FIRE SUPPRESSION (2)'!Print_Area</vt:lpstr>
      <vt:lpstr>'FIRE SUPPRESSION (3)'!Print_Area</vt:lpstr>
      <vt:lpstr>'FIRE SUPPRESSION (4)'!Print_Area</vt:lpstr>
      <vt:lpstr>'FIRE SUPPRESSION (5)'!Print_Area</vt:lpstr>
      <vt:lpstr>'FIRE SUPPRESSION (6)'!Print_Area</vt:lpstr>
      <vt:lpstr>'FIRE SUPPRESSION (7)'!Print_Area</vt:lpstr>
      <vt:lpstr>'FIRE SUPPRESSION (8)'!Print_Area</vt:lpstr>
      <vt:lpstr>INFECTAWAY!Print_Area</vt:lpstr>
      <vt:lpstr>'JOB TOTAL'!Print_Area</vt:lpstr>
      <vt:lpstr>MARVEL!Print_Area</vt:lpstr>
      <vt:lpstr>'POLLU-LITE'!Print_Area</vt:lpstr>
      <vt:lpstr>POLLUSTOP!Print_Area</vt:lpstr>
      <vt:lpstr>'REACTAWAY '!Print_Area</vt:lpstr>
      <vt:lpstr>RECOAIR!Print_Area</vt:lpstr>
      <vt:lpstr>'RECOAIR (2)'!Print_Area</vt:lpstr>
      <vt:lpstr>'RECOAIR (3)'!Print_Area</vt:lpstr>
      <vt:lpstr>'RECOAIR (4)'!Print_Area</vt:lpstr>
      <vt:lpstr>'RECOAIR (5)'!Print_Area</vt:lpstr>
      <vt:lpstr>'RECOAIR (6)'!Print_Area</vt:lpstr>
      <vt:lpstr>'RECOAIR (7)'!Print_Area</vt:lpstr>
      <vt:lpstr>'RECOAIR (8)'!Print_Area</vt:lpstr>
      <vt:lpstr>SDU!Print_Area</vt:lpstr>
      <vt:lpstr>'SDU (2)'!Print_Area</vt:lpstr>
      <vt:lpstr>'SDU (3)'!Print_Area</vt:lpstr>
      <vt:lpstr>'SDU (4)'!Print_Area</vt:lpstr>
      <vt:lpstr>'SDU (5)'!Print_Area</vt:lpstr>
      <vt:lpstr>'SDU (6)'!Print_Area</vt:lpstr>
      <vt:lpstr>'SDU (7)'!Print_Area</vt:lpstr>
      <vt:lpstr>'SDU (8)'!Print_Area</vt:lpstr>
      <vt:lpstr>'SDU (9)'!Print_Area</vt:lpstr>
      <vt:lpstr>'VENT CLG'!Print_Area</vt:lpstr>
      <vt:lpstr>'CANOPY (2)'!SELECTPLANTHIRE</vt:lpstr>
      <vt:lpstr>'CANOPY (3)'!SELECTPLANTHIRE</vt:lpstr>
      <vt:lpstr>'CANOPY (4)'!SELECTPLANTHIRE</vt:lpstr>
      <vt:lpstr>'CANOPY (5)'!SELECTPLANTHIRE</vt:lpstr>
      <vt:lpstr>'CANOPY (6)'!SELECTPLANTHIRE</vt:lpstr>
      <vt:lpstr>'CANOPY (7)'!SELECTPLANTHIRE</vt:lpstr>
      <vt:lpstr>'CANOPY (8)'!SELECTPLANTHIRE</vt:lpstr>
      <vt:lpstr>'CANOPY (9)'!SELECTPLANTHIRE</vt:lpstr>
      <vt:lpstr>'EDGE BOX'!SELECTPLANTHIRE</vt:lpstr>
      <vt:lpstr>'EDGE BOX (2)'!SELECTPLANTHIRE</vt:lpstr>
      <vt:lpstr>'EDGE BOX (3)'!SELECTPLANTHIRE</vt:lpstr>
      <vt:lpstr>'EDGE BOX (4)'!SELECTPLANTHIRE</vt:lpstr>
      <vt:lpstr>'EDGE BOX (5)'!SELECTPLANTHIRE</vt:lpstr>
      <vt:lpstr>'EDGE BOX (6)'!SELECTPLANTHIRE</vt:lpstr>
      <vt:lpstr>'EDGE BOX (7)'!SELECTPLANTHIRE</vt:lpstr>
      <vt:lpstr>'EDGE BOX (8)'!SELECTPLANTHIRE</vt:lpstr>
      <vt:lpstr>'FIRE SUPPRESSION'!SELECTPLANTHIRE</vt:lpstr>
      <vt:lpstr>'FIRE SUPPRESSION (2)'!SELECTPLANTHIRE</vt:lpstr>
      <vt:lpstr>'FIRE SUPPRESSION (3)'!SELECTPLANTHIRE</vt:lpstr>
      <vt:lpstr>'FIRE SUPPRESSION (4)'!SELECTPLANTHIRE</vt:lpstr>
      <vt:lpstr>'FIRE SUPPRESSION (5)'!SELECTPLANTHIRE</vt:lpstr>
      <vt:lpstr>'FIRE SUPPRESSION (6)'!SELECTPLANTHIRE</vt:lpstr>
      <vt:lpstr>'FIRE SUPPRESSION (7)'!SELECTPLANTHIRE</vt:lpstr>
      <vt:lpstr>'FIRE SUPPRESSION (8)'!SELECTPLANTHIRE</vt:lpstr>
      <vt:lpstr>INFECTAWAY!SELECTPLANTHIRE</vt:lpstr>
      <vt:lpstr>'JOB TOTAL'!SELECTPLANTHIRE</vt:lpstr>
      <vt:lpstr>'POLLU-LITE'!SELECTPLANTHIRE</vt:lpstr>
      <vt:lpstr>'REACTAWAY '!SELECTPLANTHIRE</vt:lpstr>
      <vt:lpstr>RECOAIR!SELECTPLANTHIRE</vt:lpstr>
      <vt:lpstr>'RECOAIR (2)'!SELECTPLANTHIRE</vt:lpstr>
      <vt:lpstr>'RECOAIR (3)'!SELECTPLANTHIRE</vt:lpstr>
      <vt:lpstr>'RECOAIR (4)'!SELECTPLANTHIRE</vt:lpstr>
      <vt:lpstr>'RECOAIR (5)'!SELECTPLANTHIRE</vt:lpstr>
      <vt:lpstr>'RECOAIR (6)'!SELECTPLANTHIRE</vt:lpstr>
      <vt:lpstr>'RECOAIR (7)'!SELECTPLANTHIRE</vt:lpstr>
      <vt:lpstr>'RECOAIR (8)'!SELECTPLANTHIRE</vt:lpstr>
      <vt:lpstr>SIZE</vt:lpstr>
    </vt:vector>
  </TitlesOfParts>
  <Manager>Craig Gould</Manager>
  <Company>Halton Foodservice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2025-06-05T14:07:37Z</dcterms:modified>
  <dc:language>English</dc:language>
  <cp:version>2015</cp:version>
</cp:coreProperties>
</file>