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outation BMKN - 2017\pt johnson\pt johnson-qou-bmkn-17-0608\"/>
    </mc:Choice>
  </mc:AlternateContent>
  <bookViews>
    <workbookView xWindow="240" yWindow="75" windowWidth="19320" windowHeight="8505"/>
  </bookViews>
  <sheets>
    <sheet name="R0" sheetId="9" r:id="rId1"/>
    <sheet name="Agitator Mix Vessel" sheetId="1" state="hidden" r:id="rId2"/>
    <sheet name="Homigenizer" sheetId="2" state="hidden" r:id="rId3"/>
    <sheet name="mixer to linePump" sheetId="3" state="hidden" r:id="rId4"/>
    <sheet name="draft-quote" sheetId="5" state="hidden" r:id="rId5"/>
  </sheets>
  <definedNames>
    <definedName name="_xlnm.Print_Area" localSheetId="1">'Agitator Mix Vessel'!$A$1:$H$20</definedName>
    <definedName name="_xlnm.Print_Area" localSheetId="4">'draft-quote'!$A$1:$N$100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4">'draft-quote'!#REF!</definedName>
    <definedName name="_xlnm.Print_Titles" localSheetId="3">'mixer to linePump'!$1:$2</definedName>
    <definedName name="_xlnm.Print_Titles" localSheetId="0">R0!$4:$4</definedName>
  </definedNames>
  <calcPr calcId="152511"/>
</workbook>
</file>

<file path=xl/calcChain.xml><?xml version="1.0" encoding="utf-8"?>
<calcChain xmlns="http://schemas.openxmlformats.org/spreadsheetml/2006/main">
  <c r="K23" i="9" l="1"/>
  <c r="O12" i="9"/>
  <c r="I7" i="9"/>
  <c r="I6" i="9"/>
  <c r="O22" i="9" l="1"/>
  <c r="I10" i="9"/>
  <c r="I11" i="9"/>
  <c r="N10" i="9" l="1"/>
  <c r="O10" i="9" s="1"/>
  <c r="N11" i="9"/>
  <c r="O11" i="9" s="1"/>
  <c r="R11" i="9" s="1"/>
  <c r="J11" i="9" s="1"/>
  <c r="N7" i="9"/>
  <c r="O7" i="9" s="1"/>
  <c r="R7" i="9" s="1"/>
  <c r="J7" i="9" s="1"/>
  <c r="R10" i="9" l="1"/>
  <c r="J10" i="9" l="1"/>
  <c r="O23" i="9"/>
  <c r="O24" i="9" s="1"/>
  <c r="N6" i="9" l="1"/>
  <c r="O6" i="9" s="1"/>
  <c r="R6" i="9" s="1"/>
  <c r="J6" i="9" s="1"/>
  <c r="J12" i="9" l="1"/>
  <c r="R8" i="9"/>
  <c r="O8" i="9"/>
  <c r="K22" i="9" s="1"/>
  <c r="K6" i="5"/>
  <c r="L6" i="5" s="1"/>
  <c r="H6" i="5" s="1"/>
  <c r="K7" i="5"/>
  <c r="L7" i="5" s="1"/>
  <c r="H7" i="5" s="1"/>
  <c r="G7" i="5" s="1"/>
  <c r="K8" i="5"/>
  <c r="L8" i="5" s="1"/>
  <c r="H8" i="5" s="1"/>
  <c r="G8" i="5" s="1"/>
  <c r="K9" i="5"/>
  <c r="L9" i="5" s="1"/>
  <c r="H9" i="5" s="1"/>
  <c r="G9" i="5" s="1"/>
  <c r="K10" i="5"/>
  <c r="L10" i="5" s="1"/>
  <c r="H10" i="5" s="1"/>
  <c r="G10" i="5" s="1"/>
  <c r="K11" i="5"/>
  <c r="L11" i="5" s="1"/>
  <c r="H11" i="5" s="1"/>
  <c r="G11" i="5" s="1"/>
  <c r="K12" i="5"/>
  <c r="L12" i="5" s="1"/>
  <c r="H12" i="5" s="1"/>
  <c r="G12" i="5" s="1"/>
  <c r="K13" i="5"/>
  <c r="L13" i="5" s="1"/>
  <c r="H13" i="5" s="1"/>
  <c r="G13" i="5" s="1"/>
  <c r="K14" i="5"/>
  <c r="L14" i="5" s="1"/>
  <c r="H14" i="5" s="1"/>
  <c r="G14" i="5" s="1"/>
  <c r="K15" i="5"/>
  <c r="L15" i="5" s="1"/>
  <c r="H15" i="5" s="1"/>
  <c r="G15" i="5" s="1"/>
  <c r="K16" i="5"/>
  <c r="L16" i="5" s="1"/>
  <c r="H16" i="5" s="1"/>
  <c r="G16" i="5" s="1"/>
  <c r="K17" i="5"/>
  <c r="L17" i="5" s="1"/>
  <c r="H17" i="5" s="1"/>
  <c r="G17" i="5" s="1"/>
  <c r="K18" i="5"/>
  <c r="L18" i="5" s="1"/>
  <c r="H18" i="5" s="1"/>
  <c r="G18" i="5" s="1"/>
  <c r="K19" i="5"/>
  <c r="L19" i="5" s="1"/>
  <c r="H19" i="5" s="1"/>
  <c r="G19" i="5" s="1"/>
  <c r="K20" i="5"/>
  <c r="L20" i="5" s="1"/>
  <c r="H20" i="5" s="1"/>
  <c r="G20" i="5" s="1"/>
  <c r="K21" i="5"/>
  <c r="L21" i="5" s="1"/>
  <c r="H21" i="5" s="1"/>
  <c r="G21" i="5" s="1"/>
  <c r="K22" i="5"/>
  <c r="L22" i="5" s="1"/>
  <c r="H22" i="5" s="1"/>
  <c r="G22" i="5" s="1"/>
  <c r="K23" i="5"/>
  <c r="L23" i="5" s="1"/>
  <c r="H23" i="5" s="1"/>
  <c r="G23" i="5" s="1"/>
  <c r="K24" i="5"/>
  <c r="L24" i="5" s="1"/>
  <c r="H24" i="5" s="1"/>
  <c r="G24" i="5" s="1"/>
  <c r="K25" i="5"/>
  <c r="L25" i="5" s="1"/>
  <c r="H25" i="5" s="1"/>
  <c r="G25" i="5" s="1"/>
  <c r="K26" i="5"/>
  <c r="L26" i="5" s="1"/>
  <c r="H26" i="5" s="1"/>
  <c r="G26" i="5" s="1"/>
  <c r="K27" i="5"/>
  <c r="L27" i="5" s="1"/>
  <c r="H27" i="5" s="1"/>
  <c r="G27" i="5" s="1"/>
  <c r="K28" i="5"/>
  <c r="L28" i="5" s="1"/>
  <c r="H28" i="5" s="1"/>
  <c r="G28" i="5" s="1"/>
  <c r="K29" i="5"/>
  <c r="L29" i="5" s="1"/>
  <c r="H29" i="5" s="1"/>
  <c r="G29" i="5" s="1"/>
  <c r="K30" i="5"/>
  <c r="L30" i="5" s="1"/>
  <c r="H30" i="5" s="1"/>
  <c r="G30" i="5" s="1"/>
  <c r="K31" i="5"/>
  <c r="L31" i="5" s="1"/>
  <c r="H31" i="5" s="1"/>
  <c r="G31" i="5" s="1"/>
  <c r="K32" i="5"/>
  <c r="L32" i="5" s="1"/>
  <c r="H32" i="5" s="1"/>
  <c r="G32" i="5" s="1"/>
  <c r="K33" i="5"/>
  <c r="L33" i="5" s="1"/>
  <c r="H33" i="5" s="1"/>
  <c r="G33" i="5" s="1"/>
  <c r="K34" i="5"/>
  <c r="L34" i="5" s="1"/>
  <c r="H34" i="5" s="1"/>
  <c r="G34" i="5" s="1"/>
  <c r="K35" i="5"/>
  <c r="L35" i="5" s="1"/>
  <c r="H35" i="5" s="1"/>
  <c r="G35" i="5" s="1"/>
  <c r="K36" i="5"/>
  <c r="L36" i="5" s="1"/>
  <c r="H36" i="5" s="1"/>
  <c r="G36" i="5" s="1"/>
  <c r="K39" i="5"/>
  <c r="L39" i="5" s="1"/>
  <c r="K40" i="5"/>
  <c r="L40" i="5" s="1"/>
  <c r="H40" i="5" s="1"/>
  <c r="G40" i="5" s="1"/>
  <c r="K41" i="5"/>
  <c r="L41" i="5" s="1"/>
  <c r="H41" i="5" s="1"/>
  <c r="G41" i="5" s="1"/>
  <c r="K42" i="5"/>
  <c r="L42" i="5" s="1"/>
  <c r="H42" i="5" s="1"/>
  <c r="G42" i="5" s="1"/>
  <c r="K43" i="5"/>
  <c r="L43" i="5" s="1"/>
  <c r="H43" i="5" s="1"/>
  <c r="G43" i="5" s="1"/>
  <c r="K44" i="5"/>
  <c r="L44" i="5" s="1"/>
  <c r="H44" i="5" s="1"/>
  <c r="G44" i="5" s="1"/>
  <c r="K45" i="5"/>
  <c r="L45" i="5" s="1"/>
  <c r="H45" i="5" s="1"/>
  <c r="G45" i="5" s="1"/>
  <c r="K46" i="5"/>
  <c r="L46" i="5" s="1"/>
  <c r="H46" i="5" s="1"/>
  <c r="G46" i="5" s="1"/>
  <c r="K47" i="5"/>
  <c r="L47" i="5" s="1"/>
  <c r="H47" i="5" s="1"/>
  <c r="G47" i="5" s="1"/>
  <c r="K48" i="5"/>
  <c r="L48" i="5" s="1"/>
  <c r="H48" i="5" s="1"/>
  <c r="G48" i="5" s="1"/>
  <c r="K49" i="5"/>
  <c r="L49" i="5" s="1"/>
  <c r="H49" i="5" s="1"/>
  <c r="G49" i="5" s="1"/>
  <c r="K50" i="5"/>
  <c r="L50" i="5" s="1"/>
  <c r="H50" i="5" s="1"/>
  <c r="G50" i="5" s="1"/>
  <c r="K51" i="5"/>
  <c r="L51" i="5" s="1"/>
  <c r="H51" i="5" s="1"/>
  <c r="G51" i="5" s="1"/>
  <c r="K52" i="5"/>
  <c r="L52" i="5" s="1"/>
  <c r="H52" i="5" s="1"/>
  <c r="G52" i="5" s="1"/>
  <c r="K53" i="5"/>
  <c r="L53" i="5" s="1"/>
  <c r="H53" i="5" s="1"/>
  <c r="G53" i="5" s="1"/>
  <c r="K54" i="5"/>
  <c r="L54" i="5" s="1"/>
  <c r="H54" i="5" s="1"/>
  <c r="G54" i="5" s="1"/>
  <c r="K55" i="5"/>
  <c r="L55" i="5" s="1"/>
  <c r="H55" i="5" s="1"/>
  <c r="G55" i="5" s="1"/>
  <c r="K56" i="5"/>
  <c r="L56" i="5" s="1"/>
  <c r="H56" i="5" s="1"/>
  <c r="G56" i="5" s="1"/>
  <c r="K57" i="5"/>
  <c r="L57" i="5" s="1"/>
  <c r="H57" i="5" s="1"/>
  <c r="G57" i="5" s="1"/>
  <c r="K58" i="5"/>
  <c r="L58" i="5" s="1"/>
  <c r="H58" i="5" s="1"/>
  <c r="G58" i="5" s="1"/>
  <c r="K59" i="5"/>
  <c r="L59" i="5" s="1"/>
  <c r="H59" i="5" s="1"/>
  <c r="G59" i="5" s="1"/>
  <c r="K60" i="5"/>
  <c r="L60" i="5" s="1"/>
  <c r="H60" i="5" s="1"/>
  <c r="G60" i="5" s="1"/>
  <c r="K61" i="5"/>
  <c r="L61" i="5" s="1"/>
  <c r="H61" i="5" s="1"/>
  <c r="G61" i="5" s="1"/>
  <c r="K62" i="5"/>
  <c r="L62" i="5" s="1"/>
  <c r="H62" i="5" s="1"/>
  <c r="G62" i="5" s="1"/>
  <c r="K63" i="5"/>
  <c r="L63" i="5" s="1"/>
  <c r="H63" i="5" s="1"/>
  <c r="G63" i="5" s="1"/>
  <c r="K64" i="5"/>
  <c r="L64" i="5" s="1"/>
  <c r="H64" i="5" s="1"/>
  <c r="G64" i="5" s="1"/>
  <c r="K65" i="5"/>
  <c r="L65" i="5" s="1"/>
  <c r="H65" i="5" s="1"/>
  <c r="G65" i="5" s="1"/>
  <c r="K66" i="5"/>
  <c r="L66" i="5" s="1"/>
  <c r="H66" i="5" s="1"/>
  <c r="G66" i="5" s="1"/>
  <c r="K69" i="5"/>
  <c r="L69" i="5" s="1"/>
  <c r="H69" i="5" s="1"/>
  <c r="K70" i="5"/>
  <c r="L70" i="5" s="1"/>
  <c r="H70" i="5" s="1"/>
  <c r="G70" i="5" s="1"/>
  <c r="K71" i="5"/>
  <c r="L71" i="5" s="1"/>
  <c r="H71" i="5" s="1"/>
  <c r="G71" i="5" s="1"/>
  <c r="K72" i="5"/>
  <c r="L72" i="5" s="1"/>
  <c r="H72" i="5" s="1"/>
  <c r="G72" i="5" s="1"/>
  <c r="K73" i="5"/>
  <c r="L73" i="5" s="1"/>
  <c r="H73" i="5" s="1"/>
  <c r="G73" i="5" s="1"/>
  <c r="K74" i="5"/>
  <c r="L74" i="5" s="1"/>
  <c r="H74" i="5" s="1"/>
  <c r="G74" i="5" s="1"/>
  <c r="K75" i="5"/>
  <c r="L75" i="5" s="1"/>
  <c r="H75" i="5" s="1"/>
  <c r="G75" i="5" s="1"/>
  <c r="K76" i="5"/>
  <c r="L76" i="5" s="1"/>
  <c r="H76" i="5" s="1"/>
  <c r="G76" i="5" s="1"/>
  <c r="K77" i="5"/>
  <c r="L77" i="5" s="1"/>
  <c r="H77" i="5" s="1"/>
  <c r="G77" i="5" s="1"/>
  <c r="K78" i="5"/>
  <c r="L78" i="5" s="1"/>
  <c r="H78" i="5" s="1"/>
  <c r="G78" i="5" s="1"/>
  <c r="K79" i="5"/>
  <c r="L79" i="5" s="1"/>
  <c r="H79" i="5" s="1"/>
  <c r="G79" i="5" s="1"/>
  <c r="K80" i="5"/>
  <c r="L80" i="5" s="1"/>
  <c r="H80" i="5" s="1"/>
  <c r="G80" i="5" s="1"/>
  <c r="K81" i="5"/>
  <c r="L81" i="5" s="1"/>
  <c r="H81" i="5" s="1"/>
  <c r="G81" i="5" s="1"/>
  <c r="K82" i="5"/>
  <c r="L82" i="5" s="1"/>
  <c r="H82" i="5" s="1"/>
  <c r="G82" i="5" s="1"/>
  <c r="K83" i="5"/>
  <c r="L83" i="5" s="1"/>
  <c r="H83" i="5" s="1"/>
  <c r="G83" i="5" s="1"/>
  <c r="K84" i="5"/>
  <c r="L84" i="5" s="1"/>
  <c r="H84" i="5" s="1"/>
  <c r="G84" i="5" s="1"/>
  <c r="K85" i="5"/>
  <c r="L85" i="5" s="1"/>
  <c r="H85" i="5" s="1"/>
  <c r="G85" i="5" s="1"/>
  <c r="K86" i="5"/>
  <c r="L86" i="5" s="1"/>
  <c r="H86" i="5" s="1"/>
  <c r="G86" i="5" s="1"/>
  <c r="K87" i="5"/>
  <c r="L87" i="5" s="1"/>
  <c r="H87" i="5" s="1"/>
  <c r="G87" i="5" s="1"/>
  <c r="K88" i="5"/>
  <c r="L88" i="5" s="1"/>
  <c r="H88" i="5" s="1"/>
  <c r="G88" i="5" s="1"/>
  <c r="K89" i="5"/>
  <c r="L89" i="5" s="1"/>
  <c r="H89" i="5" s="1"/>
  <c r="G89" i="5" s="1"/>
  <c r="K90" i="5"/>
  <c r="L90" i="5" s="1"/>
  <c r="H90" i="5" s="1"/>
  <c r="G90" i="5" s="1"/>
  <c r="K91" i="5"/>
  <c r="L91" i="5" s="1"/>
  <c r="H91" i="5" s="1"/>
  <c r="G91" i="5" s="1"/>
  <c r="K92" i="5"/>
  <c r="L92" i="5" s="1"/>
  <c r="H92" i="5" s="1"/>
  <c r="G92" i="5" s="1"/>
  <c r="K93" i="5"/>
  <c r="L93" i="5" s="1"/>
  <c r="H93" i="5" s="1"/>
  <c r="G93" i="5" s="1"/>
  <c r="K94" i="5"/>
  <c r="L94" i="5" s="1"/>
  <c r="H94" i="5" s="1"/>
  <c r="G94" i="5" s="1"/>
  <c r="K95" i="5"/>
  <c r="L95" i="5" s="1"/>
  <c r="H95" i="5" s="1"/>
  <c r="G95" i="5" s="1"/>
  <c r="K96" i="5"/>
  <c r="L96" i="5" s="1"/>
  <c r="H96" i="5" s="1"/>
  <c r="G96" i="5" s="1"/>
  <c r="K97" i="5"/>
  <c r="L97" i="5" s="1"/>
  <c r="H97" i="5" s="1"/>
  <c r="G97" i="5" s="1"/>
  <c r="K98" i="5"/>
  <c r="L98" i="5" s="1"/>
  <c r="H98" i="5" s="1"/>
  <c r="G98" i="5" s="1"/>
  <c r="G15" i="1"/>
  <c r="G17" i="2"/>
  <c r="F16" i="3"/>
  <c r="F18" i="3" s="1"/>
  <c r="Z14" i="3"/>
  <c r="U14" i="3"/>
  <c r="N14" i="3" s="1"/>
  <c r="S14" i="3"/>
  <c r="AB14" i="3" s="1"/>
  <c r="AC14" i="3" s="1"/>
  <c r="U13" i="3"/>
  <c r="S13" i="3"/>
  <c r="V13" i="3" s="1"/>
  <c r="U12" i="3"/>
  <c r="S12" i="3"/>
  <c r="U11" i="3"/>
  <c r="S11" i="3"/>
  <c r="AB11" i="3" s="1"/>
  <c r="AC11" i="3" s="1"/>
  <c r="Z10" i="3"/>
  <c r="U10" i="3"/>
  <c r="N10" i="3" s="1"/>
  <c r="S10" i="3"/>
  <c r="Y10" i="3" s="1"/>
  <c r="U9" i="3"/>
  <c r="S9" i="3"/>
  <c r="N9" i="3"/>
  <c r="M9" i="3"/>
  <c r="Z9" i="3" s="1"/>
  <c r="AA9" i="3" s="1"/>
  <c r="L9" i="3"/>
  <c r="U8" i="3"/>
  <c r="S8" i="3"/>
  <c r="N8" i="3"/>
  <c r="M8" i="3"/>
  <c r="Z8" i="3" s="1"/>
  <c r="AA8" i="3" s="1"/>
  <c r="L8" i="3"/>
  <c r="U7" i="3"/>
  <c r="S7" i="3"/>
  <c r="N7" i="3"/>
  <c r="M7" i="3"/>
  <c r="Z7" i="3" s="1"/>
  <c r="AA7" i="3" s="1"/>
  <c r="L7" i="3"/>
  <c r="U6" i="3"/>
  <c r="N6" i="3" s="1"/>
  <c r="O6" i="3"/>
  <c r="S6" i="3" s="1"/>
  <c r="V6" i="3" s="1"/>
  <c r="M6" i="3"/>
  <c r="Z6" i="3" s="1"/>
  <c r="L6" i="3"/>
  <c r="Z5" i="3"/>
  <c r="U5" i="3"/>
  <c r="N5" i="3" s="1"/>
  <c r="O5" i="3"/>
  <c r="S5" i="3" s="1"/>
  <c r="AB5" i="3" s="1"/>
  <c r="AC5" i="3" s="1"/>
  <c r="U4" i="3"/>
  <c r="S4" i="3"/>
  <c r="N4" i="3"/>
  <c r="M4" i="3"/>
  <c r="Z4" i="3" s="1"/>
  <c r="AA4" i="3" s="1"/>
  <c r="L4" i="3"/>
  <c r="Z3" i="3"/>
  <c r="U3" i="3"/>
  <c r="S3" i="3"/>
  <c r="N3" i="3"/>
  <c r="N23" i="9" l="1"/>
  <c r="N22" i="9"/>
  <c r="AB13" i="3"/>
  <c r="AC13" i="3" s="1"/>
  <c r="V7" i="3"/>
  <c r="V9" i="3"/>
  <c r="AA5" i="3"/>
  <c r="AA6" i="3"/>
  <c r="V10" i="3"/>
  <c r="AA10" i="3"/>
  <c r="V3" i="3"/>
  <c r="AA3" i="3"/>
  <c r="V4" i="3"/>
  <c r="X6" i="3"/>
  <c r="V8" i="3"/>
  <c r="V12" i="3"/>
  <c r="AA14" i="3"/>
  <c r="G6" i="5"/>
  <c r="C5" i="5"/>
  <c r="L38" i="5"/>
  <c r="H39" i="5"/>
  <c r="C68" i="5"/>
  <c r="G69" i="5"/>
  <c r="L5" i="5"/>
  <c r="L68" i="5"/>
  <c r="Y8" i="3"/>
  <c r="Y9" i="3"/>
  <c r="X3" i="3"/>
  <c r="AB3" i="3"/>
  <c r="AC3" i="3" s="1"/>
  <c r="X4" i="3"/>
  <c r="AB4" i="3"/>
  <c r="AC4" i="3" s="1"/>
  <c r="Y5" i="3"/>
  <c r="AB12" i="3"/>
  <c r="AC12" i="3" s="1"/>
  <c r="Y14" i="3"/>
  <c r="V5" i="3"/>
  <c r="X10" i="3"/>
  <c r="AB10" i="3"/>
  <c r="AC10" i="3" s="1"/>
  <c r="V11" i="3"/>
  <c r="V14" i="3"/>
  <c r="Y3" i="3"/>
  <c r="Y4" i="3"/>
  <c r="Y6" i="3"/>
  <c r="Y7" i="3"/>
  <c r="AB6" i="3"/>
  <c r="AC6" i="3" s="1"/>
  <c r="X7" i="3"/>
  <c r="AB7" i="3"/>
  <c r="AC7" i="3" s="1"/>
  <c r="X8" i="3"/>
  <c r="AB8" i="3"/>
  <c r="AC8" i="3" s="1"/>
  <c r="X9" i="3"/>
  <c r="AB9" i="3"/>
  <c r="AC9" i="3" s="1"/>
  <c r="X5" i="3"/>
  <c r="X14" i="3"/>
  <c r="N24" i="9" l="1"/>
  <c r="L100" i="5"/>
  <c r="C38" i="5"/>
  <c r="C100" i="5" s="1"/>
  <c r="G39" i="5"/>
  <c r="D17" i="2"/>
  <c r="D19" i="2" s="1"/>
</calcChain>
</file>

<file path=xl/sharedStrings.xml><?xml version="1.0" encoding="utf-8"?>
<sst xmlns="http://schemas.openxmlformats.org/spreadsheetml/2006/main" count="654" uniqueCount="255">
  <si>
    <t>MCC Drives for Mixing Vessels ex. Storage Vessels</t>
  </si>
  <si>
    <t>No</t>
  </si>
  <si>
    <t>Vessel</t>
  </si>
  <si>
    <t>Vessel Capacity</t>
  </si>
  <si>
    <t>Agitator Motor</t>
  </si>
  <si>
    <t>Inverter</t>
  </si>
  <si>
    <t>SV1</t>
  </si>
  <si>
    <t>5 Te</t>
  </si>
  <si>
    <t>5.5 kW, 380VAC, 3 phase, 50 Hz</t>
  </si>
  <si>
    <t>Yes</t>
  </si>
  <si>
    <t>SV2A</t>
  </si>
  <si>
    <t>SV2B</t>
  </si>
  <si>
    <t>SV3</t>
  </si>
  <si>
    <t>10 Te</t>
  </si>
  <si>
    <t>15 kW, 380VAC, 3 phase, 50 Hz</t>
  </si>
  <si>
    <t>SV8</t>
  </si>
  <si>
    <t>SV4</t>
  </si>
  <si>
    <t>SV5A</t>
  </si>
  <si>
    <t>SV5B</t>
  </si>
  <si>
    <t>SV9A</t>
  </si>
  <si>
    <t>SV10</t>
  </si>
  <si>
    <t>Mix Distribution</t>
  </si>
  <si>
    <t>MCB 100 A  ---&gt; 1x MCB 63 A 3phase, 2x MCB 32A 3 phase, 2x MCB 16A 3 phase, 6x MCB 16A 1 phase</t>
  </si>
  <si>
    <t xml:space="preserve">MCB 100 A  </t>
  </si>
  <si>
    <t xml:space="preserve">MCC Drives for Homogenizer </t>
  </si>
  <si>
    <t>Homogenizer motor</t>
  </si>
  <si>
    <t>Inverter required (Y/N)</t>
  </si>
  <si>
    <t>MV1/MV2</t>
  </si>
  <si>
    <t>7.5 Te</t>
  </si>
  <si>
    <t>22 kW, 380VAC, 3 phase, 50 Hz</t>
  </si>
  <si>
    <t>MV3/SV3</t>
  </si>
  <si>
    <t>30 kW, 380VAC, 3 phase, 50 Hz</t>
  </si>
  <si>
    <t>MV4/SV4</t>
  </si>
  <si>
    <t>18 kW, 380VAC, 3 phase, 50 Hz</t>
  </si>
  <si>
    <t>MV5/SV1</t>
  </si>
  <si>
    <t>SV2A/SV2B</t>
  </si>
  <si>
    <t>MV8/SV8</t>
  </si>
  <si>
    <t>MV9/MV10</t>
  </si>
  <si>
    <t>MV13A</t>
  </si>
  <si>
    <t>2 Te</t>
  </si>
  <si>
    <t>MV20</t>
  </si>
  <si>
    <t>12.5 Te</t>
  </si>
  <si>
    <t>MV21</t>
  </si>
  <si>
    <t>MV22</t>
  </si>
  <si>
    <t>Total kW</t>
  </si>
  <si>
    <t>Diversity</t>
  </si>
  <si>
    <t>Busbar to be size at 630A</t>
  </si>
  <si>
    <t>Isolator at 630A</t>
  </si>
  <si>
    <t>MCC Drives for Mixer to Line Pumps</t>
  </si>
  <si>
    <t>Line</t>
  </si>
  <si>
    <t>Vessel Capacity, ton</t>
  </si>
  <si>
    <t>Pump Model</t>
  </si>
  <si>
    <t>Pump Motor</t>
  </si>
  <si>
    <t>Current gearbox rpm</t>
  </si>
  <si>
    <t>Current Pump capacity, ton/h</t>
  </si>
  <si>
    <t>Existing Pump No</t>
  </si>
  <si>
    <t>New Pump No</t>
  </si>
  <si>
    <t>Min. Filling Rate, ton/h</t>
  </si>
  <si>
    <t>Max. Filling Rate, ton/h</t>
  </si>
  <si>
    <t>Current Linier velocity in 2" dia. Pipe, m/s</t>
  </si>
  <si>
    <t>Replaced gearbox to get motor rpm</t>
  </si>
  <si>
    <t>Replaced gearbox (Y/N)</t>
  </si>
  <si>
    <t>Replaced motor (Y/N)</t>
  </si>
  <si>
    <t>New Motor</t>
  </si>
  <si>
    <t>New pump capacity, ton/h</t>
  </si>
  <si>
    <t>Pipe size to Line, mm</t>
  </si>
  <si>
    <t>Pipe area, m2</t>
  </si>
  <si>
    <t>New Linier velocity in 2" dia. Pipe, m/s</t>
  </si>
  <si>
    <t>Pump port</t>
  </si>
  <si>
    <t>Inverter at Min Filling rate. Hz</t>
  </si>
  <si>
    <t>Inverter at Max Filling rate, Hz</t>
  </si>
  <si>
    <t>Flowrate to Filler, ton/h = 200% of  max filling rate, ton/h</t>
  </si>
  <si>
    <t>Inverter at Filling rate to Line, Hz</t>
  </si>
  <si>
    <t>Flowrate at sanitation, ton/h</t>
  </si>
  <si>
    <t>Inverter at sanitation, Hz</t>
  </si>
  <si>
    <t>L1 Bodywash</t>
  </si>
  <si>
    <t>Sanitary Alfa Laval Lobe Pump SRU5/168/LS</t>
  </si>
  <si>
    <t>7.5 kW, 380VAC, 3 phase, 50 Hz, 220 rpm</t>
  </si>
  <si>
    <t>P10A</t>
  </si>
  <si>
    <t>PL1</t>
  </si>
  <si>
    <t>Y</t>
  </si>
  <si>
    <t>N</t>
  </si>
  <si>
    <t>-</t>
  </si>
  <si>
    <t>horizontal port to be modified into vertical port</t>
  </si>
  <si>
    <t>Doy 2</t>
  </si>
  <si>
    <t>P3A</t>
  </si>
  <si>
    <t>PD2</t>
  </si>
  <si>
    <t>L5 House Hold</t>
  </si>
  <si>
    <t>Sanitary Alfa Laval Lobe Pump SRU4/079/LS</t>
  </si>
  <si>
    <t>5.5 kW, 380VAC, 3 phase, 50 Hz, 220 rpm</t>
  </si>
  <si>
    <t>P2A</t>
  </si>
  <si>
    <t>PL5</t>
  </si>
  <si>
    <t>Doy 3</t>
  </si>
  <si>
    <t>Sanitary Alfa Laval Lobe Pump SRU/079/LS</t>
  </si>
  <si>
    <t>P5A</t>
  </si>
  <si>
    <t>PD3</t>
  </si>
  <si>
    <t>L2 Kids/Baby Liquid</t>
  </si>
  <si>
    <t>Sanitary Alfa Laval Lobe Pump SRU3/038/LS</t>
  </si>
  <si>
    <t>2.2 kW, 380VAC, 3 phase, 50 Hz, 220 rpm</t>
  </si>
  <si>
    <t>P2B</t>
  </si>
  <si>
    <t>PL2</t>
  </si>
  <si>
    <t>Doy 1</t>
  </si>
  <si>
    <t>P8A</t>
  </si>
  <si>
    <t>PD1</t>
  </si>
  <si>
    <t>L20 Baby Liquid</t>
  </si>
  <si>
    <t>P9A</t>
  </si>
  <si>
    <t>P20</t>
  </si>
  <si>
    <t>Sachet</t>
  </si>
  <si>
    <t>P13A</t>
  </si>
  <si>
    <t>PS</t>
  </si>
  <si>
    <t>L11 Squid</t>
  </si>
  <si>
    <t>Mouvex Sanitary Eccentric Pump C24i</t>
  </si>
  <si>
    <t>11 kW, 380VAC, 3 phase, 50 Hz, 400 rpm</t>
  </si>
  <si>
    <t>P11</t>
  </si>
  <si>
    <t>L12 Squid</t>
  </si>
  <si>
    <t>7.5 kW, 380VAC, 3 phase, 50 Hz, 300 rpm</t>
  </si>
  <si>
    <t>P21</t>
  </si>
  <si>
    <t>P12A</t>
  </si>
  <si>
    <t>Mouvex Sanitary Eccentric Pump C12i</t>
  </si>
  <si>
    <t>4 kW, 380VAC, 3 phase, 50 Hz, 400 rpm</t>
  </si>
  <si>
    <t>P22</t>
  </si>
  <si>
    <t>P12B</t>
  </si>
  <si>
    <t>Spare</t>
  </si>
  <si>
    <t>P1A</t>
  </si>
  <si>
    <t>P10</t>
  </si>
  <si>
    <t>Total Load</t>
  </si>
  <si>
    <t>kW</t>
  </si>
  <si>
    <t>Busbar to be sized at</t>
  </si>
  <si>
    <t>400 A</t>
  </si>
  <si>
    <t>Isolator</t>
  </si>
  <si>
    <t>KW</t>
  </si>
  <si>
    <t xml:space="preserve">TOTAL </t>
  </si>
  <si>
    <t>Pcs</t>
  </si>
  <si>
    <t>Schnider</t>
  </si>
  <si>
    <t>XALD164</t>
  </si>
  <si>
    <t>Panel Kendali Emergency Stop, merah, spring return</t>
  </si>
  <si>
    <t>METSEDM6200</t>
  </si>
  <si>
    <t>Panel Meter</t>
  </si>
  <si>
    <t>RXZE2M114</t>
  </si>
  <si>
    <t>Socket for relay RXM2/4</t>
  </si>
  <si>
    <t>RXM4AB2BD</t>
  </si>
  <si>
    <t>Relay 24VDC, 4 contact C/O</t>
  </si>
  <si>
    <t>XB4BD21</t>
  </si>
  <si>
    <t>2 posisi stay put 1N/O Metal</t>
  </si>
  <si>
    <t>XB4BA31</t>
  </si>
  <si>
    <t>Flush Push Button Green 1N/O Metal</t>
  </si>
  <si>
    <t>XB4BA42</t>
  </si>
  <si>
    <t>Flush Push Button Red 1N/C Metal</t>
  </si>
  <si>
    <t>XB4BW34B5</t>
  </si>
  <si>
    <t>Iluminated Push Button Red 24VDC</t>
  </si>
  <si>
    <t>XBV5M5</t>
  </si>
  <si>
    <t>Pilot Lamp 220VAC Yellow</t>
  </si>
  <si>
    <t>XBV5M4</t>
  </si>
  <si>
    <t>Pilot Lamp 220VAC Green</t>
  </si>
  <si>
    <t>XBV5M3</t>
  </si>
  <si>
    <t>Pilot Lamp 220VAC Red</t>
  </si>
  <si>
    <t>XB4BS542</t>
  </si>
  <si>
    <t>Emergency stop latching turn to release</t>
  </si>
  <si>
    <t>Auxiliary Switch OF/SD</t>
  </si>
  <si>
    <t>ATV 32HD11N4</t>
  </si>
  <si>
    <t>Inverter 11kW, 380VAC, 3 phase, 50 Hz</t>
  </si>
  <si>
    <t>ATV32HU75N4</t>
  </si>
  <si>
    <t>Inverter 7.5kW, 380VAC, 3 phase, 50 Hz</t>
  </si>
  <si>
    <t>MCCB motor breaker 7.5kW NS80H + MA25</t>
  </si>
  <si>
    <t>ATV 32HU40N4</t>
  </si>
  <si>
    <t>Inverter 4kW, 380VAC, 3 phase, 50 Hz</t>
  </si>
  <si>
    <t xml:space="preserve"> LC1-D18BD</t>
  </si>
  <si>
    <t>Contactor 24VDC 7.5 kW,18A,1NO+1NC</t>
  </si>
  <si>
    <t>ATV32HU22N4</t>
  </si>
  <si>
    <t>Inverter 2.2 kW, 380VAC, 3 phase, 50 Hz</t>
  </si>
  <si>
    <t>MCCB motor breaker 2.2kW NS80H + MA6.3</t>
  </si>
  <si>
    <t>ATV32HU55N4</t>
  </si>
  <si>
    <t>Inverter 5.5 kW, 380VAC, 3 phase, 50 Hz</t>
  </si>
  <si>
    <t xml:space="preserve"> LC1-D25BD</t>
  </si>
  <si>
    <t>Contactor 24VDC 5.5kW,25A,1NO+1NC</t>
  </si>
  <si>
    <t>MCCB motor breaker 5.5kW NS80H + MA12.5</t>
  </si>
  <si>
    <t>INS400 400A</t>
  </si>
  <si>
    <t>3P4W</t>
  </si>
  <si>
    <t>Bare Bar,</t>
  </si>
  <si>
    <t>Distribution Bar 1x1B 80x5</t>
  </si>
  <si>
    <t>Main Bar 1x1B 100x5,</t>
  </si>
  <si>
    <t>Lot</t>
  </si>
  <si>
    <t>Accessories Panel</t>
  </si>
  <si>
    <t>Panel MS IP54 2200Hx1300Wx600D</t>
  </si>
  <si>
    <t>TOTAL</t>
  </si>
  <si>
    <t>MIXER TO LINE PUMP</t>
  </si>
  <si>
    <t>C</t>
  </si>
  <si>
    <t>ATV 71HD30N4</t>
  </si>
  <si>
    <t>Inverter 30 kW, 380VAC, 3 phase, 50 Hz</t>
  </si>
  <si>
    <t>MCCB motor breaker 30kW NS80H + MA80</t>
  </si>
  <si>
    <t xml:space="preserve"> LC1-D65BD</t>
  </si>
  <si>
    <t>Contactor 24VDC 30 kW,65A,1NO+1NC</t>
  </si>
  <si>
    <t>ATV 71HD22N4</t>
  </si>
  <si>
    <t>Inverter 22 kW, 380VAC, 3 phase, 50 Hz</t>
  </si>
  <si>
    <t>ATV 71HD18N4</t>
  </si>
  <si>
    <t>Inverter 18 kW, 380VAC, 3 phase, 50 Hz</t>
  </si>
  <si>
    <t>ATV312HD15N4</t>
  </si>
  <si>
    <t>Inverter 15 kW, 380VAC, 3 phase, 50 Hz</t>
  </si>
  <si>
    <t xml:space="preserve"> LC1-D50BD</t>
  </si>
  <si>
    <t>Contactor 24VDC 22 kW,50A,1NO+1NC</t>
  </si>
  <si>
    <t>MCCB motor breaker 15kW NS80H + MA50</t>
  </si>
  <si>
    <t>ENGINEERING</t>
  </si>
  <si>
    <t>B</t>
  </si>
  <si>
    <t>Local</t>
  </si>
  <si>
    <t>Transformer 400/230 VAC 1500 VA</t>
  </si>
  <si>
    <t>MCB NG125L, 3P, 63A</t>
  </si>
  <si>
    <t>MCB NG125L, 3P, 32A</t>
  </si>
  <si>
    <t>MCB NG125L, 3P, 16A</t>
  </si>
  <si>
    <t>ATV312HU55N4</t>
  </si>
  <si>
    <t>LV429835</t>
  </si>
  <si>
    <t>NSX100H + Micrologic 2.2-M 100A</t>
  </si>
  <si>
    <t>PANEL MCC MIXING VESSEL</t>
  </si>
  <si>
    <t>A</t>
  </si>
  <si>
    <t>Down</t>
  </si>
  <si>
    <t>Breakdown</t>
  </si>
  <si>
    <t>FACTOR</t>
  </si>
  <si>
    <t>KURS</t>
  </si>
  <si>
    <t>TOTAL COST</t>
  </si>
  <si>
    <t>PRICE</t>
  </si>
  <si>
    <t>DISC</t>
  </si>
  <si>
    <t>PRICE LIST</t>
  </si>
  <si>
    <t>Break</t>
  </si>
  <si>
    <t>Price After</t>
  </si>
  <si>
    <t>UNIT</t>
  </si>
  <si>
    <t>QTY</t>
  </si>
  <si>
    <t>BRAND</t>
  </si>
  <si>
    <t>TIPE</t>
  </si>
  <si>
    <t>DESCRIPTION</t>
  </si>
  <si>
    <t>NO</t>
  </si>
  <si>
    <t>MATERIAL LIST</t>
  </si>
  <si>
    <t>PART NO.</t>
  </si>
  <si>
    <t>MFG</t>
  </si>
  <si>
    <t xml:space="preserve">     QTY</t>
  </si>
  <si>
    <t>QUOTE</t>
  </si>
  <si>
    <t>COST</t>
  </si>
  <si>
    <t>UP</t>
  </si>
  <si>
    <t>Delivery : XXXXX  weeks FOB JAKARTA after approval drawing &amp; process description</t>
  </si>
  <si>
    <t>Price Margin</t>
  </si>
  <si>
    <t>TYEPE</t>
  </si>
  <si>
    <t>Material</t>
  </si>
  <si>
    <t>TOTAL PRICE</t>
  </si>
  <si>
    <t>Amount</t>
  </si>
  <si>
    <t>Margin</t>
  </si>
  <si>
    <t>Basic price</t>
  </si>
  <si>
    <t>Teknisi</t>
  </si>
  <si>
    <t xml:space="preserve">                                 Bill Of Material</t>
  </si>
  <si>
    <t>Supreme</t>
  </si>
  <si>
    <t>Mtr</t>
  </si>
  <si>
    <t>Bmkn</t>
  </si>
  <si>
    <t>Days</t>
  </si>
  <si>
    <t>Site Instalation Teknisi 2 Person</t>
  </si>
  <si>
    <t>Transport</t>
  </si>
  <si>
    <t>CABLE NYYHY 3X2.5MM</t>
  </si>
  <si>
    <t>STOP KONTAK IP 55</t>
  </si>
  <si>
    <t>Legrand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</si>
</sst>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&quot;$&quot;#,##0_);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-* #,##0.00_-;\-* #,##0.00_-;_-* &quot;-&quot;??_-;_-@_-"/>
    <numFmt numFmtId="168" formatCode="_-* #,##0.0_-;\-* #,##0.0_-;_-* &quot;-&quot;??_-;_-@_-"/>
    <numFmt numFmtId="169" formatCode="_-* #,##0.0_-;\-* #,##0.0_-;_-* &quot;-&quot;?_-;_-@_-"/>
    <numFmt numFmtId="170" formatCode="0.0"/>
    <numFmt numFmtId="171" formatCode="_([$Rp-421]* #,##0_);_([$Rp-421]* \(#,##0\);_([$Rp-421]* &quot;-&quot;_);_(@_)"/>
    <numFmt numFmtId="172" formatCode="0.00_)"/>
    <numFmt numFmtId="173" formatCode="_([$Rp-421]* #,##0.00_);_([$Rp-421]* \(#,##0.00\);_([$Rp-421]* &quot;-&quot;??_);_(@_)"/>
    <numFmt numFmtId="174" formatCode="_([$$-409]* #,##0.00_);_([$$-409]* \(#,##0.00\);_([$$-409]* &quot;-&quot;??_);_(@_)"/>
    <numFmt numFmtId="175" formatCode="#,##0.0"/>
    <numFmt numFmtId="176" formatCode="_([$Rp-421]* #,##0.0_);_([$Rp-421]* \(#,##0.0\);_([$Rp-421]* &quot;-&quot;?_);_(@_)"/>
    <numFmt numFmtId="177" formatCode="_([$Rp-421]* #,##0.00_);_([$Rp-421]* \(#,##0.00\);_([$Rp-421]* &quot;-&quot;_);_(@_)"/>
    <numFmt numFmtId="178" formatCode="_([$Rp-421]* #,##0_);_([$Rp-421]* \(#,##0\);_([$Rp-421]* &quot;-&quot;??_);_(@_)"/>
    <numFmt numFmtId="179" formatCode="_-[$$-C09]* #,##0.00_-;\-[$$-C09]* #,##0.00_-;_-[$$-C09]* &quot;-&quot;??_-;_-@_-"/>
    <numFmt numFmtId="180" formatCode="0_)"/>
    <numFmt numFmtId="181" formatCode="_([$€-2]\ * #,##0.00_);_([$€-2]\ * \(#,##0.00\);_([$€-2]\ * &quot;-&quot;??_);_(@_)"/>
    <numFmt numFmtId="182" formatCode="0.0%"/>
    <numFmt numFmtId="183" formatCode="_([$IDR]\ * #,##0.00_);_([$IDR]\ * \(#,##0.00\);_([$IDR]\ * &quot;-&quot;??_);_(@_)"/>
    <numFmt numFmtId="184" formatCode="_(* #.##0.00_);_(* \(#.##0.00\);_(* &quot;-&quot;??_);_(@_)"/>
    <numFmt numFmtId="185" formatCode="_(&quot;$&quot;* #.##0.00_);_(&quot;$&quot;* \(#.##0.00\);_(&quot;$&quot;* &quot;-&quot;??_);_(@_)"/>
    <numFmt numFmtId="186" formatCode="#,##0.0_);\(#,##0.0\)"/>
    <numFmt numFmtId="187" formatCode="_([$Rp-421]* #.##0.00_);_([$Rp-421]* \(#.##0.00\);_([$Rp-421]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  <family val="2"/>
    </font>
    <font>
      <b/>
      <sz val="10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u/>
      <sz val="18"/>
      <color theme="3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0"/>
      <name val="Century Gothic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71" fontId="8" fillId="0" borderId="0"/>
    <xf numFmtId="43" fontId="5" fillId="0" borderId="0" applyFont="0" applyFill="0" applyBorder="0" applyAlignment="0" applyProtection="0"/>
    <xf numFmtId="38" fontId="10" fillId="0" borderId="0" applyFont="0" applyFill="0" applyBorder="0" applyAlignment="0" applyProtection="0"/>
    <xf numFmtId="176" fontId="8" fillId="0" borderId="0"/>
    <xf numFmtId="179" fontId="8" fillId="0" borderId="0"/>
    <xf numFmtId="0" fontId="5" fillId="0" borderId="0"/>
    <xf numFmtId="0" fontId="5" fillId="0" borderId="0"/>
    <xf numFmtId="178" fontId="8" fillId="0" borderId="0"/>
    <xf numFmtId="40" fontId="10" fillId="0" borderId="0" applyFont="0" applyFill="0" applyBorder="0" applyAlignment="0" applyProtection="0"/>
    <xf numFmtId="0" fontId="15" fillId="0" borderId="0"/>
    <xf numFmtId="41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5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8" fillId="0" borderId="0"/>
    <xf numFmtId="0" fontId="18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176" fontId="8" fillId="0" borderId="0"/>
    <xf numFmtId="9" fontId="18" fillId="0" borderId="0" applyFont="0" applyFill="0" applyBorder="0" applyAlignment="0" applyProtection="0"/>
    <xf numFmtId="186" fontId="8" fillId="0" borderId="0"/>
    <xf numFmtId="41" fontId="1" fillId="0" borderId="0" applyFont="0" applyFill="0" applyBorder="0" applyAlignment="0" applyProtection="0"/>
    <xf numFmtId="0" fontId="25" fillId="0" borderId="0"/>
    <xf numFmtId="0" fontId="15" fillId="0" borderId="0"/>
    <xf numFmtId="0" fontId="15" fillId="0" borderId="0"/>
  </cellStyleXfs>
  <cellXfs count="23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9" fontId="0" fillId="0" borderId="0" xfId="0" applyNumberFormat="1"/>
    <xf numFmtId="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168" fontId="0" fillId="0" borderId="3" xfId="1" applyNumberFormat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8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168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4" xfId="0" applyFont="1" applyBorder="1"/>
    <xf numFmtId="0" fontId="6" fillId="0" borderId="0" xfId="3" applyFont="1"/>
    <xf numFmtId="3" fontId="6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9" fontId="6" fillId="0" borderId="0" xfId="4" applyFont="1" applyAlignment="1">
      <alignment horizontal="center"/>
    </xf>
    <xf numFmtId="0" fontId="6" fillId="0" borderId="0" xfId="0" applyFont="1"/>
    <xf numFmtId="0" fontId="6" fillId="0" borderId="0" xfId="3" applyFont="1" applyAlignment="1">
      <alignment horizontal="center"/>
    </xf>
    <xf numFmtId="0" fontId="7" fillId="0" borderId="0" xfId="3" applyFont="1"/>
    <xf numFmtId="172" fontId="6" fillId="0" borderId="0" xfId="5" applyNumberFormat="1" applyFont="1" applyFill="1" applyBorder="1" applyAlignment="1">
      <alignment vertical="center"/>
    </xf>
    <xf numFmtId="4" fontId="7" fillId="0" borderId="3" xfId="5" applyNumberFormat="1" applyFont="1" applyBorder="1" applyAlignment="1">
      <alignment horizontal="center" vertical="center"/>
    </xf>
    <xf numFmtId="173" fontId="9" fillId="0" borderId="2" xfId="2" applyNumberFormat="1" applyFont="1" applyFill="1" applyBorder="1" applyAlignment="1">
      <alignment horizontal="center" vertical="center"/>
    </xf>
    <xf numFmtId="173" fontId="7" fillId="0" borderId="3" xfId="2" applyNumberFormat="1" applyFont="1" applyFill="1" applyBorder="1" applyAlignment="1">
      <alignment horizontal="right" vertical="center"/>
    </xf>
    <xf numFmtId="9" fontId="7" fillId="0" borderId="3" xfId="4" applyFont="1" applyFill="1" applyBorder="1" applyAlignment="1">
      <alignment horizontal="center" vertical="center"/>
    </xf>
    <xf numFmtId="174" fontId="1" fillId="0" borderId="3" xfId="6" applyNumberFormat="1" applyFont="1" applyBorder="1"/>
    <xf numFmtId="173" fontId="7" fillId="0" borderId="3" xfId="7" applyNumberFormat="1" applyFont="1" applyFill="1" applyBorder="1" applyAlignment="1">
      <alignment horizontal="right" vertical="center"/>
    </xf>
    <xf numFmtId="0" fontId="7" fillId="0" borderId="3" xfId="5" applyNumberFormat="1" applyFont="1" applyFill="1" applyBorder="1" applyAlignment="1">
      <alignment horizontal="center" vertical="center"/>
    </xf>
    <xf numFmtId="175" fontId="7" fillId="0" borderId="3" xfId="5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177" fontId="11" fillId="0" borderId="3" xfId="8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173" fontId="7" fillId="0" borderId="2" xfId="2" applyNumberFormat="1" applyFont="1" applyFill="1" applyBorder="1" applyAlignment="1">
      <alignment horizontal="center" vertical="center"/>
    </xf>
    <xf numFmtId="177" fontId="6" fillId="0" borderId="3" xfId="8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73" fontId="7" fillId="0" borderId="2" xfId="2" applyNumberFormat="1" applyFont="1" applyFill="1" applyBorder="1" applyAlignment="1">
      <alignment horizontal="right" vertical="center"/>
    </xf>
    <xf numFmtId="178" fontId="12" fillId="0" borderId="2" xfId="6" applyNumberFormat="1" applyFont="1" applyBorder="1"/>
    <xf numFmtId="173" fontId="7" fillId="0" borderId="2" xfId="7" applyNumberFormat="1" applyFont="1" applyFill="1" applyBorder="1" applyAlignment="1">
      <alignment horizontal="right" vertical="center"/>
    </xf>
    <xf numFmtId="0" fontId="13" fillId="0" borderId="3" xfId="5" applyNumberFormat="1" applyFont="1" applyFill="1" applyBorder="1" applyAlignment="1">
      <alignment horizontal="center" vertical="center"/>
    </xf>
    <xf numFmtId="175" fontId="13" fillId="0" borderId="3" xfId="5" applyNumberFormat="1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177" fontId="13" fillId="0" borderId="3" xfId="8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7" fillId="0" borderId="2" xfId="3" applyFont="1" applyFill="1" applyBorder="1" applyAlignment="1">
      <alignment horizontal="center"/>
    </xf>
    <xf numFmtId="0" fontId="7" fillId="0" borderId="5" xfId="3" applyFont="1" applyFill="1" applyBorder="1" applyAlignment="1">
      <alignment horizontal="center" vertical="center"/>
    </xf>
    <xf numFmtId="177" fontId="7" fillId="0" borderId="3" xfId="8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3" applyFont="1" applyBorder="1" applyAlignment="1">
      <alignment horizontal="center" vertical="center"/>
    </xf>
    <xf numFmtId="0" fontId="7" fillId="0" borderId="2" xfId="9" applyNumberFormat="1" applyFont="1" applyFill="1" applyBorder="1" applyAlignment="1">
      <alignment horizontal="center" vertical="center"/>
    </xf>
    <xf numFmtId="175" fontId="7" fillId="0" borderId="2" xfId="9" applyNumberFormat="1" applyFont="1" applyFill="1" applyBorder="1" applyAlignment="1">
      <alignment horizontal="center" vertical="center"/>
    </xf>
    <xf numFmtId="0" fontId="7" fillId="0" borderId="2" xfId="9" applyNumberFormat="1" applyFont="1" applyFill="1" applyBorder="1" applyAlignment="1">
      <alignment horizontal="center" vertical="center" wrapText="1"/>
    </xf>
    <xf numFmtId="0" fontId="14" fillId="0" borderId="2" xfId="10" applyFont="1" applyBorder="1" applyAlignment="1">
      <alignment horizontal="center" vertical="center" wrapText="1"/>
    </xf>
    <xf numFmtId="0" fontId="14" fillId="0" borderId="2" xfId="10" applyFont="1" applyBorder="1" applyAlignment="1">
      <alignment vertical="center" wrapText="1"/>
    </xf>
    <xf numFmtId="0" fontId="14" fillId="0" borderId="2" xfId="11" applyFont="1" applyFill="1" applyBorder="1" applyAlignment="1">
      <alignment horizontal="center" vertical="center" wrapText="1"/>
    </xf>
    <xf numFmtId="172" fontId="14" fillId="0" borderId="2" xfId="12" applyNumberFormat="1" applyFont="1" applyFill="1" applyBorder="1" applyAlignment="1">
      <alignment horizontal="left" vertical="center" wrapText="1"/>
    </xf>
    <xf numFmtId="0" fontId="7" fillId="0" borderId="2" xfId="8" applyNumberFormat="1" applyFont="1" applyFill="1" applyBorder="1" applyAlignment="1">
      <alignment horizontal="center" vertical="center" wrapText="1"/>
    </xf>
    <xf numFmtId="0" fontId="7" fillId="0" borderId="2" xfId="8" applyNumberFormat="1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80" fontId="7" fillId="0" borderId="2" xfId="8" applyNumberFormat="1" applyFont="1" applyFill="1" applyBorder="1" applyAlignment="1">
      <alignment horizontal="center" vertical="center" wrapText="1"/>
    </xf>
    <xf numFmtId="172" fontId="7" fillId="0" borderId="2" xfId="8" applyNumberFormat="1" applyFont="1" applyFill="1" applyBorder="1" applyAlignment="1">
      <alignment horizontal="left" vertical="center" wrapText="1"/>
    </xf>
    <xf numFmtId="0" fontId="7" fillId="0" borderId="2" xfId="0" applyFont="1" applyBorder="1"/>
    <xf numFmtId="177" fontId="7" fillId="0" borderId="2" xfId="8" applyNumberFormat="1" applyFont="1" applyFill="1" applyBorder="1" applyAlignment="1">
      <alignment horizontal="center" vertical="center" wrapText="1"/>
    </xf>
    <xf numFmtId="172" fontId="7" fillId="0" borderId="2" xfId="8" applyNumberFormat="1" applyFont="1" applyFill="1" applyBorder="1" applyAlignment="1">
      <alignment horizontal="center" vertical="center" wrapText="1"/>
    </xf>
    <xf numFmtId="181" fontId="7" fillId="0" borderId="2" xfId="9" applyNumberFormat="1" applyFont="1" applyFill="1" applyBorder="1" applyAlignment="1">
      <alignment horizontal="center" vertical="center" wrapText="1"/>
    </xf>
    <xf numFmtId="0" fontId="12" fillId="0" borderId="2" xfId="0" applyFont="1" applyBorder="1"/>
    <xf numFmtId="178" fontId="7" fillId="0" borderId="0" xfId="7" applyNumberFormat="1" applyFont="1" applyFill="1" applyBorder="1" applyAlignment="1">
      <alignment horizontal="right" vertical="center"/>
    </xf>
    <xf numFmtId="0" fontId="7" fillId="0" borderId="2" xfId="9" applyNumberFormat="1" applyFont="1" applyFill="1" applyBorder="1" applyAlignment="1">
      <alignment horizontal="left" vertical="center" wrapText="1"/>
    </xf>
    <xf numFmtId="175" fontId="13" fillId="0" borderId="2" xfId="5" applyNumberFormat="1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8" applyNumberFormat="1" applyFont="1" applyFill="1" applyBorder="1" applyAlignment="1">
      <alignment horizontal="left" vertical="center" wrapText="1"/>
    </xf>
    <xf numFmtId="175" fontId="7" fillId="0" borderId="2" xfId="5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1" fillId="6" borderId="2" xfId="4" applyNumberFormat="1" applyFont="1" applyFill="1" applyBorder="1" applyAlignment="1">
      <alignment vertical="center"/>
    </xf>
    <xf numFmtId="9" fontId="11" fillId="6" borderId="2" xfId="4" applyNumberFormat="1" applyFont="1" applyFill="1" applyBorder="1" applyAlignment="1">
      <alignment horizontal="center" vertical="center"/>
    </xf>
    <xf numFmtId="173" fontId="11" fillId="6" borderId="2" xfId="13" applyNumberFormat="1" applyFont="1" applyFill="1" applyBorder="1" applyAlignment="1">
      <alignment horizontal="center" vertical="center"/>
    </xf>
    <xf numFmtId="175" fontId="11" fillId="6" borderId="2" xfId="5" applyNumberFormat="1" applyFont="1" applyFill="1" applyBorder="1" applyAlignment="1">
      <alignment horizontal="right" vertical="center"/>
    </xf>
    <xf numFmtId="175" fontId="9" fillId="6" borderId="2" xfId="13" applyNumberFormat="1" applyFont="1" applyFill="1" applyBorder="1" applyAlignment="1">
      <alignment horizontal="right" vertical="center"/>
    </xf>
    <xf numFmtId="175" fontId="9" fillId="6" borderId="2" xfId="9" applyNumberFormat="1" applyFont="1" applyFill="1" applyBorder="1" applyAlignment="1">
      <alignment horizontal="right" vertical="center"/>
    </xf>
    <xf numFmtId="9" fontId="9" fillId="6" borderId="2" xfId="4" applyFont="1" applyFill="1" applyBorder="1" applyAlignment="1">
      <alignment horizontal="center" vertical="center"/>
    </xf>
    <xf numFmtId="177" fontId="9" fillId="6" borderId="2" xfId="9" applyNumberFormat="1" applyFont="1" applyFill="1" applyBorder="1" applyAlignment="1">
      <alignment horizontal="right" vertical="center"/>
    </xf>
    <xf numFmtId="0" fontId="9" fillId="6" borderId="2" xfId="9" applyNumberFormat="1" applyFont="1" applyFill="1" applyBorder="1" applyAlignment="1">
      <alignment horizontal="center" vertical="center"/>
    </xf>
    <xf numFmtId="175" fontId="9" fillId="6" borderId="2" xfId="9" applyNumberFormat="1" applyFont="1" applyFill="1" applyBorder="1" applyAlignment="1">
      <alignment horizontal="center" vertical="center"/>
    </xf>
    <xf numFmtId="0" fontId="9" fillId="6" borderId="2" xfId="9" applyNumberFormat="1" applyFont="1" applyFill="1" applyBorder="1" applyAlignment="1">
      <alignment horizontal="center" vertical="center" wrapText="1"/>
    </xf>
    <xf numFmtId="173" fontId="11" fillId="6" borderId="2" xfId="8" applyNumberFormat="1" applyFont="1" applyFill="1" applyBorder="1" applyAlignment="1">
      <alignment horizontal="center" vertical="center"/>
    </xf>
    <xf numFmtId="0" fontId="9" fillId="6" borderId="2" xfId="9" applyNumberFormat="1" applyFont="1" applyFill="1" applyBorder="1" applyAlignment="1">
      <alignment horizontal="left" vertical="center" wrapText="1"/>
    </xf>
    <xf numFmtId="0" fontId="7" fillId="0" borderId="2" xfId="5" applyNumberFormat="1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/>
    </xf>
    <xf numFmtId="174" fontId="1" fillId="0" borderId="2" xfId="6" applyNumberFormat="1" applyFont="1" applyBorder="1"/>
    <xf numFmtId="0" fontId="13" fillId="0" borderId="2" xfId="9" applyNumberFormat="1" applyFont="1" applyFill="1" applyBorder="1" applyAlignment="1">
      <alignment horizontal="center" vertical="center"/>
    </xf>
    <xf numFmtId="175" fontId="13" fillId="0" borderId="2" xfId="9" applyNumberFormat="1" applyFont="1" applyFill="1" applyBorder="1" applyAlignment="1">
      <alignment horizontal="center" vertical="center"/>
    </xf>
    <xf numFmtId="0" fontId="13" fillId="0" borderId="2" xfId="9" applyNumberFormat="1" applyFont="1" applyFill="1" applyBorder="1" applyAlignment="1">
      <alignment horizontal="center" vertical="center" wrapText="1"/>
    </xf>
    <xf numFmtId="180" fontId="13" fillId="0" borderId="2" xfId="8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 applyProtection="1">
      <alignment horizontal="left" vertical="center" wrapText="1"/>
      <protection locked="0"/>
    </xf>
    <xf numFmtId="172" fontId="6" fillId="0" borderId="0" xfId="5" applyNumberFormat="1" applyFont="1" applyBorder="1" applyAlignment="1">
      <alignment vertical="center"/>
    </xf>
    <xf numFmtId="9" fontId="11" fillId="6" borderId="2" xfId="4" applyFont="1" applyFill="1" applyBorder="1" applyAlignment="1">
      <alignment horizontal="center" vertical="center"/>
    </xf>
    <xf numFmtId="175" fontId="11" fillId="6" borderId="2" xfId="5" applyNumberFormat="1" applyFont="1" applyFill="1" applyBorder="1" applyAlignment="1">
      <alignment horizontal="center" vertical="center"/>
    </xf>
    <xf numFmtId="177" fontId="11" fillId="6" borderId="2" xfId="8" applyNumberFormat="1" applyFont="1" applyFill="1" applyBorder="1" applyAlignment="1">
      <alignment horizontal="center" vertical="center"/>
    </xf>
    <xf numFmtId="0" fontId="11" fillId="6" borderId="2" xfId="8" applyNumberFormat="1" applyFont="1" applyFill="1" applyBorder="1" applyAlignment="1">
      <alignment horizontal="center" vertical="center"/>
    </xf>
    <xf numFmtId="0" fontId="11" fillId="6" borderId="2" xfId="5" applyNumberFormat="1" applyFont="1" applyFill="1" applyBorder="1" applyAlignment="1">
      <alignment horizontal="center" vertical="center"/>
    </xf>
    <xf numFmtId="0" fontId="16" fillId="7" borderId="2" xfId="14" applyFont="1" applyFill="1" applyBorder="1" applyAlignment="1"/>
    <xf numFmtId="0" fontId="9" fillId="6" borderId="2" xfId="3" applyFont="1" applyFill="1" applyBorder="1" applyAlignment="1">
      <alignment horizontal="center"/>
    </xf>
    <xf numFmtId="172" fontId="11" fillId="0" borderId="0" xfId="5" applyNumberFormat="1" applyFont="1" applyFill="1" applyBorder="1" applyAlignment="1">
      <alignment vertical="center"/>
    </xf>
    <xf numFmtId="3" fontId="11" fillId="8" borderId="3" xfId="5" applyNumberFormat="1" applyFont="1" applyFill="1" applyBorder="1" applyAlignment="1">
      <alignment horizontal="center" vertical="center"/>
    </xf>
    <xf numFmtId="175" fontId="11" fillId="8" borderId="3" xfId="5" applyNumberFormat="1" applyFont="1" applyFill="1" applyBorder="1" applyAlignment="1">
      <alignment horizontal="center" vertical="center"/>
    </xf>
    <xf numFmtId="9" fontId="11" fillId="8" borderId="3" xfId="4" applyFont="1" applyFill="1" applyBorder="1" applyAlignment="1">
      <alignment horizontal="center" vertical="center"/>
    </xf>
    <xf numFmtId="0" fontId="11" fillId="8" borderId="3" xfId="8" applyNumberFormat="1" applyFont="1" applyFill="1" applyBorder="1" applyAlignment="1">
      <alignment horizontal="center" vertical="center"/>
    </xf>
    <xf numFmtId="0" fontId="11" fillId="8" borderId="3" xfId="5" applyNumberFormat="1" applyFont="1" applyFill="1" applyBorder="1" applyAlignment="1">
      <alignment horizontal="center" vertical="center"/>
    </xf>
    <xf numFmtId="0" fontId="9" fillId="8" borderId="3" xfId="5" applyNumberFormat="1" applyFont="1" applyFill="1" applyBorder="1" applyAlignment="1">
      <alignment horizontal="center" vertical="center"/>
    </xf>
    <xf numFmtId="175" fontId="11" fillId="8" borderId="6" xfId="5" applyNumberFormat="1" applyFont="1" applyFill="1" applyBorder="1" applyAlignment="1">
      <alignment horizontal="center" vertical="center"/>
    </xf>
    <xf numFmtId="3" fontId="11" fillId="8" borderId="6" xfId="5" applyNumberFormat="1" applyFont="1" applyFill="1" applyBorder="1" applyAlignment="1">
      <alignment horizontal="center" vertical="center"/>
    </xf>
    <xf numFmtId="9" fontId="11" fillId="8" borderId="6" xfId="4" applyFont="1" applyFill="1" applyBorder="1" applyAlignment="1">
      <alignment horizontal="center" vertical="center"/>
    </xf>
    <xf numFmtId="0" fontId="11" fillId="8" borderId="6" xfId="8" applyNumberFormat="1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9" fillId="8" borderId="6" xfId="5" applyNumberFormat="1" applyFont="1" applyFill="1" applyBorder="1" applyAlignment="1">
      <alignment horizontal="center" vertical="center"/>
    </xf>
    <xf numFmtId="0" fontId="21" fillId="0" borderId="0" xfId="10" applyFont="1" applyFill="1" applyBorder="1" applyAlignment="1">
      <alignment horizontal="center"/>
    </xf>
    <xf numFmtId="0" fontId="21" fillId="0" borderId="0" xfId="10" applyFont="1" applyFill="1" applyBorder="1"/>
    <xf numFmtId="9" fontId="21" fillId="0" borderId="0" xfId="4" applyFont="1" applyFill="1" applyBorder="1" applyAlignment="1">
      <alignment horizontal="center"/>
    </xf>
    <xf numFmtId="43" fontId="21" fillId="0" borderId="0" xfId="6" applyFont="1" applyFill="1" applyBorder="1" applyAlignment="1">
      <alignment horizontal="center" vertical="center"/>
    </xf>
    <xf numFmtId="175" fontId="22" fillId="0" borderId="0" xfId="54" applyNumberFormat="1" applyFont="1" applyFill="1" applyBorder="1" applyAlignment="1">
      <alignment horizontal="center" vertical="center"/>
    </xf>
    <xf numFmtId="9" fontId="22" fillId="0" borderId="0" xfId="4" applyFont="1" applyFill="1" applyBorder="1" applyAlignment="1">
      <alignment horizontal="center" vertical="center"/>
    </xf>
    <xf numFmtId="3" fontId="22" fillId="0" borderId="0" xfId="54" applyNumberFormat="1" applyFont="1" applyFill="1" applyBorder="1" applyAlignment="1">
      <alignment horizontal="center" vertical="center"/>
    </xf>
    <xf numFmtId="172" fontId="21" fillId="0" borderId="0" xfId="54" applyNumberFormat="1" applyFont="1" applyFill="1" applyBorder="1" applyAlignment="1">
      <alignment vertical="center"/>
    </xf>
    <xf numFmtId="4" fontId="21" fillId="0" borderId="0" xfId="54" applyNumberFormat="1" applyFont="1" applyFill="1" applyBorder="1" applyAlignment="1">
      <alignment horizontal="center" vertical="top"/>
    </xf>
    <xf numFmtId="171" fontId="21" fillId="0" borderId="0" xfId="13" applyNumberFormat="1" applyFont="1" applyFill="1" applyBorder="1" applyAlignment="1">
      <alignment horizontal="right" vertical="center"/>
    </xf>
    <xf numFmtId="175" fontId="21" fillId="0" borderId="0" xfId="54" applyNumberFormat="1" applyFont="1" applyFill="1" applyBorder="1" applyAlignment="1">
      <alignment horizontal="center" vertical="center"/>
    </xf>
    <xf numFmtId="171" fontId="22" fillId="0" borderId="0" xfId="13" applyNumberFormat="1" applyFont="1" applyFill="1" applyBorder="1" applyAlignment="1">
      <alignment horizontal="right" vertical="center"/>
    </xf>
    <xf numFmtId="9" fontId="22" fillId="0" borderId="0" xfId="55" applyFont="1" applyFill="1" applyBorder="1" applyAlignment="1">
      <alignment horizontal="center" vertical="top"/>
    </xf>
    <xf numFmtId="0" fontId="21" fillId="0" borderId="0" xfId="10" applyFont="1" applyFill="1" applyBorder="1" applyAlignment="1">
      <alignment wrapText="1"/>
    </xf>
    <xf numFmtId="9" fontId="22" fillId="0" borderId="0" xfId="4" applyFont="1" applyFill="1" applyBorder="1" applyAlignment="1">
      <alignment horizontal="center"/>
    </xf>
    <xf numFmtId="171" fontId="22" fillId="0" borderId="0" xfId="10" applyNumberFormat="1" applyFont="1" applyFill="1" applyBorder="1"/>
    <xf numFmtId="171" fontId="21" fillId="0" borderId="0" xfId="10" applyNumberFormat="1" applyFont="1" applyFill="1" applyBorder="1" applyAlignment="1">
      <alignment horizontal="center"/>
    </xf>
    <xf numFmtId="9" fontId="22" fillId="0" borderId="0" xfId="10" applyNumberFormat="1" applyFont="1" applyFill="1" applyBorder="1"/>
    <xf numFmtId="0" fontId="21" fillId="0" borderId="0" xfId="10" applyFont="1" applyFill="1" applyBorder="1" applyAlignment="1"/>
    <xf numFmtId="172" fontId="21" fillId="0" borderId="0" xfId="56" applyNumberFormat="1" applyFont="1" applyFill="1" applyBorder="1" applyAlignment="1">
      <alignment vertical="center"/>
    </xf>
    <xf numFmtId="0" fontId="21" fillId="9" borderId="0" xfId="10" applyFont="1" applyFill="1" applyBorder="1" applyAlignment="1">
      <alignment horizontal="center"/>
    </xf>
    <xf numFmtId="0" fontId="21" fillId="9" borderId="0" xfId="10" applyFont="1" applyFill="1" applyBorder="1" applyAlignment="1">
      <alignment wrapText="1"/>
    </xf>
    <xf numFmtId="0" fontId="21" fillId="9" borderId="0" xfId="10" applyFont="1" applyFill="1" applyBorder="1"/>
    <xf numFmtId="9" fontId="21" fillId="9" borderId="0" xfId="4" applyFont="1" applyFill="1" applyBorder="1" applyAlignment="1">
      <alignment horizontal="center"/>
    </xf>
    <xf numFmtId="9" fontId="22" fillId="9" borderId="0" xfId="4" applyFont="1" applyFill="1" applyBorder="1" applyAlignment="1">
      <alignment horizontal="center"/>
    </xf>
    <xf numFmtId="171" fontId="21" fillId="9" borderId="0" xfId="15" applyNumberFormat="1" applyFont="1" applyFill="1" applyBorder="1" applyAlignment="1">
      <alignment vertical="center"/>
    </xf>
    <xf numFmtId="9" fontId="21" fillId="9" borderId="0" xfId="4" applyFont="1" applyFill="1" applyBorder="1" applyAlignment="1">
      <alignment horizontal="center" vertical="top"/>
    </xf>
    <xf numFmtId="171" fontId="21" fillId="9" borderId="0" xfId="10" applyNumberFormat="1" applyFont="1" applyFill="1" applyBorder="1" applyAlignment="1">
      <alignment vertical="center"/>
    </xf>
    <xf numFmtId="171" fontId="22" fillId="9" borderId="0" xfId="10" applyNumberFormat="1" applyFont="1" applyFill="1" applyBorder="1" applyAlignment="1">
      <alignment vertical="center"/>
    </xf>
    <xf numFmtId="171" fontId="21" fillId="9" borderId="0" xfId="10" applyNumberFormat="1" applyFont="1" applyFill="1" applyBorder="1" applyAlignment="1">
      <alignment horizontal="center"/>
    </xf>
    <xf numFmtId="175" fontId="23" fillId="0" borderId="0" xfId="54" applyNumberFormat="1" applyFont="1" applyFill="1" applyBorder="1" applyAlignment="1">
      <alignment horizontal="center" vertical="center"/>
    </xf>
    <xf numFmtId="4" fontId="23" fillId="0" borderId="0" xfId="54" applyNumberFormat="1" applyFont="1" applyFill="1" applyBorder="1" applyAlignment="1">
      <alignment horizontal="center" vertical="top"/>
    </xf>
    <xf numFmtId="9" fontId="23" fillId="0" borderId="0" xfId="4" applyFont="1" applyFill="1" applyBorder="1" applyAlignment="1">
      <alignment horizontal="center" vertical="center"/>
    </xf>
    <xf numFmtId="187" fontId="22" fillId="9" borderId="0" xfId="10" applyNumberFormat="1" applyFont="1" applyFill="1" applyBorder="1" applyAlignment="1">
      <alignment vertical="center"/>
    </xf>
    <xf numFmtId="187" fontId="21" fillId="9" borderId="0" xfId="15" applyNumberFormat="1" applyFont="1" applyFill="1" applyBorder="1" applyAlignment="1">
      <alignment vertical="center"/>
    </xf>
    <xf numFmtId="0" fontId="21" fillId="9" borderId="2" xfId="10" applyFont="1" applyFill="1" applyBorder="1" applyAlignment="1">
      <alignment horizontal="center"/>
    </xf>
    <xf numFmtId="171" fontId="23" fillId="0" borderId="0" xfId="0" applyNumberFormat="1" applyFont="1" applyFill="1" applyBorder="1" applyAlignment="1">
      <alignment vertical="center"/>
    </xf>
    <xf numFmtId="171" fontId="23" fillId="0" borderId="0" xfId="16" applyNumberFormat="1" applyFont="1" applyFill="1" applyBorder="1" applyAlignment="1">
      <alignment vertical="center"/>
    </xf>
    <xf numFmtId="171" fontId="21" fillId="0" borderId="0" xfId="10" applyNumberFormat="1" applyFont="1" applyFill="1" applyBorder="1"/>
    <xf numFmtId="172" fontId="22" fillId="0" borderId="0" xfId="54" applyNumberFormat="1" applyFont="1" applyFill="1" applyBorder="1" applyAlignment="1">
      <alignment horizontal="center" vertical="center"/>
    </xf>
    <xf numFmtId="181" fontId="21" fillId="0" borderId="0" xfId="4" applyNumberFormat="1" applyFont="1" applyFill="1" applyBorder="1" applyAlignment="1">
      <alignment horizontal="center"/>
    </xf>
    <xf numFmtId="181" fontId="22" fillId="0" borderId="0" xfId="54" applyNumberFormat="1" applyFont="1" applyFill="1" applyBorder="1" applyAlignment="1">
      <alignment horizontal="center" vertical="center"/>
    </xf>
    <xf numFmtId="42" fontId="23" fillId="0" borderId="0" xfId="13" applyNumberFormat="1" applyFont="1" applyFill="1" applyBorder="1" applyAlignment="1">
      <alignment horizontal="right" vertical="center"/>
    </xf>
    <xf numFmtId="42" fontId="21" fillId="0" borderId="0" xfId="10" applyNumberFormat="1" applyFont="1" applyFill="1" applyBorder="1"/>
    <xf numFmtId="0" fontId="22" fillId="9" borderId="2" xfId="10" applyFont="1" applyFill="1" applyBorder="1" applyAlignment="1">
      <alignment horizontal="left"/>
    </xf>
    <xf numFmtId="43" fontId="21" fillId="9" borderId="0" xfId="6" applyFont="1" applyFill="1" applyBorder="1" applyAlignment="1">
      <alignment horizontal="center" vertical="center"/>
    </xf>
    <xf numFmtId="42" fontId="24" fillId="0" borderId="0" xfId="13" applyNumberFormat="1" applyFont="1" applyFill="1" applyBorder="1" applyAlignment="1">
      <alignment horizontal="right" vertical="center"/>
    </xf>
    <xf numFmtId="42" fontId="22" fillId="0" borderId="0" xfId="56" applyNumberFormat="1" applyFont="1" applyFill="1" applyBorder="1" applyAlignment="1">
      <alignment vertical="center"/>
    </xf>
    <xf numFmtId="0" fontId="27" fillId="0" borderId="0" xfId="10" applyFont="1" applyFill="1" applyBorder="1" applyAlignment="1">
      <alignment horizontal="center" wrapText="1"/>
    </xf>
    <xf numFmtId="0" fontId="28" fillId="0" borderId="0" xfId="10" applyFont="1" applyFill="1" applyBorder="1" applyAlignment="1">
      <alignment horizontal="center"/>
    </xf>
    <xf numFmtId="0" fontId="27" fillId="0" borderId="0" xfId="10" applyFont="1" applyFill="1" applyBorder="1" applyAlignment="1">
      <alignment horizontal="right" wrapText="1"/>
    </xf>
    <xf numFmtId="0" fontId="28" fillId="0" borderId="0" xfId="10" applyFont="1" applyFill="1" applyBorder="1"/>
    <xf numFmtId="42" fontId="28" fillId="0" borderId="0" xfId="10" applyNumberFormat="1" applyFont="1" applyFill="1" applyBorder="1"/>
    <xf numFmtId="0" fontId="29" fillId="0" borderId="2" xfId="54" applyNumberFormat="1" applyFont="1" applyFill="1" applyBorder="1" applyAlignment="1">
      <alignment horizontal="center" vertical="center"/>
    </xf>
    <xf numFmtId="0" fontId="29" fillId="0" borderId="2" xfId="54" applyNumberFormat="1" applyFont="1" applyFill="1" applyBorder="1" applyAlignment="1">
      <alignment horizontal="center" vertical="center" wrapText="1"/>
    </xf>
    <xf numFmtId="175" fontId="29" fillId="0" borderId="2" xfId="54" applyNumberFormat="1" applyFont="1" applyFill="1" applyBorder="1" applyAlignment="1">
      <alignment horizontal="left" vertical="center"/>
    </xf>
    <xf numFmtId="0" fontId="28" fillId="0" borderId="7" xfId="9" applyNumberFormat="1" applyFont="1" applyFill="1" applyBorder="1" applyAlignment="1">
      <alignment horizontal="center" vertical="center" wrapText="1"/>
    </xf>
    <xf numFmtId="0" fontId="30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2" xfId="0" applyNumberFormat="1" applyFont="1" applyFill="1" applyBorder="1" applyAlignment="1" applyProtection="1">
      <alignment horizontal="center" vertical="center" wrapText="1"/>
    </xf>
    <xf numFmtId="175" fontId="30" fillId="0" borderId="2" xfId="5" applyNumberFormat="1" applyFont="1" applyFill="1" applyBorder="1" applyAlignment="1">
      <alignment horizontal="center" vertical="center"/>
    </xf>
    <xf numFmtId="0" fontId="30" fillId="0" borderId="2" xfId="5" applyNumberFormat="1" applyFont="1" applyFill="1" applyBorder="1" applyAlignment="1">
      <alignment horizontal="center" vertical="center"/>
    </xf>
    <xf numFmtId="42" fontId="30" fillId="0" borderId="2" xfId="5" applyNumberFormat="1" applyFont="1" applyFill="1" applyBorder="1" applyAlignment="1">
      <alignment horizontal="center" vertical="center"/>
    </xf>
    <xf numFmtId="171" fontId="30" fillId="0" borderId="2" xfId="5" applyNumberFormat="1" applyFont="1" applyFill="1" applyBorder="1" applyAlignment="1">
      <alignment horizontal="center" vertical="center"/>
    </xf>
    <xf numFmtId="0" fontId="30" fillId="0" borderId="2" xfId="9" applyNumberFormat="1" applyFont="1" applyFill="1" applyBorder="1" applyAlignment="1">
      <alignment horizontal="center" vertical="center" wrapText="1"/>
    </xf>
    <xf numFmtId="0" fontId="31" fillId="0" borderId="2" xfId="8" applyNumberFormat="1" applyFont="1" applyFill="1" applyBorder="1" applyAlignment="1">
      <alignment horizontal="left" vertical="center" wrapText="1"/>
    </xf>
    <xf numFmtId="171" fontId="31" fillId="0" borderId="2" xfId="5" applyNumberFormat="1" applyFont="1" applyFill="1" applyBorder="1" applyAlignment="1">
      <alignment horizontal="center" vertical="center"/>
    </xf>
    <xf numFmtId="42" fontId="21" fillId="0" borderId="0" xfId="56" applyNumberFormat="1" applyFont="1" applyFill="1" applyBorder="1" applyAlignment="1">
      <alignment vertical="center"/>
    </xf>
    <xf numFmtId="0" fontId="30" fillId="0" borderId="2" xfId="5" applyNumberFormat="1" applyFont="1" applyFill="1" applyBorder="1" applyAlignment="1">
      <alignment horizontal="left" vertical="center"/>
    </xf>
    <xf numFmtId="0" fontId="29" fillId="10" borderId="2" xfId="54" applyNumberFormat="1" applyFont="1" applyFill="1" applyBorder="1" applyAlignment="1">
      <alignment horizontal="center" vertical="center"/>
    </xf>
    <xf numFmtId="0" fontId="26" fillId="10" borderId="6" xfId="54" applyNumberFormat="1" applyFont="1" applyFill="1" applyBorder="1" applyAlignment="1">
      <alignment horizontal="left" vertical="center" wrapText="1"/>
    </xf>
    <xf numFmtId="0" fontId="29" fillId="10" borderId="2" xfId="54" applyNumberFormat="1" applyFont="1" applyFill="1" applyBorder="1" applyAlignment="1">
      <alignment horizontal="center" vertical="center" wrapText="1"/>
    </xf>
    <xf numFmtId="175" fontId="29" fillId="10" borderId="2" xfId="54" applyNumberFormat="1" applyFont="1" applyFill="1" applyBorder="1" applyAlignment="1">
      <alignment horizontal="right" vertical="center"/>
    </xf>
    <xf numFmtId="171" fontId="29" fillId="10" borderId="2" xfId="54" applyNumberFormat="1" applyFont="1" applyFill="1" applyBorder="1" applyAlignment="1">
      <alignment horizontal="center" vertical="center"/>
    </xf>
    <xf numFmtId="0" fontId="28" fillId="5" borderId="7" xfId="9" applyNumberFormat="1" applyFont="1" applyFill="1" applyBorder="1" applyAlignment="1">
      <alignment horizontal="center" vertical="center" wrapText="1"/>
    </xf>
    <xf numFmtId="0" fontId="28" fillId="5" borderId="2" xfId="10" applyFont="1" applyFill="1" applyBorder="1"/>
    <xf numFmtId="0" fontId="30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0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0" fillId="5" borderId="2" xfId="0" applyNumberFormat="1" applyFont="1" applyFill="1" applyBorder="1" applyAlignment="1" applyProtection="1">
      <alignment horizontal="center" vertical="center" wrapText="1"/>
    </xf>
    <xf numFmtId="175" fontId="30" fillId="5" borderId="2" xfId="5" applyNumberFormat="1" applyFont="1" applyFill="1" applyBorder="1" applyAlignment="1">
      <alignment horizontal="center" vertical="center"/>
    </xf>
    <xf numFmtId="172" fontId="21" fillId="5" borderId="2" xfId="56" applyNumberFormat="1" applyFont="1" applyFill="1" applyBorder="1" applyAlignment="1">
      <alignment vertical="center"/>
    </xf>
    <xf numFmtId="171" fontId="30" fillId="5" borderId="2" xfId="5" applyNumberFormat="1" applyFont="1" applyFill="1" applyBorder="1" applyAlignment="1">
      <alignment horizontal="center" vertical="center"/>
    </xf>
    <xf numFmtId="0" fontId="32" fillId="0" borderId="2" xfId="0" applyFont="1" applyBorder="1"/>
    <xf numFmtId="0" fontId="30" fillId="10" borderId="8" xfId="0" applyNumberFormat="1" applyFont="1" applyFill="1" applyBorder="1" applyAlignment="1" applyProtection="1">
      <alignment horizontal="center" vertical="center" wrapText="1"/>
      <protection locked="0"/>
    </xf>
    <xf numFmtId="0" fontId="30" fillId="10" borderId="2" xfId="0" applyNumberFormat="1" applyFont="1" applyFill="1" applyBorder="1" applyAlignment="1" applyProtection="1">
      <alignment horizontal="center" vertical="center" wrapText="1"/>
      <protection locked="0"/>
    </xf>
    <xf numFmtId="0" fontId="30" fillId="10" borderId="2" xfId="0" applyNumberFormat="1" applyFont="1" applyFill="1" applyBorder="1" applyAlignment="1" applyProtection="1">
      <alignment horizontal="center" vertical="center" wrapText="1"/>
    </xf>
    <xf numFmtId="175" fontId="30" fillId="10" borderId="2" xfId="5" applyNumberFormat="1" applyFont="1" applyFill="1" applyBorder="1" applyAlignment="1">
      <alignment horizontal="center" vertical="center"/>
    </xf>
    <xf numFmtId="172" fontId="21" fillId="10" borderId="2" xfId="56" applyNumberFormat="1" applyFont="1" applyFill="1" applyBorder="1" applyAlignment="1">
      <alignment vertical="center"/>
    </xf>
    <xf numFmtId="42" fontId="30" fillId="10" borderId="2" xfId="5" applyNumberFormat="1" applyFont="1" applyFill="1" applyBorder="1" applyAlignment="1">
      <alignment horizontal="center" vertical="center"/>
    </xf>
    <xf numFmtId="171" fontId="30" fillId="10" borderId="2" xfId="5" applyNumberFormat="1" applyFont="1" applyFill="1" applyBorder="1" applyAlignment="1">
      <alignment horizontal="center" vertical="center"/>
    </xf>
    <xf numFmtId="0" fontId="26" fillId="10" borderId="2" xfId="10" applyFont="1" applyFill="1" applyBorder="1"/>
    <xf numFmtId="0" fontId="29" fillId="10" borderId="7" xfId="9" applyNumberFormat="1" applyFont="1" applyFill="1" applyBorder="1" applyAlignment="1">
      <alignment horizontal="center" vertical="center" wrapText="1"/>
    </xf>
    <xf numFmtId="0" fontId="27" fillId="0" borderId="0" xfId="10" applyFont="1" applyFill="1" applyBorder="1" applyAlignment="1">
      <alignment horizontal="center" wrapText="1"/>
    </xf>
    <xf numFmtId="0" fontId="17" fillId="0" borderId="0" xfId="3" applyFont="1" applyAlignment="1">
      <alignment horizontal="center"/>
    </xf>
    <xf numFmtId="0" fontId="30" fillId="5" borderId="2" xfId="10" applyFont="1" applyFill="1" applyBorder="1"/>
  </cellXfs>
  <cellStyles count="61">
    <cellStyle name="Comma [0] 2" xfId="15"/>
    <cellStyle name="Comma [0] 2 2" xfId="16"/>
    <cellStyle name="Comma [0] 2 3" xfId="17"/>
    <cellStyle name="Comma [0] 2 4" xfId="18"/>
    <cellStyle name="Comma [0] 2 5" xfId="19"/>
    <cellStyle name="Comma [0] 3" xfId="20"/>
    <cellStyle name="Comma [0] 3 2" xfId="21"/>
    <cellStyle name="Comma [0] 4" xfId="22"/>
    <cellStyle name="Comma [0] 5" xfId="57"/>
    <cellStyle name="Comma [0]_Tetra Lexa Mayo 300 600 1200 rev. 0" xfId="7"/>
    <cellStyle name="Comma 11" xfId="23"/>
    <cellStyle name="Comma 2" xfId="1"/>
    <cellStyle name="Comma 2 2" xfId="24"/>
    <cellStyle name="Comma 21" xfId="25"/>
    <cellStyle name="Comma 22" xfId="26"/>
    <cellStyle name="Comma 23" xfId="27"/>
    <cellStyle name="Comma 24" xfId="28"/>
    <cellStyle name="Comma 25" xfId="29"/>
    <cellStyle name="Comma 27" xfId="30"/>
    <cellStyle name="Comma 28" xfId="31"/>
    <cellStyle name="Comma 3" xfId="6"/>
    <cellStyle name="Comma_Tetra Lexa Mayo 300 600 1200 rev. 0" xfId="13"/>
    <cellStyle name="Currency [0]" xfId="2" builtinId="7"/>
    <cellStyle name="Currency [0] 2" xfId="32"/>
    <cellStyle name="Currency 15" xfId="33"/>
    <cellStyle name="Currency 2" xfId="34"/>
    <cellStyle name="Currency 2 2" xfId="35"/>
    <cellStyle name="Currency 2 3" xfId="36"/>
    <cellStyle name="Currency 21" xfId="37"/>
    <cellStyle name="Currency 22" xfId="38"/>
    <cellStyle name="Currency 3" xfId="39"/>
    <cellStyle name="Currency 4" xfId="40"/>
    <cellStyle name="Currency 5" xfId="41"/>
    <cellStyle name="Currency 6" xfId="42"/>
    <cellStyle name="Normal" xfId="0" builtinId="0"/>
    <cellStyle name="Normal 10" xfId="43"/>
    <cellStyle name="Normal 2" xfId="3"/>
    <cellStyle name="Normal 2 2" xfId="44"/>
    <cellStyle name="Normal 2 3" xfId="58"/>
    <cellStyle name="Normal 3" xfId="10"/>
    <cellStyle name="Normal 4" xfId="45"/>
    <cellStyle name="Normal 5" xfId="46"/>
    <cellStyle name="Normal 5 2" xfId="47"/>
    <cellStyle name="Normal 6" xfId="48"/>
    <cellStyle name="Normal 7" xfId="49"/>
    <cellStyle name="Normal 7 2" xfId="59"/>
    <cellStyle name="Normal 8" xfId="50"/>
    <cellStyle name="Normal 8 2" xfId="60"/>
    <cellStyle name="Normal 9" xfId="51"/>
    <cellStyle name="Normal_Sheet1_Price list IHEC, ILEC-HT, IHMI, Scada - sales" xfId="14"/>
    <cellStyle name="Normal_Standard Part 2006 - september 06" xfId="11"/>
    <cellStyle name="Normal_Tetra Lexa Mayo 300 600 1200 rev. 0" xfId="8"/>
    <cellStyle name="Normal_Tetra Lexa Mayo 300 600 1200 rev. 0 2" xfId="5"/>
    <cellStyle name="Normal_Tetra Lexa Mayo 300 600 1200 rev. 0 3" xfId="9"/>
    <cellStyle name="Normal_Tetra Lexa Mayo 300 600 1200 rev. 0 3 2" xfId="12"/>
    <cellStyle name="Normal_Tetra Lexa Mayo 300 600 1200 rev. 0 4" xfId="54"/>
    <cellStyle name="Normal_Tetra Lexa Mayo 300 600 1200 rev. 0 7" xfId="56"/>
    <cellStyle name="Percent 2" xfId="4"/>
    <cellStyle name="Percent 3" xfId="52"/>
    <cellStyle name="Percent 4" xfId="53"/>
    <cellStyle name="Percent 4 2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gif@01CD9BF1.23371B10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20</xdr:row>
      <xdr:rowOff>152401</xdr:rowOff>
    </xdr:from>
    <xdr:to>
      <xdr:col>16</xdr:col>
      <xdr:colOff>66675</xdr:colOff>
      <xdr:row>53</xdr:row>
      <xdr:rowOff>104775</xdr:rowOff>
    </xdr:to>
    <xdr:pic>
      <xdr:nvPicPr>
        <xdr:cNvPr id="2" name="Picture 1" descr="MCC NEW DRIVE FOR MIXING VESSEL 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0" y="3962401"/>
          <a:ext cx="5267325" cy="6238874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20</xdr:row>
      <xdr:rowOff>152400</xdr:rowOff>
    </xdr:from>
    <xdr:to>
      <xdr:col>7</xdr:col>
      <xdr:colOff>394270</xdr:colOff>
      <xdr:row>52</xdr:row>
      <xdr:rowOff>133350</xdr:rowOff>
    </xdr:to>
    <xdr:pic>
      <xdr:nvPicPr>
        <xdr:cNvPr id="3" name="Picture 2" descr="MCC NEW DRIVE FOR MIXING VESSE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4325" y="3771900"/>
          <a:ext cx="5890195" cy="607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469</xdr:row>
      <xdr:rowOff>0</xdr:rowOff>
    </xdr:from>
    <xdr:to>
      <xdr:col>3</xdr:col>
      <xdr:colOff>66675</xdr:colOff>
      <xdr:row>469</xdr:row>
      <xdr:rowOff>38100</xdr:rowOff>
    </xdr:to>
    <xdr:pic>
      <xdr:nvPicPr>
        <xdr:cNvPr id="2" name="ctl00_cphMain_aTabContainer_TabPanelProductID_productIDGrid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89344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485</xdr:row>
      <xdr:rowOff>0</xdr:rowOff>
    </xdr:from>
    <xdr:to>
      <xdr:col>4</xdr:col>
      <xdr:colOff>66675</xdr:colOff>
      <xdr:row>485</xdr:row>
      <xdr:rowOff>38100</xdr:rowOff>
    </xdr:to>
    <xdr:pic>
      <xdr:nvPicPr>
        <xdr:cNvPr id="3" name="ctl00_cphMain_Splitter_ASPxSplitter_ctl03_aTabContainer_OrderingDataTab_OrderDataTabContentUserControl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438400" y="92392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66675</xdr:colOff>
      <xdr:row>464</xdr:row>
      <xdr:rowOff>38100</xdr:rowOff>
    </xdr:to>
    <xdr:pic>
      <xdr:nvPicPr>
        <xdr:cNvPr id="4" name="ctl00_cphMain_aTabContainer_TabPanelProductID_productIDGrid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883920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480</xdr:row>
      <xdr:rowOff>0</xdr:rowOff>
    </xdr:from>
    <xdr:to>
      <xdr:col>4</xdr:col>
      <xdr:colOff>66675</xdr:colOff>
      <xdr:row>480</xdr:row>
      <xdr:rowOff>38100</xdr:rowOff>
    </xdr:to>
    <xdr:pic>
      <xdr:nvPicPr>
        <xdr:cNvPr id="5" name="ctl00_cphMain_Splitter_ASPxSplitter_ctl03_aTabContainer_OrderingDataTab_OrderDataTabContentUserControl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438400" y="914400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66675</xdr:colOff>
      <xdr:row>473</xdr:row>
      <xdr:rowOff>38100</xdr:rowOff>
    </xdr:to>
    <xdr:pic>
      <xdr:nvPicPr>
        <xdr:cNvPr id="6" name="ctl00_cphMain_aTabContainer_TabPanelProductID_productIDGrid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90106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489</xdr:row>
      <xdr:rowOff>0</xdr:rowOff>
    </xdr:from>
    <xdr:to>
      <xdr:col>4</xdr:col>
      <xdr:colOff>66675</xdr:colOff>
      <xdr:row>489</xdr:row>
      <xdr:rowOff>38100</xdr:rowOff>
    </xdr:to>
    <xdr:pic>
      <xdr:nvPicPr>
        <xdr:cNvPr id="7" name="ctl00_cphMain_Splitter_ASPxSplitter_ctl03_aTabContainer_OrderingDataTab_OrderDataTabContentUserControl_grvProducts_cell1_2_arrow" descr="https://eb.automation.siemens.com/goos/Images/Style2007/drop-arrow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438400" y="93154500"/>
          <a:ext cx="666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34"/>
  <sheetViews>
    <sheetView showGridLines="0" tabSelected="1" workbookViewId="0">
      <pane ySplit="4" topLeftCell="A5" activePane="bottomLeft" state="frozen"/>
      <selection activeCell="A2" sqref="A2:F2"/>
      <selection pane="bottomLeft" activeCell="P21" sqref="P21"/>
    </sheetView>
  </sheetViews>
  <sheetFormatPr defaultRowHeight="11.25" x14ac:dyDescent="0.2"/>
  <cols>
    <col min="1" max="1" width="4.140625" style="144" customWidth="1"/>
    <col min="2" max="2" width="27.28515625" style="157" customWidth="1"/>
    <col min="3" max="3" width="24.42578125" style="144" hidden="1" customWidth="1"/>
    <col min="4" max="4" width="22.85546875" style="144" hidden="1" customWidth="1"/>
    <col min="5" max="5" width="0.28515625" style="144" hidden="1" customWidth="1"/>
    <col min="6" max="6" width="10.85546875" style="144" customWidth="1"/>
    <col min="7" max="7" width="5.28515625" style="145" customWidth="1"/>
    <col min="8" max="8" width="4.7109375" style="145" customWidth="1"/>
    <col min="9" max="9" width="12.140625" style="145" customWidth="1"/>
    <col min="10" max="10" width="13.42578125" style="145" customWidth="1"/>
    <col min="11" max="11" width="16.7109375" style="145" customWidth="1"/>
    <col min="12" max="12" width="5.7109375" style="145" customWidth="1"/>
    <col min="13" max="13" width="8.85546875" style="145" customWidth="1"/>
    <col min="14" max="14" width="16.140625" style="146" customWidth="1"/>
    <col min="15" max="15" width="17.28515625" style="145" customWidth="1"/>
    <col min="16" max="16" width="9.7109375" style="145" customWidth="1"/>
    <col min="17" max="17" width="7.28515625" style="147" customWidth="1"/>
    <col min="18" max="18" width="14.28515625" style="145" customWidth="1"/>
    <col min="19" max="19" width="12.5703125" style="145" customWidth="1"/>
    <col min="20" max="16384" width="9.140625" style="145"/>
  </cols>
  <sheetData>
    <row r="2" spans="1:19" ht="15" customHeight="1" x14ac:dyDescent="0.25">
      <c r="A2" s="236" t="s">
        <v>245</v>
      </c>
      <c r="B2" s="236"/>
      <c r="C2" s="236"/>
      <c r="D2" s="236"/>
      <c r="E2" s="236"/>
      <c r="F2" s="236"/>
      <c r="G2" s="236"/>
      <c r="H2" s="236"/>
      <c r="I2" s="192"/>
      <c r="J2" s="192"/>
    </row>
    <row r="3" spans="1:19" ht="15.75" x14ac:dyDescent="0.25">
      <c r="A3" s="193"/>
      <c r="B3" s="194"/>
      <c r="C3" s="195"/>
      <c r="D3" s="195"/>
      <c r="E3" s="195"/>
      <c r="F3" s="193"/>
      <c r="G3" s="195"/>
      <c r="H3" s="195"/>
      <c r="I3" s="195"/>
      <c r="J3" s="196"/>
      <c r="N3" s="184"/>
    </row>
    <row r="4" spans="1:19" s="151" customFormat="1" ht="15.75" customHeight="1" x14ac:dyDescent="0.25">
      <c r="A4" s="197" t="s">
        <v>228</v>
      </c>
      <c r="B4" s="198" t="s">
        <v>227</v>
      </c>
      <c r="C4" s="198" t="s">
        <v>230</v>
      </c>
      <c r="D4" s="198" t="s">
        <v>238</v>
      </c>
      <c r="E4" s="198" t="s">
        <v>238</v>
      </c>
      <c r="F4" s="198" t="s">
        <v>231</v>
      </c>
      <c r="G4" s="199" t="s">
        <v>232</v>
      </c>
      <c r="H4" s="197" t="s">
        <v>223</v>
      </c>
      <c r="I4" s="197" t="s">
        <v>243</v>
      </c>
      <c r="J4" s="197" t="s">
        <v>241</v>
      </c>
      <c r="K4" s="148" t="s">
        <v>220</v>
      </c>
      <c r="L4" s="149" t="s">
        <v>219</v>
      </c>
      <c r="M4" s="149" t="s">
        <v>242</v>
      </c>
      <c r="N4" s="148" t="s">
        <v>218</v>
      </c>
      <c r="O4" s="148" t="s">
        <v>217</v>
      </c>
      <c r="P4" s="150" t="s">
        <v>216</v>
      </c>
      <c r="Q4" s="148" t="s">
        <v>215</v>
      </c>
      <c r="R4" s="183" t="s">
        <v>237</v>
      </c>
    </row>
    <row r="5" spans="1:19" s="151" customFormat="1" ht="12.75" x14ac:dyDescent="0.25">
      <c r="A5" s="213" t="s">
        <v>212</v>
      </c>
      <c r="B5" s="214" t="s">
        <v>239</v>
      </c>
      <c r="C5" s="215"/>
      <c r="D5" s="215"/>
      <c r="E5" s="215"/>
      <c r="F5" s="215"/>
      <c r="G5" s="216"/>
      <c r="H5" s="213"/>
      <c r="I5" s="213"/>
      <c r="J5" s="217"/>
      <c r="K5" s="185"/>
      <c r="L5" s="149"/>
      <c r="M5" s="149"/>
      <c r="N5" s="148"/>
      <c r="O5" s="148"/>
      <c r="P5" s="150"/>
      <c r="Q5" s="148"/>
    </row>
    <row r="6" spans="1:19" s="163" customFormat="1" ht="12" x14ac:dyDescent="0.2">
      <c r="A6" s="200">
        <v>1</v>
      </c>
      <c r="B6" s="226" t="s">
        <v>252</v>
      </c>
      <c r="C6" s="201"/>
      <c r="D6" s="202"/>
      <c r="E6" s="202"/>
      <c r="F6" s="203" t="s">
        <v>246</v>
      </c>
      <c r="G6" s="204">
        <v>70</v>
      </c>
      <c r="H6" s="212" t="s">
        <v>247</v>
      </c>
      <c r="I6" s="206">
        <f>K6/(1-M6)</f>
        <v>26250</v>
      </c>
      <c r="J6" s="207">
        <f>R6</f>
        <v>1837500</v>
      </c>
      <c r="K6" s="181">
        <v>21000</v>
      </c>
      <c r="L6" s="176">
        <v>0</v>
      </c>
      <c r="M6" s="176">
        <v>0.2</v>
      </c>
      <c r="N6" s="180">
        <f t="shared" ref="N6" si="0">K6*(1-L6)*P6*Q6</f>
        <v>21000</v>
      </c>
      <c r="O6" s="186">
        <f>G6*N6</f>
        <v>1470000</v>
      </c>
      <c r="P6" s="174">
        <v>1</v>
      </c>
      <c r="Q6" s="175">
        <v>1</v>
      </c>
      <c r="R6" s="153">
        <f>O6/(1-20%)</f>
        <v>1837500</v>
      </c>
      <c r="S6" s="211"/>
    </row>
    <row r="7" spans="1:19" s="163" customFormat="1" ht="12" x14ac:dyDescent="0.2">
      <c r="A7" s="218">
        <v>2</v>
      </c>
      <c r="B7" s="219" t="s">
        <v>253</v>
      </c>
      <c r="C7" s="220"/>
      <c r="D7" s="221"/>
      <c r="E7" s="221"/>
      <c r="F7" s="222" t="s">
        <v>254</v>
      </c>
      <c r="G7" s="223">
        <v>1</v>
      </c>
      <c r="H7" s="224" t="s">
        <v>132</v>
      </c>
      <c r="I7" s="206">
        <f>K7/(1-M7)</f>
        <v>275000</v>
      </c>
      <c r="J7" s="207">
        <f>R7</f>
        <v>275000</v>
      </c>
      <c r="K7" s="181">
        <v>220000</v>
      </c>
      <c r="L7" s="176">
        <v>0</v>
      </c>
      <c r="M7" s="176">
        <v>0.2</v>
      </c>
      <c r="N7" s="180">
        <f t="shared" ref="N7" si="1">K7*(1-L7)*P7*Q7</f>
        <v>220000</v>
      </c>
      <c r="O7" s="186">
        <f>G7*N7</f>
        <v>220000</v>
      </c>
      <c r="P7" s="174">
        <v>1</v>
      </c>
      <c r="Q7" s="175">
        <v>1</v>
      </c>
      <c r="R7" s="153">
        <f>O7/(1-20%)</f>
        <v>275000</v>
      </c>
      <c r="S7" s="191"/>
    </row>
    <row r="8" spans="1:19" s="163" customFormat="1" ht="12" x14ac:dyDescent="0.2">
      <c r="A8" s="218"/>
      <c r="B8" s="219"/>
      <c r="C8" s="220"/>
      <c r="D8" s="221"/>
      <c r="E8" s="221"/>
      <c r="F8" s="222"/>
      <c r="G8" s="223"/>
      <c r="H8" s="224"/>
      <c r="I8" s="206"/>
      <c r="J8" s="225"/>
      <c r="K8" s="181"/>
      <c r="L8" s="176"/>
      <c r="M8" s="176"/>
      <c r="N8" s="180"/>
      <c r="O8" s="190">
        <f>SUM(O6:O7)</f>
        <v>1690000</v>
      </c>
      <c r="P8" s="174"/>
      <c r="Q8" s="175"/>
      <c r="R8" s="155">
        <f>SUM(R6:R7)</f>
        <v>2112500</v>
      </c>
      <c r="S8" s="191"/>
    </row>
    <row r="9" spans="1:19" s="163" customFormat="1" ht="12.75" x14ac:dyDescent="0.2">
      <c r="A9" s="235" t="s">
        <v>202</v>
      </c>
      <c r="B9" s="234" t="s">
        <v>244</v>
      </c>
      <c r="C9" s="227"/>
      <c r="D9" s="228"/>
      <c r="E9" s="228"/>
      <c r="F9" s="229"/>
      <c r="G9" s="230"/>
      <c r="H9" s="231"/>
      <c r="I9" s="232"/>
      <c r="J9" s="233"/>
      <c r="K9" s="181"/>
      <c r="L9" s="176"/>
      <c r="M9" s="176"/>
      <c r="N9" s="180"/>
      <c r="O9" s="186"/>
      <c r="P9" s="174"/>
      <c r="Q9" s="175"/>
      <c r="R9" s="153"/>
      <c r="S9" s="191"/>
    </row>
    <row r="10" spans="1:19" s="163" customFormat="1" ht="12" x14ac:dyDescent="0.2">
      <c r="A10" s="218">
        <v>1</v>
      </c>
      <c r="B10" s="238" t="s">
        <v>250</v>
      </c>
      <c r="C10" s="220"/>
      <c r="D10" s="221"/>
      <c r="E10" s="221"/>
      <c r="F10" s="222" t="s">
        <v>248</v>
      </c>
      <c r="G10" s="223">
        <v>4</v>
      </c>
      <c r="H10" s="224" t="s">
        <v>249</v>
      </c>
      <c r="I10" s="206">
        <f t="shared" ref="I10:I11" si="2">K10/(1-M10)</f>
        <v>700000</v>
      </c>
      <c r="J10" s="225">
        <f>R10</f>
        <v>2800000</v>
      </c>
      <c r="K10" s="181">
        <v>700000</v>
      </c>
      <c r="L10" s="176">
        <v>0</v>
      </c>
      <c r="M10" s="176">
        <v>0</v>
      </c>
      <c r="N10" s="180">
        <f t="shared" ref="N10:N11" si="3">K10*(1-L10)*P10*Q10</f>
        <v>700000</v>
      </c>
      <c r="O10" s="186">
        <f t="shared" ref="O10:O11" si="4">G10*N10</f>
        <v>2800000</v>
      </c>
      <c r="P10" s="174">
        <v>1</v>
      </c>
      <c r="Q10" s="175">
        <v>1</v>
      </c>
      <c r="R10" s="153">
        <f>O10/(1-0%)</f>
        <v>2800000</v>
      </c>
      <c r="S10" s="191"/>
    </row>
    <row r="11" spans="1:19" s="163" customFormat="1" ht="12" x14ac:dyDescent="0.2">
      <c r="A11" s="218">
        <v>3</v>
      </c>
      <c r="B11" s="238" t="s">
        <v>251</v>
      </c>
      <c r="C11" s="220"/>
      <c r="D11" s="221"/>
      <c r="E11" s="221"/>
      <c r="F11" s="222" t="s">
        <v>248</v>
      </c>
      <c r="G11" s="223">
        <v>1</v>
      </c>
      <c r="H11" s="224" t="s">
        <v>181</v>
      </c>
      <c r="I11" s="206">
        <f t="shared" si="2"/>
        <v>400000</v>
      </c>
      <c r="J11" s="225">
        <f>R11</f>
        <v>400000</v>
      </c>
      <c r="K11" s="181">
        <v>400000</v>
      </c>
      <c r="L11" s="176">
        <v>0</v>
      </c>
      <c r="M11" s="176">
        <v>0</v>
      </c>
      <c r="N11" s="180">
        <f t="shared" si="3"/>
        <v>400000</v>
      </c>
      <c r="O11" s="186">
        <f t="shared" si="4"/>
        <v>400000</v>
      </c>
      <c r="P11" s="174">
        <v>1</v>
      </c>
      <c r="Q11" s="175">
        <v>1</v>
      </c>
      <c r="R11" s="153">
        <f>O11/(1-0%)</f>
        <v>400000</v>
      </c>
      <c r="S11" s="191"/>
    </row>
    <row r="12" spans="1:19" s="163" customFormat="1" ht="12" x14ac:dyDescent="0.25">
      <c r="A12" s="208"/>
      <c r="B12" s="209" t="s">
        <v>240</v>
      </c>
      <c r="C12" s="202"/>
      <c r="D12" s="202"/>
      <c r="E12" s="202"/>
      <c r="F12" s="203"/>
      <c r="G12" s="204"/>
      <c r="H12" s="205"/>
      <c r="I12" s="205"/>
      <c r="J12" s="210">
        <f>SUM(J6:J11)</f>
        <v>5312500</v>
      </c>
      <c r="K12" s="181"/>
      <c r="L12" s="176"/>
      <c r="M12" s="176"/>
      <c r="N12" s="180"/>
      <c r="O12" s="190">
        <f>SUM(O10:O11)</f>
        <v>3200000</v>
      </c>
      <c r="P12" s="174"/>
      <c r="Q12" s="175"/>
      <c r="R12" s="155"/>
      <c r="S12" s="191"/>
    </row>
    <row r="13" spans="1:19" x14ac:dyDescent="0.2">
      <c r="B13" s="145"/>
      <c r="C13" s="145"/>
      <c r="D13" s="145"/>
      <c r="E13" s="146"/>
      <c r="F13" s="182"/>
      <c r="G13" s="144"/>
      <c r="H13" s="144"/>
      <c r="N13" s="145"/>
      <c r="Q13" s="145"/>
    </row>
    <row r="14" spans="1:19" x14ac:dyDescent="0.2">
      <c r="A14" s="145"/>
      <c r="B14" s="145"/>
      <c r="C14" s="145"/>
      <c r="D14" s="145"/>
      <c r="E14" s="146"/>
      <c r="F14" s="145"/>
      <c r="N14" s="145"/>
      <c r="Q14" s="145"/>
    </row>
    <row r="15" spans="1:19" x14ac:dyDescent="0.2">
      <c r="A15" s="145"/>
      <c r="B15" s="145"/>
      <c r="C15" s="145"/>
      <c r="D15" s="187"/>
      <c r="E15" s="158"/>
      <c r="F15" s="161"/>
      <c r="N15" s="158"/>
      <c r="Q15" s="145"/>
    </row>
    <row r="16" spans="1:19" x14ac:dyDescent="0.2">
      <c r="A16" s="145"/>
      <c r="B16" s="162" t="s">
        <v>236</v>
      </c>
      <c r="C16" s="160"/>
      <c r="D16" s="160"/>
      <c r="E16" s="160"/>
    </row>
    <row r="17" spans="1:18" x14ac:dyDescent="0.2">
      <c r="K17" s="166"/>
      <c r="L17" s="166"/>
      <c r="M17" s="166"/>
      <c r="N17" s="167"/>
      <c r="O17" s="159"/>
    </row>
    <row r="18" spans="1:18" ht="1.5" customHeight="1" x14ac:dyDescent="0.2">
      <c r="A18" s="164"/>
      <c r="B18" s="165"/>
      <c r="C18" s="164"/>
      <c r="D18" s="164"/>
      <c r="E18" s="164"/>
      <c r="F18" s="164"/>
      <c r="G18" s="166"/>
      <c r="H18" s="166"/>
      <c r="I18" s="166"/>
      <c r="J18" s="166"/>
      <c r="K18" s="166"/>
      <c r="L18" s="166"/>
      <c r="M18" s="166"/>
      <c r="N18" s="168"/>
      <c r="Q18" s="145"/>
    </row>
    <row r="19" spans="1:18" x14ac:dyDescent="0.2">
      <c r="A19" s="164"/>
      <c r="B19" s="164"/>
      <c r="C19" s="164"/>
      <c r="D19" s="164"/>
      <c r="E19" s="164"/>
      <c r="F19" s="164"/>
      <c r="G19" s="166"/>
      <c r="H19" s="166"/>
      <c r="I19" s="166"/>
      <c r="J19" s="164"/>
      <c r="K19" s="166" t="s">
        <v>234</v>
      </c>
      <c r="L19" s="166" t="s">
        <v>235</v>
      </c>
      <c r="M19" s="166"/>
      <c r="N19" s="167" t="s">
        <v>233</v>
      </c>
    </row>
    <row r="20" spans="1:18" x14ac:dyDescent="0.2">
      <c r="A20" s="164"/>
      <c r="B20" s="164"/>
      <c r="C20" s="164"/>
      <c r="D20" s="164"/>
      <c r="E20" s="164"/>
      <c r="F20" s="164"/>
      <c r="G20" s="166"/>
      <c r="H20" s="166"/>
      <c r="I20" s="166"/>
      <c r="J20" s="164"/>
      <c r="K20" s="169"/>
      <c r="L20" s="170"/>
      <c r="M20" s="170"/>
      <c r="N20" s="171"/>
      <c r="P20" s="148"/>
      <c r="Q20" s="156"/>
      <c r="R20" s="155"/>
    </row>
    <row r="21" spans="1:18" x14ac:dyDescent="0.2">
      <c r="A21" s="179"/>
      <c r="B21" s="179"/>
      <c r="C21" s="179"/>
      <c r="D21" s="179"/>
      <c r="E21" s="179"/>
      <c r="F21" s="179"/>
      <c r="G21" s="179"/>
      <c r="H21" s="179"/>
      <c r="I21" s="164"/>
      <c r="J21" s="164"/>
      <c r="K21" s="178"/>
      <c r="L21" s="170"/>
      <c r="M21" s="170"/>
      <c r="N21" s="177"/>
      <c r="O21" s="148"/>
      <c r="P21" s="156"/>
      <c r="Q21" s="155"/>
    </row>
    <row r="22" spans="1:18" x14ac:dyDescent="0.2">
      <c r="A22" s="179"/>
      <c r="B22" s="179"/>
      <c r="C22" s="179"/>
      <c r="D22" s="179"/>
      <c r="E22" s="164"/>
      <c r="F22" s="179"/>
      <c r="G22" s="179"/>
      <c r="H22" s="179"/>
      <c r="I22" s="164"/>
      <c r="J22" s="164"/>
      <c r="K22" s="169">
        <f>O8</f>
        <v>1690000</v>
      </c>
      <c r="L22" s="170">
        <v>0.2</v>
      </c>
      <c r="M22" s="170"/>
      <c r="N22" s="171">
        <f t="shared" ref="N22" si="5">K22/(1-L22)</f>
        <v>2112500</v>
      </c>
      <c r="O22" s="153">
        <f>S8</f>
        <v>0</v>
      </c>
      <c r="P22" s="148"/>
      <c r="Q22" s="156"/>
      <c r="R22" s="155"/>
    </row>
    <row r="23" spans="1:18" x14ac:dyDescent="0.2">
      <c r="A23" s="179">
        <v>1</v>
      </c>
      <c r="B23" s="188" t="s">
        <v>239</v>
      </c>
      <c r="C23" s="179"/>
      <c r="D23" s="179"/>
      <c r="E23" s="164"/>
      <c r="F23" s="179"/>
      <c r="G23" s="179"/>
      <c r="H23" s="179"/>
      <c r="I23" s="164"/>
      <c r="J23" s="173"/>
      <c r="K23" s="169">
        <f>O12</f>
        <v>3200000</v>
      </c>
      <c r="L23" s="170">
        <v>0</v>
      </c>
      <c r="M23" s="170"/>
      <c r="N23" s="171">
        <f t="shared" ref="N23" si="6">K23/(1-L23)</f>
        <v>3200000</v>
      </c>
      <c r="O23" s="153" t="e">
        <f>#REF!</f>
        <v>#REF!</v>
      </c>
      <c r="P23" s="154"/>
      <c r="Q23" s="152"/>
    </row>
    <row r="24" spans="1:18" x14ac:dyDescent="0.2">
      <c r="A24" s="179">
        <v>2</v>
      </c>
      <c r="B24" s="179" t="s">
        <v>244</v>
      </c>
      <c r="C24" s="179"/>
      <c r="D24" s="179"/>
      <c r="E24" s="164"/>
      <c r="F24" s="179"/>
      <c r="G24" s="179"/>
      <c r="H24" s="179"/>
      <c r="I24" s="164"/>
      <c r="J24" s="164"/>
      <c r="K24" s="169"/>
      <c r="L24" s="170"/>
      <c r="M24" s="170"/>
      <c r="N24" s="172">
        <f>SUM(N22:N23)</f>
        <v>5312500</v>
      </c>
      <c r="O24" s="159" t="e">
        <f>SUM(O22:O23)</f>
        <v>#REF!</v>
      </c>
      <c r="P24" s="154"/>
      <c r="Q24" s="152"/>
    </row>
    <row r="25" spans="1:18" x14ac:dyDescent="0.2">
      <c r="A25" s="179"/>
      <c r="B25" s="179"/>
      <c r="C25" s="179"/>
      <c r="D25" s="179"/>
      <c r="E25" s="164"/>
      <c r="F25" s="179"/>
      <c r="G25" s="179"/>
      <c r="H25" s="179"/>
      <c r="I25" s="164"/>
      <c r="J25" s="164"/>
      <c r="K25" s="166"/>
      <c r="L25" s="166"/>
      <c r="M25" s="166"/>
      <c r="N25" s="166"/>
      <c r="Q25" s="145"/>
    </row>
    <row r="26" spans="1:18" x14ac:dyDescent="0.2">
      <c r="A26" s="166"/>
      <c r="B26" s="166"/>
      <c r="C26" s="189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Q26" s="145"/>
    </row>
    <row r="27" spans="1:18" x14ac:dyDescent="0.2">
      <c r="A27" s="166"/>
      <c r="B27" s="166"/>
      <c r="C27" s="189"/>
      <c r="D27" s="166"/>
      <c r="E27" s="166"/>
      <c r="F27" s="166"/>
      <c r="G27" s="166"/>
      <c r="H27" s="166"/>
      <c r="I27" s="166"/>
      <c r="J27" s="166"/>
      <c r="N27" s="145"/>
      <c r="Q27" s="145"/>
    </row>
    <row r="28" spans="1:18" x14ac:dyDescent="0.2">
      <c r="A28" s="145"/>
      <c r="B28" s="145"/>
      <c r="C28" s="147"/>
      <c r="D28" s="145"/>
      <c r="E28" s="145"/>
      <c r="F28" s="145"/>
      <c r="N28" s="145"/>
      <c r="Q28" s="145"/>
    </row>
    <row r="29" spans="1:18" x14ac:dyDescent="0.2">
      <c r="A29" s="145"/>
      <c r="B29" s="145"/>
      <c r="C29" s="147"/>
      <c r="D29" s="145"/>
      <c r="E29" s="145"/>
      <c r="F29" s="145"/>
      <c r="N29" s="145"/>
      <c r="Q29" s="145"/>
    </row>
    <row r="30" spans="1:18" x14ac:dyDescent="0.2">
      <c r="A30" s="145"/>
      <c r="B30" s="145"/>
      <c r="C30" s="147"/>
      <c r="D30" s="145"/>
      <c r="E30" s="145"/>
      <c r="F30" s="145"/>
      <c r="N30" s="145"/>
      <c r="Q30" s="145"/>
    </row>
    <row r="31" spans="1:18" x14ac:dyDescent="0.2">
      <c r="A31" s="145"/>
      <c r="B31" s="145"/>
      <c r="C31" s="147"/>
      <c r="D31" s="145"/>
      <c r="E31" s="145"/>
      <c r="F31" s="145"/>
      <c r="O31" s="159"/>
    </row>
    <row r="32" spans="1:18" x14ac:dyDescent="0.2">
      <c r="N32" s="158"/>
      <c r="O32" s="161"/>
    </row>
    <row r="33" spans="14:15" x14ac:dyDescent="0.2">
      <c r="N33" s="158"/>
      <c r="O33" s="159"/>
    </row>
    <row r="34" spans="14:15" x14ac:dyDescent="0.2">
      <c r="N34" s="158"/>
    </row>
  </sheetData>
  <mergeCells count="1">
    <mergeCell ref="A2:H2"/>
  </mergeCells>
  <printOptions horizontalCentered="1" verticalCentered="1"/>
  <pageMargins left="0.25" right="0.25" top="0.75" bottom="1.25" header="0.3" footer="0.3"/>
  <pageSetup paperSize="9" scale="56" orientation="portrait" horizontalDpi="4294967293" verticalDpi="300" r:id="rId1"/>
  <headerFooter alignWithMargins="0">
    <oddHeader>&amp;L&amp;G</oddHeader>
    <oddFooter>&amp;L&amp;"Arial,Regular"&amp;8&amp;K0070C0PT. Jakarta Process AutomationJl. Rawamangun Muka Raya 1A Jakarta 13220 Phone: 021-4707038 Fax : 021-47860587&amp;R&amp;"Arial,Regular"&amp;8&amp;Y&amp;F&amp;P/&amp;N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20"/>
  <sheetViews>
    <sheetView topLeftCell="A4" workbookViewId="0">
      <selection activeCell="G16" sqref="G16"/>
    </sheetView>
  </sheetViews>
  <sheetFormatPr defaultRowHeight="15" x14ac:dyDescent="0.25"/>
  <cols>
    <col min="1" max="1" width="6.140625" customWidth="1"/>
    <col min="3" max="3" width="14.85546875" bestFit="1" customWidth="1"/>
    <col min="4" max="4" width="29.5703125" customWidth="1"/>
  </cols>
  <sheetData>
    <row r="2" spans="1:10" x14ac:dyDescent="0.25">
      <c r="A2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G4">
        <v>5.5</v>
      </c>
    </row>
    <row r="5" spans="1:10" x14ac:dyDescent="0.25">
      <c r="A5">
        <v>2</v>
      </c>
      <c r="B5" t="s">
        <v>10</v>
      </c>
      <c r="C5" t="s">
        <v>7</v>
      </c>
      <c r="D5" t="s">
        <v>8</v>
      </c>
      <c r="E5" t="s">
        <v>9</v>
      </c>
      <c r="G5">
        <v>5.5</v>
      </c>
    </row>
    <row r="6" spans="1:10" x14ac:dyDescent="0.25">
      <c r="A6">
        <v>3</v>
      </c>
      <c r="B6" t="s">
        <v>11</v>
      </c>
      <c r="C6" t="s">
        <v>7</v>
      </c>
      <c r="D6" t="s">
        <v>8</v>
      </c>
      <c r="E6" t="s">
        <v>9</v>
      </c>
      <c r="G6">
        <v>5.5</v>
      </c>
    </row>
    <row r="7" spans="1:10" x14ac:dyDescent="0.25">
      <c r="A7">
        <v>4</v>
      </c>
      <c r="B7" t="s">
        <v>12</v>
      </c>
      <c r="C7" t="s">
        <v>13</v>
      </c>
      <c r="D7" t="s">
        <v>14</v>
      </c>
      <c r="E7" t="s">
        <v>9</v>
      </c>
      <c r="G7">
        <v>15</v>
      </c>
    </row>
    <row r="8" spans="1:10" x14ac:dyDescent="0.25">
      <c r="A8">
        <v>5</v>
      </c>
      <c r="B8" t="s">
        <v>15</v>
      </c>
      <c r="C8" t="s">
        <v>13</v>
      </c>
      <c r="D8" t="s">
        <v>14</v>
      </c>
      <c r="E8" t="s">
        <v>9</v>
      </c>
      <c r="G8">
        <v>15</v>
      </c>
    </row>
    <row r="9" spans="1:10" x14ac:dyDescent="0.25">
      <c r="A9">
        <v>6</v>
      </c>
      <c r="B9" t="s">
        <v>16</v>
      </c>
      <c r="C9" t="s">
        <v>7</v>
      </c>
      <c r="D9" t="s">
        <v>8</v>
      </c>
      <c r="E9" t="s">
        <v>9</v>
      </c>
      <c r="G9">
        <v>5.5</v>
      </c>
    </row>
    <row r="10" spans="1:10" x14ac:dyDescent="0.25">
      <c r="A10">
        <v>7</v>
      </c>
      <c r="B10" t="s">
        <v>17</v>
      </c>
      <c r="C10" t="s">
        <v>7</v>
      </c>
      <c r="D10" t="s">
        <v>8</v>
      </c>
      <c r="E10" t="s">
        <v>9</v>
      </c>
      <c r="G10">
        <v>5.5</v>
      </c>
      <c r="J10" s="36"/>
    </row>
    <row r="11" spans="1:10" x14ac:dyDescent="0.25">
      <c r="A11">
        <v>8</v>
      </c>
      <c r="B11" t="s">
        <v>18</v>
      </c>
      <c r="C11" t="s">
        <v>7</v>
      </c>
      <c r="D11" t="s">
        <v>8</v>
      </c>
      <c r="E11" t="s">
        <v>9</v>
      </c>
      <c r="G11">
        <v>5.5</v>
      </c>
    </row>
    <row r="12" spans="1:10" x14ac:dyDescent="0.25">
      <c r="A12">
        <v>9</v>
      </c>
      <c r="B12" t="s">
        <v>19</v>
      </c>
      <c r="C12" t="s">
        <v>7</v>
      </c>
      <c r="D12" t="s">
        <v>8</v>
      </c>
      <c r="E12" t="s">
        <v>9</v>
      </c>
      <c r="G12">
        <v>5.5</v>
      </c>
    </row>
    <row r="13" spans="1:10" x14ac:dyDescent="0.25">
      <c r="A13">
        <v>10</v>
      </c>
      <c r="B13" t="s">
        <v>19</v>
      </c>
      <c r="C13" t="s">
        <v>7</v>
      </c>
      <c r="D13" t="s">
        <v>8</v>
      </c>
      <c r="E13" t="s">
        <v>9</v>
      </c>
      <c r="G13">
        <v>5.5</v>
      </c>
    </row>
    <row r="14" spans="1:10" x14ac:dyDescent="0.25">
      <c r="A14">
        <v>11</v>
      </c>
      <c r="B14" t="s">
        <v>20</v>
      </c>
      <c r="C14" t="s">
        <v>13</v>
      </c>
      <c r="D14" t="s">
        <v>14</v>
      </c>
      <c r="E14" t="s">
        <v>9</v>
      </c>
      <c r="G14" s="37">
        <v>15</v>
      </c>
    </row>
    <row r="15" spans="1:10" x14ac:dyDescent="0.25">
      <c r="G15" s="1">
        <f>SUM(G4:G14)</f>
        <v>89</v>
      </c>
      <c r="H15" t="s">
        <v>130</v>
      </c>
    </row>
    <row r="17" spans="1:2" x14ac:dyDescent="0.25">
      <c r="B17" t="s">
        <v>21</v>
      </c>
    </row>
    <row r="18" spans="1:2" x14ac:dyDescent="0.25">
      <c r="A18">
        <v>1</v>
      </c>
      <c r="B18" t="s">
        <v>22</v>
      </c>
    </row>
    <row r="19" spans="1:2" x14ac:dyDescent="0.25">
      <c r="A19">
        <v>2</v>
      </c>
      <c r="B19" t="s">
        <v>22</v>
      </c>
    </row>
    <row r="20" spans="1:2" x14ac:dyDescent="0.25">
      <c r="A20">
        <v>3</v>
      </c>
      <c r="B20" t="s">
        <v>23</v>
      </c>
    </row>
  </sheetData>
  <pageMargins left="0.51181102362204722" right="0.11811023622047245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2"/>
  <sheetViews>
    <sheetView workbookViewId="0">
      <selection activeCell="D19" sqref="D19"/>
    </sheetView>
  </sheetViews>
  <sheetFormatPr defaultRowHeight="15" x14ac:dyDescent="0.25"/>
  <cols>
    <col min="1" max="1" width="6.140625" customWidth="1"/>
    <col min="2" max="2" width="12.7109375" customWidth="1"/>
    <col min="3" max="3" width="14.85546875" bestFit="1" customWidth="1"/>
    <col min="4" max="4" width="29.5703125" customWidth="1"/>
    <col min="5" max="5" width="14.85546875" style="3" customWidth="1"/>
  </cols>
  <sheetData>
    <row r="2" spans="1:7" x14ac:dyDescent="0.25">
      <c r="A2" s="1" t="s">
        <v>24</v>
      </c>
    </row>
    <row r="3" spans="1:7" s="3" customFormat="1" ht="30" customHeight="1" x14ac:dyDescent="0.25">
      <c r="A3" s="4" t="s">
        <v>1</v>
      </c>
      <c r="B3" s="4" t="s">
        <v>2</v>
      </c>
      <c r="C3" s="4" t="s">
        <v>3</v>
      </c>
      <c r="D3" s="4" t="s">
        <v>25</v>
      </c>
      <c r="E3" s="5" t="s">
        <v>26</v>
      </c>
      <c r="G3" s="35" t="s">
        <v>130</v>
      </c>
    </row>
    <row r="4" spans="1:7" x14ac:dyDescent="0.25">
      <c r="A4">
        <v>1</v>
      </c>
      <c r="B4" t="s">
        <v>27</v>
      </c>
      <c r="C4" t="s">
        <v>28</v>
      </c>
      <c r="D4" t="s">
        <v>29</v>
      </c>
      <c r="E4" s="3" t="s">
        <v>9</v>
      </c>
      <c r="G4">
        <v>22</v>
      </c>
    </row>
    <row r="5" spans="1:7" x14ac:dyDescent="0.25">
      <c r="A5">
        <v>2</v>
      </c>
      <c r="B5" t="s">
        <v>30</v>
      </c>
      <c r="C5" t="s">
        <v>13</v>
      </c>
      <c r="D5" t="s">
        <v>31</v>
      </c>
      <c r="E5" s="3" t="s">
        <v>9</v>
      </c>
      <c r="G5">
        <v>30</v>
      </c>
    </row>
    <row r="6" spans="1:7" x14ac:dyDescent="0.25">
      <c r="A6">
        <v>3</v>
      </c>
      <c r="B6" t="s">
        <v>32</v>
      </c>
      <c r="C6" t="s">
        <v>7</v>
      </c>
      <c r="D6" t="s">
        <v>33</v>
      </c>
      <c r="E6" s="3" t="s">
        <v>9</v>
      </c>
      <c r="G6">
        <v>18</v>
      </c>
    </row>
    <row r="7" spans="1:7" x14ac:dyDescent="0.25">
      <c r="A7">
        <v>4</v>
      </c>
      <c r="B7" t="s">
        <v>34</v>
      </c>
      <c r="C7" t="s">
        <v>7</v>
      </c>
      <c r="D7" t="s">
        <v>33</v>
      </c>
      <c r="E7" s="3" t="s">
        <v>9</v>
      </c>
      <c r="G7">
        <v>18</v>
      </c>
    </row>
    <row r="8" spans="1:7" x14ac:dyDescent="0.25">
      <c r="A8">
        <v>5</v>
      </c>
      <c r="B8" t="s">
        <v>35</v>
      </c>
      <c r="C8" t="s">
        <v>7</v>
      </c>
      <c r="D8" t="s">
        <v>33</v>
      </c>
      <c r="E8" s="3" t="s">
        <v>9</v>
      </c>
      <c r="G8">
        <v>18</v>
      </c>
    </row>
    <row r="9" spans="1:7" x14ac:dyDescent="0.25">
      <c r="A9">
        <v>6</v>
      </c>
      <c r="B9" t="s">
        <v>36</v>
      </c>
      <c r="C9" t="s">
        <v>13</v>
      </c>
      <c r="D9" t="s">
        <v>31</v>
      </c>
      <c r="E9" s="3" t="s">
        <v>9</v>
      </c>
      <c r="G9">
        <v>30</v>
      </c>
    </row>
    <row r="10" spans="1:7" x14ac:dyDescent="0.25">
      <c r="A10">
        <v>7</v>
      </c>
      <c r="B10" t="s">
        <v>37</v>
      </c>
      <c r="C10" t="s">
        <v>13</v>
      </c>
      <c r="D10" t="s">
        <v>31</v>
      </c>
      <c r="E10" s="3" t="s">
        <v>9</v>
      </c>
      <c r="G10">
        <v>30</v>
      </c>
    </row>
    <row r="11" spans="1:7" x14ac:dyDescent="0.25">
      <c r="A11">
        <v>8</v>
      </c>
      <c r="B11" t="s">
        <v>38</v>
      </c>
      <c r="C11" t="s">
        <v>39</v>
      </c>
      <c r="D11" t="s">
        <v>14</v>
      </c>
      <c r="E11" s="3" t="s">
        <v>9</v>
      </c>
      <c r="G11">
        <v>15</v>
      </c>
    </row>
    <row r="12" spans="1:7" x14ac:dyDescent="0.25">
      <c r="A12">
        <v>9</v>
      </c>
      <c r="B12" t="s">
        <v>40</v>
      </c>
      <c r="C12" t="s">
        <v>41</v>
      </c>
      <c r="D12" t="s">
        <v>31</v>
      </c>
      <c r="E12" s="3" t="s">
        <v>9</v>
      </c>
      <c r="G12">
        <v>30</v>
      </c>
    </row>
    <row r="13" spans="1:7" x14ac:dyDescent="0.25">
      <c r="A13">
        <v>10</v>
      </c>
      <c r="B13" t="s">
        <v>42</v>
      </c>
      <c r="C13" t="s">
        <v>28</v>
      </c>
      <c r="D13" t="s">
        <v>29</v>
      </c>
      <c r="E13" s="3" t="s">
        <v>9</v>
      </c>
      <c r="G13">
        <v>22</v>
      </c>
    </row>
    <row r="14" spans="1:7" x14ac:dyDescent="0.25">
      <c r="A14">
        <v>11</v>
      </c>
      <c r="B14" t="s">
        <v>43</v>
      </c>
      <c r="C14" t="s">
        <v>7</v>
      </c>
      <c r="D14" t="s">
        <v>14</v>
      </c>
      <c r="E14" s="3" t="s">
        <v>9</v>
      </c>
      <c r="G14">
        <v>15</v>
      </c>
    </row>
    <row r="15" spans="1:7" x14ac:dyDescent="0.25">
      <c r="A15">
        <v>12</v>
      </c>
      <c r="B15" t="s">
        <v>20</v>
      </c>
      <c r="C15" t="s">
        <v>13</v>
      </c>
      <c r="D15" t="s">
        <v>31</v>
      </c>
      <c r="E15" s="3" t="s">
        <v>9</v>
      </c>
      <c r="G15">
        <v>30</v>
      </c>
    </row>
    <row r="17" spans="2:8" x14ac:dyDescent="0.25">
      <c r="C17" t="s">
        <v>44</v>
      </c>
      <c r="D17">
        <f>22+30+18+18+18+30+30+15+30+22+15+30</f>
        <v>278</v>
      </c>
      <c r="G17" s="1">
        <f>SUM(G4:G16)</f>
        <v>278</v>
      </c>
      <c r="H17" s="1" t="s">
        <v>126</v>
      </c>
    </row>
    <row r="18" spans="2:8" x14ac:dyDescent="0.25">
      <c r="C18" t="s">
        <v>45</v>
      </c>
      <c r="D18" s="6">
        <v>0.6</v>
      </c>
      <c r="G18" s="6"/>
    </row>
    <row r="19" spans="2:8" x14ac:dyDescent="0.25">
      <c r="D19" s="1">
        <f>D18*D17</f>
        <v>166.79999999999998</v>
      </c>
    </row>
    <row r="21" spans="2:8" x14ac:dyDescent="0.25">
      <c r="B21" t="s">
        <v>46</v>
      </c>
    </row>
    <row r="22" spans="2:8" x14ac:dyDescent="0.25">
      <c r="B22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1"/>
  <sheetViews>
    <sheetView topLeftCell="A16" workbookViewId="0">
      <selection activeCell="B42" sqref="B42"/>
    </sheetView>
  </sheetViews>
  <sheetFormatPr defaultRowHeight="15" x14ac:dyDescent="0.25"/>
  <cols>
    <col min="1" max="1" width="4.42578125" customWidth="1"/>
    <col min="2" max="2" width="10.85546875" bestFit="1" customWidth="1"/>
    <col min="3" max="3" width="13.85546875" customWidth="1"/>
    <col min="4" max="4" width="9" style="3" bestFit="1" customWidth="1"/>
    <col min="5" max="5" width="18.140625" customWidth="1"/>
    <col min="6" max="6" width="15.28515625" customWidth="1"/>
    <col min="7" max="7" width="9.5703125" customWidth="1"/>
    <col min="8" max="8" width="9.140625" style="3"/>
    <col min="9" max="9" width="8.7109375" style="3" bestFit="1" customWidth="1"/>
    <col min="10" max="11" width="8.7109375" style="3" customWidth="1"/>
    <col min="12" max="13" width="8" style="3" hidden="1" customWidth="1"/>
    <col min="14" max="14" width="0" style="3" hidden="1" customWidth="1"/>
    <col min="15" max="17" width="9.140625" style="3"/>
    <col min="18" max="18" width="15.85546875" style="3" customWidth="1"/>
    <col min="19" max="19" width="9.140625" style="3"/>
    <col min="20" max="21" width="0" style="7" hidden="1" customWidth="1"/>
    <col min="22" max="22" width="0" style="3" hidden="1" customWidth="1"/>
    <col min="23" max="23" width="22.140625" hidden="1" customWidth="1"/>
    <col min="24" max="27" width="0" style="3" hidden="1" customWidth="1"/>
    <col min="28" max="28" width="10.85546875" hidden="1" customWidth="1"/>
    <col min="29" max="29" width="11.42578125" hidden="1" customWidth="1"/>
  </cols>
  <sheetData>
    <row r="1" spans="1:29" x14ac:dyDescent="0.25">
      <c r="A1" s="1" t="s">
        <v>48</v>
      </c>
    </row>
    <row r="2" spans="1:29" s="14" customFormat="1" ht="80.099999999999994" customHeight="1" thickBot="1" x14ac:dyDescent="0.3">
      <c r="A2" s="8" t="s">
        <v>1</v>
      </c>
      <c r="B2" s="8" t="s">
        <v>2</v>
      </c>
      <c r="C2" s="8" t="s">
        <v>49</v>
      </c>
      <c r="D2" s="9" t="s">
        <v>50</v>
      </c>
      <c r="E2" s="8" t="s">
        <v>51</v>
      </c>
      <c r="F2" s="8" t="s">
        <v>52</v>
      </c>
      <c r="G2" s="9" t="s">
        <v>53</v>
      </c>
      <c r="H2" s="9" t="s">
        <v>26</v>
      </c>
      <c r="I2" s="9" t="s">
        <v>54</v>
      </c>
      <c r="J2" s="9" t="s">
        <v>55</v>
      </c>
      <c r="K2" s="9" t="s">
        <v>56</v>
      </c>
      <c r="L2" s="9" t="s">
        <v>57</v>
      </c>
      <c r="M2" s="9" t="s">
        <v>58</v>
      </c>
      <c r="N2" s="9" t="s">
        <v>59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1" t="s">
        <v>65</v>
      </c>
      <c r="U2" s="11" t="s">
        <v>66</v>
      </c>
      <c r="V2" s="10" t="s">
        <v>67</v>
      </c>
      <c r="W2" s="12" t="s">
        <v>68</v>
      </c>
      <c r="X2" s="10" t="s">
        <v>69</v>
      </c>
      <c r="Y2" s="10" t="s">
        <v>70</v>
      </c>
      <c r="Z2" s="10" t="s">
        <v>71</v>
      </c>
      <c r="AA2" s="10" t="s">
        <v>72</v>
      </c>
      <c r="AB2" s="13" t="s">
        <v>73</v>
      </c>
      <c r="AC2" s="13" t="s">
        <v>74</v>
      </c>
    </row>
    <row r="3" spans="1:29" ht="45.75" thickTop="1" x14ac:dyDescent="0.25">
      <c r="A3" s="15">
        <v>1</v>
      </c>
      <c r="B3" s="15" t="s">
        <v>27</v>
      </c>
      <c r="C3" s="16" t="s">
        <v>75</v>
      </c>
      <c r="D3" s="17">
        <v>7.5</v>
      </c>
      <c r="E3" s="18" t="s">
        <v>76</v>
      </c>
      <c r="F3" s="18" t="s">
        <v>77</v>
      </c>
      <c r="G3" s="19">
        <v>220</v>
      </c>
      <c r="H3" s="17" t="s">
        <v>9</v>
      </c>
      <c r="I3" s="17">
        <v>20</v>
      </c>
      <c r="J3" s="17" t="s">
        <v>78</v>
      </c>
      <c r="K3" s="17" t="s">
        <v>79</v>
      </c>
      <c r="L3" s="17">
        <v>1</v>
      </c>
      <c r="M3" s="17">
        <v>3.9</v>
      </c>
      <c r="N3" s="20">
        <f>(I3/3600)/U3</f>
        <v>2.8308563340410471</v>
      </c>
      <c r="O3" s="21">
        <v>170</v>
      </c>
      <c r="P3" s="21" t="s">
        <v>80</v>
      </c>
      <c r="Q3" s="22" t="s">
        <v>81</v>
      </c>
      <c r="R3" s="22" t="s">
        <v>82</v>
      </c>
      <c r="S3" s="20">
        <f>I3*O3/G3</f>
        <v>15.454545454545455</v>
      </c>
      <c r="T3" s="23">
        <v>50</v>
      </c>
      <c r="U3" s="23">
        <f>3.14/4*(T3/1000)^2</f>
        <v>1.9625000000000003E-3</v>
      </c>
      <c r="V3" s="20">
        <f>(S3/3600)/U3</f>
        <v>2.1874798944862635</v>
      </c>
      <c r="W3" s="16" t="s">
        <v>83</v>
      </c>
      <c r="X3" s="24">
        <f t="shared" ref="X3:X10" si="0">L3/S3*50</f>
        <v>3.2352941176470584</v>
      </c>
      <c r="Y3" s="25">
        <f t="shared" ref="Y3:Y10" si="1">M3/S3*50</f>
        <v>12.617647058823527</v>
      </c>
      <c r="Z3" s="17">
        <f t="shared" ref="Z3:Z10" si="2">M3*2</f>
        <v>7.8</v>
      </c>
      <c r="AA3" s="24">
        <f t="shared" ref="AA3:AA10" si="3">Z3/S3*50</f>
        <v>25.235294117647054</v>
      </c>
      <c r="AB3" s="26">
        <f>S3</f>
        <v>15.454545454545455</v>
      </c>
      <c r="AC3" s="27">
        <f>AB3/S3*50</f>
        <v>50</v>
      </c>
    </row>
    <row r="4" spans="1:29" ht="45" x14ac:dyDescent="0.25">
      <c r="A4" s="27">
        <v>2</v>
      </c>
      <c r="B4" s="27" t="s">
        <v>30</v>
      </c>
      <c r="C4" s="18" t="s">
        <v>84</v>
      </c>
      <c r="D4" s="22">
        <v>10</v>
      </c>
      <c r="E4" s="18" t="s">
        <v>76</v>
      </c>
      <c r="F4" s="18" t="s">
        <v>77</v>
      </c>
      <c r="G4" s="28">
        <v>220</v>
      </c>
      <c r="H4" s="22" t="s">
        <v>9</v>
      </c>
      <c r="I4" s="22">
        <v>20</v>
      </c>
      <c r="J4" s="22" t="s">
        <v>85</v>
      </c>
      <c r="K4" s="22" t="s">
        <v>86</v>
      </c>
      <c r="L4" s="22">
        <f>250*100*60/1000000</f>
        <v>1.5</v>
      </c>
      <c r="M4" s="22">
        <f>1500*60*60/1000000</f>
        <v>5.4</v>
      </c>
      <c r="N4" s="29">
        <f t="shared" ref="N4:N10" si="4">(I4/3600)/U4</f>
        <v>2.8308563340410471</v>
      </c>
      <c r="O4" s="21">
        <v>170</v>
      </c>
      <c r="P4" s="21" t="s">
        <v>80</v>
      </c>
      <c r="Q4" s="22" t="s">
        <v>81</v>
      </c>
      <c r="R4" s="22" t="s">
        <v>82</v>
      </c>
      <c r="S4" s="29">
        <f>I4*O4/G4</f>
        <v>15.454545454545455</v>
      </c>
      <c r="T4" s="30">
        <v>50</v>
      </c>
      <c r="U4" s="30">
        <f t="shared" ref="U4:U14" si="5">3.14/4*(T4/1000)^2</f>
        <v>1.9625000000000003E-3</v>
      </c>
      <c r="V4" s="29">
        <f t="shared" ref="V4:V14" si="6">(S4/3600)/U4</f>
        <v>2.1874798944862635</v>
      </c>
      <c r="W4" s="18" t="s">
        <v>83</v>
      </c>
      <c r="X4" s="31">
        <f t="shared" si="0"/>
        <v>4.8529411764705888</v>
      </c>
      <c r="Y4" s="32">
        <f t="shared" si="1"/>
        <v>17.47058823529412</v>
      </c>
      <c r="Z4" s="22">
        <f t="shared" si="2"/>
        <v>10.8</v>
      </c>
      <c r="AA4" s="31">
        <f t="shared" si="3"/>
        <v>34.941176470588239</v>
      </c>
      <c r="AB4" s="26">
        <f t="shared" ref="AB4:AB14" si="7">S4</f>
        <v>15.454545454545455</v>
      </c>
      <c r="AC4" s="27">
        <f t="shared" ref="AC4:AC14" si="8">AB4/S4*50</f>
        <v>50</v>
      </c>
    </row>
    <row r="5" spans="1:29" ht="45" x14ac:dyDescent="0.25">
      <c r="A5" s="27">
        <v>3</v>
      </c>
      <c r="B5" s="27" t="s">
        <v>32</v>
      </c>
      <c r="C5" s="18" t="s">
        <v>87</v>
      </c>
      <c r="D5" s="22">
        <v>5</v>
      </c>
      <c r="E5" s="18" t="s">
        <v>88</v>
      </c>
      <c r="F5" s="18" t="s">
        <v>89</v>
      </c>
      <c r="G5" s="28">
        <v>220</v>
      </c>
      <c r="H5" s="22" t="s">
        <v>9</v>
      </c>
      <c r="I5" s="22">
        <v>10</v>
      </c>
      <c r="J5" s="22" t="s">
        <v>90</v>
      </c>
      <c r="K5" s="22" t="s">
        <v>91</v>
      </c>
      <c r="L5" s="22">
        <v>0.7</v>
      </c>
      <c r="M5" s="33">
        <v>2.25</v>
      </c>
      <c r="N5" s="29">
        <f t="shared" si="4"/>
        <v>2.2116065109695682</v>
      </c>
      <c r="O5" s="22">
        <f>G5</f>
        <v>220</v>
      </c>
      <c r="P5" s="22" t="s">
        <v>81</v>
      </c>
      <c r="Q5" s="22" t="s">
        <v>81</v>
      </c>
      <c r="R5" s="22" t="s">
        <v>82</v>
      </c>
      <c r="S5" s="29">
        <f>I5*O5/G5</f>
        <v>10</v>
      </c>
      <c r="T5" s="30">
        <v>40</v>
      </c>
      <c r="U5" s="30">
        <f t="shared" si="5"/>
        <v>1.2560000000000002E-3</v>
      </c>
      <c r="V5" s="29">
        <f t="shared" si="6"/>
        <v>2.2116065109695682</v>
      </c>
      <c r="W5" s="18" t="s">
        <v>83</v>
      </c>
      <c r="X5" s="31">
        <f t="shared" si="0"/>
        <v>3.4999999999999996</v>
      </c>
      <c r="Y5" s="32">
        <f t="shared" si="1"/>
        <v>11.25</v>
      </c>
      <c r="Z5" s="22">
        <f t="shared" si="2"/>
        <v>4.5</v>
      </c>
      <c r="AA5" s="31">
        <f t="shared" si="3"/>
        <v>22.5</v>
      </c>
      <c r="AB5" s="26">
        <f t="shared" si="7"/>
        <v>10</v>
      </c>
      <c r="AC5" s="27">
        <f t="shared" si="8"/>
        <v>50</v>
      </c>
    </row>
    <row r="6" spans="1:29" ht="45" x14ac:dyDescent="0.25">
      <c r="A6" s="27">
        <v>4</v>
      </c>
      <c r="B6" s="27" t="s">
        <v>34</v>
      </c>
      <c r="C6" s="18" t="s">
        <v>92</v>
      </c>
      <c r="D6" s="22">
        <v>5</v>
      </c>
      <c r="E6" s="18" t="s">
        <v>93</v>
      </c>
      <c r="F6" s="18" t="s">
        <v>89</v>
      </c>
      <c r="G6" s="28">
        <v>220</v>
      </c>
      <c r="H6" s="22" t="s">
        <v>9</v>
      </c>
      <c r="I6" s="22">
        <v>10</v>
      </c>
      <c r="J6" s="22" t="s">
        <v>94</v>
      </c>
      <c r="K6" s="22" t="s">
        <v>95</v>
      </c>
      <c r="L6" s="22">
        <f>250*60*60/1000000</f>
        <v>0.9</v>
      </c>
      <c r="M6" s="33">
        <f>1500*45*60/1000000</f>
        <v>4.05</v>
      </c>
      <c r="N6" s="29">
        <f t="shared" si="4"/>
        <v>2.2116065109695682</v>
      </c>
      <c r="O6" s="22">
        <f>G6</f>
        <v>220</v>
      </c>
      <c r="P6" s="22" t="s">
        <v>81</v>
      </c>
      <c r="Q6" s="22" t="s">
        <v>81</v>
      </c>
      <c r="R6" s="22" t="s">
        <v>82</v>
      </c>
      <c r="S6" s="29">
        <f>I6*O6/G6</f>
        <v>10</v>
      </c>
      <c r="T6" s="30">
        <v>40</v>
      </c>
      <c r="U6" s="30">
        <f t="shared" si="5"/>
        <v>1.2560000000000002E-3</v>
      </c>
      <c r="V6" s="29">
        <f t="shared" si="6"/>
        <v>2.2116065109695682</v>
      </c>
      <c r="W6" s="18" t="s">
        <v>83</v>
      </c>
      <c r="X6" s="31">
        <f t="shared" si="0"/>
        <v>4.5</v>
      </c>
      <c r="Y6" s="32">
        <f t="shared" si="1"/>
        <v>20.25</v>
      </c>
      <c r="Z6" s="22">
        <f t="shared" si="2"/>
        <v>8.1</v>
      </c>
      <c r="AA6" s="31">
        <f t="shared" si="3"/>
        <v>40.5</v>
      </c>
      <c r="AB6" s="26">
        <f t="shared" si="7"/>
        <v>10</v>
      </c>
      <c r="AC6" s="27">
        <f t="shared" si="8"/>
        <v>50</v>
      </c>
    </row>
    <row r="7" spans="1:29" ht="45" x14ac:dyDescent="0.25">
      <c r="A7" s="27">
        <v>5</v>
      </c>
      <c r="B7" s="27" t="s">
        <v>35</v>
      </c>
      <c r="C7" s="18" t="s">
        <v>96</v>
      </c>
      <c r="D7" s="22">
        <v>5</v>
      </c>
      <c r="E7" s="18" t="s">
        <v>97</v>
      </c>
      <c r="F7" s="18" t="s">
        <v>98</v>
      </c>
      <c r="G7" s="28">
        <v>220</v>
      </c>
      <c r="H7" s="22" t="s">
        <v>9</v>
      </c>
      <c r="I7" s="22">
        <v>5</v>
      </c>
      <c r="J7" s="22" t="s">
        <v>99</v>
      </c>
      <c r="K7" s="22" t="s">
        <v>100</v>
      </c>
      <c r="L7" s="22">
        <f>200*50*60/1000000</f>
        <v>0.6</v>
      </c>
      <c r="M7" s="33">
        <f>160*200*60/1000000</f>
        <v>1.92</v>
      </c>
      <c r="N7" s="29">
        <f t="shared" si="4"/>
        <v>1.1058032554847841</v>
      </c>
      <c r="O7" s="22">
        <v>220</v>
      </c>
      <c r="P7" s="22" t="s">
        <v>81</v>
      </c>
      <c r="Q7" s="22" t="s">
        <v>81</v>
      </c>
      <c r="R7" s="22" t="s">
        <v>82</v>
      </c>
      <c r="S7" s="29">
        <f>I7*O7/G7</f>
        <v>5</v>
      </c>
      <c r="T7" s="30">
        <v>40</v>
      </c>
      <c r="U7" s="30">
        <f t="shared" si="5"/>
        <v>1.2560000000000002E-3</v>
      </c>
      <c r="V7" s="29">
        <f t="shared" si="6"/>
        <v>1.1058032554847841</v>
      </c>
      <c r="W7" s="18" t="s">
        <v>83</v>
      </c>
      <c r="X7" s="31">
        <f t="shared" si="0"/>
        <v>6</v>
      </c>
      <c r="Y7" s="32">
        <f t="shared" si="1"/>
        <v>19.2</v>
      </c>
      <c r="Z7" s="22">
        <f t="shared" si="2"/>
        <v>3.84</v>
      </c>
      <c r="AA7" s="31">
        <f t="shared" si="3"/>
        <v>38.4</v>
      </c>
      <c r="AB7" s="26">
        <f t="shared" si="7"/>
        <v>5</v>
      </c>
      <c r="AC7" s="27">
        <f t="shared" si="8"/>
        <v>50</v>
      </c>
    </row>
    <row r="8" spans="1:29" ht="45" x14ac:dyDescent="0.25">
      <c r="A8" s="27">
        <v>6</v>
      </c>
      <c r="B8" s="27" t="s">
        <v>36</v>
      </c>
      <c r="C8" s="18" t="s">
        <v>101</v>
      </c>
      <c r="D8" s="22">
        <v>10</v>
      </c>
      <c r="E8" s="18" t="s">
        <v>76</v>
      </c>
      <c r="F8" s="18" t="s">
        <v>77</v>
      </c>
      <c r="G8" s="28">
        <v>220</v>
      </c>
      <c r="H8" s="22" t="s">
        <v>9</v>
      </c>
      <c r="I8" s="22">
        <v>20</v>
      </c>
      <c r="J8" s="22" t="s">
        <v>102</v>
      </c>
      <c r="K8" s="22" t="s">
        <v>103</v>
      </c>
      <c r="L8" s="22">
        <f>250*100*60/1000000</f>
        <v>1.5</v>
      </c>
      <c r="M8" s="22">
        <f>1500*60*60/1000000</f>
        <v>5.4</v>
      </c>
      <c r="N8" s="29">
        <f t="shared" si="4"/>
        <v>2.8308563340410471</v>
      </c>
      <c r="O8" s="21">
        <v>170</v>
      </c>
      <c r="P8" s="21" t="s">
        <v>80</v>
      </c>
      <c r="Q8" s="22" t="s">
        <v>81</v>
      </c>
      <c r="R8" s="22" t="s">
        <v>82</v>
      </c>
      <c r="S8" s="29">
        <f t="shared" ref="S8:S13" si="9">I8*O8/G8</f>
        <v>15.454545454545455</v>
      </c>
      <c r="T8" s="30">
        <v>50</v>
      </c>
      <c r="U8" s="30">
        <f t="shared" si="5"/>
        <v>1.9625000000000003E-3</v>
      </c>
      <c r="V8" s="29">
        <f t="shared" si="6"/>
        <v>2.1874798944862635</v>
      </c>
      <c r="W8" s="18" t="s">
        <v>83</v>
      </c>
      <c r="X8" s="31">
        <f t="shared" si="0"/>
        <v>4.8529411764705888</v>
      </c>
      <c r="Y8" s="32">
        <f t="shared" si="1"/>
        <v>17.47058823529412</v>
      </c>
      <c r="Z8" s="22">
        <f t="shared" si="2"/>
        <v>10.8</v>
      </c>
      <c r="AA8" s="31">
        <f t="shared" si="3"/>
        <v>34.941176470588239</v>
      </c>
      <c r="AB8" s="26">
        <f t="shared" si="7"/>
        <v>15.454545454545455</v>
      </c>
      <c r="AC8" s="27">
        <f t="shared" si="8"/>
        <v>50</v>
      </c>
    </row>
    <row r="9" spans="1:29" ht="45" x14ac:dyDescent="0.25">
      <c r="A9" s="27">
        <v>7</v>
      </c>
      <c r="B9" s="27" t="s">
        <v>37</v>
      </c>
      <c r="C9" s="18" t="s">
        <v>104</v>
      </c>
      <c r="D9" s="22">
        <v>10</v>
      </c>
      <c r="E9" s="18" t="s">
        <v>76</v>
      </c>
      <c r="F9" s="18" t="s">
        <v>77</v>
      </c>
      <c r="G9" s="28">
        <v>220</v>
      </c>
      <c r="H9" s="22" t="s">
        <v>9</v>
      </c>
      <c r="I9" s="22">
        <v>20</v>
      </c>
      <c r="J9" s="22" t="s">
        <v>105</v>
      </c>
      <c r="K9" s="22" t="s">
        <v>106</v>
      </c>
      <c r="L9" s="33">
        <f>220*50*60/1000000</f>
        <v>0.66</v>
      </c>
      <c r="M9" s="33">
        <f>180*400*60/1000000</f>
        <v>4.32</v>
      </c>
      <c r="N9" s="29">
        <f t="shared" si="4"/>
        <v>2.8308563340410471</v>
      </c>
      <c r="O9" s="21">
        <v>170</v>
      </c>
      <c r="P9" s="21" t="s">
        <v>80</v>
      </c>
      <c r="Q9" s="22" t="s">
        <v>81</v>
      </c>
      <c r="R9" s="22" t="s">
        <v>82</v>
      </c>
      <c r="S9" s="29">
        <f t="shared" si="9"/>
        <v>15.454545454545455</v>
      </c>
      <c r="T9" s="30">
        <v>50</v>
      </c>
      <c r="U9" s="30">
        <f t="shared" si="5"/>
        <v>1.9625000000000003E-3</v>
      </c>
      <c r="V9" s="29">
        <f t="shared" si="6"/>
        <v>2.1874798944862635</v>
      </c>
      <c r="W9" s="18" t="s">
        <v>83</v>
      </c>
      <c r="X9" s="31">
        <f t="shared" si="0"/>
        <v>2.1352941176470588</v>
      </c>
      <c r="Y9" s="32">
        <f t="shared" si="1"/>
        <v>13.976470588235296</v>
      </c>
      <c r="Z9" s="22">
        <f t="shared" si="2"/>
        <v>8.64</v>
      </c>
      <c r="AA9" s="31">
        <f t="shared" si="3"/>
        <v>27.952941176470592</v>
      </c>
      <c r="AB9" s="26">
        <f t="shared" si="7"/>
        <v>15.454545454545455</v>
      </c>
      <c r="AC9" s="27">
        <f t="shared" si="8"/>
        <v>50</v>
      </c>
    </row>
    <row r="10" spans="1:29" ht="45" x14ac:dyDescent="0.25">
      <c r="A10" s="27">
        <v>8</v>
      </c>
      <c r="B10" s="27" t="s">
        <v>38</v>
      </c>
      <c r="C10" s="18" t="s">
        <v>107</v>
      </c>
      <c r="D10" s="22">
        <v>2</v>
      </c>
      <c r="E10" s="18" t="s">
        <v>97</v>
      </c>
      <c r="F10" s="18" t="s">
        <v>98</v>
      </c>
      <c r="G10" s="28">
        <v>220</v>
      </c>
      <c r="H10" s="22" t="s">
        <v>9</v>
      </c>
      <c r="I10" s="22">
        <v>5</v>
      </c>
      <c r="J10" s="22" t="s">
        <v>108</v>
      </c>
      <c r="K10" s="22" t="s">
        <v>109</v>
      </c>
      <c r="L10" s="22">
        <v>0.1</v>
      </c>
      <c r="M10" s="22">
        <v>0.4</v>
      </c>
      <c r="N10" s="29">
        <f t="shared" si="4"/>
        <v>1.1058032554847841</v>
      </c>
      <c r="O10" s="22">
        <v>220</v>
      </c>
      <c r="P10" s="22" t="s">
        <v>81</v>
      </c>
      <c r="Q10" s="22" t="s">
        <v>81</v>
      </c>
      <c r="R10" s="22" t="s">
        <v>82</v>
      </c>
      <c r="S10" s="29">
        <f t="shared" si="9"/>
        <v>5</v>
      </c>
      <c r="T10" s="30">
        <v>40</v>
      </c>
      <c r="U10" s="30">
        <f t="shared" si="5"/>
        <v>1.2560000000000002E-3</v>
      </c>
      <c r="V10" s="29">
        <f t="shared" si="6"/>
        <v>1.1058032554847841</v>
      </c>
      <c r="W10" s="18" t="s">
        <v>83</v>
      </c>
      <c r="X10" s="31">
        <f t="shared" si="0"/>
        <v>1</v>
      </c>
      <c r="Y10" s="32">
        <f t="shared" si="1"/>
        <v>4</v>
      </c>
      <c r="Z10" s="22">
        <f t="shared" si="2"/>
        <v>0.8</v>
      </c>
      <c r="AA10" s="31">
        <f t="shared" si="3"/>
        <v>8</v>
      </c>
      <c r="AB10" s="26">
        <f t="shared" si="7"/>
        <v>5</v>
      </c>
      <c r="AC10" s="27">
        <f t="shared" si="8"/>
        <v>50</v>
      </c>
    </row>
    <row r="11" spans="1:29" ht="45" x14ac:dyDescent="0.25">
      <c r="A11" s="27">
        <v>9</v>
      </c>
      <c r="B11" s="27" t="s">
        <v>40</v>
      </c>
      <c r="C11" s="18" t="s">
        <v>110</v>
      </c>
      <c r="D11" s="22">
        <v>12.5</v>
      </c>
      <c r="E11" s="18" t="s">
        <v>111</v>
      </c>
      <c r="F11" s="18" t="s">
        <v>112</v>
      </c>
      <c r="G11" s="28">
        <v>400</v>
      </c>
      <c r="H11" s="22" t="s">
        <v>9</v>
      </c>
      <c r="I11" s="22">
        <v>25</v>
      </c>
      <c r="J11" s="22" t="s">
        <v>106</v>
      </c>
      <c r="K11" s="22" t="s">
        <v>113</v>
      </c>
      <c r="L11" s="22"/>
      <c r="M11" s="22"/>
      <c r="N11" s="29"/>
      <c r="O11" s="22">
        <v>400</v>
      </c>
      <c r="P11" s="22" t="s">
        <v>81</v>
      </c>
      <c r="Q11" s="22" t="s">
        <v>81</v>
      </c>
      <c r="R11" s="22" t="s">
        <v>82</v>
      </c>
      <c r="S11" s="29">
        <f t="shared" si="9"/>
        <v>25</v>
      </c>
      <c r="T11" s="30">
        <v>75</v>
      </c>
      <c r="U11" s="30">
        <f t="shared" si="5"/>
        <v>4.4156250000000003E-3</v>
      </c>
      <c r="V11" s="29">
        <f t="shared" si="6"/>
        <v>1.5726979633561373</v>
      </c>
      <c r="W11" s="18"/>
      <c r="X11" s="31"/>
      <c r="Y11" s="32"/>
      <c r="Z11" s="22"/>
      <c r="AA11" s="31"/>
      <c r="AB11" s="26">
        <f t="shared" si="7"/>
        <v>25</v>
      </c>
      <c r="AC11" s="27">
        <f t="shared" si="8"/>
        <v>50</v>
      </c>
    </row>
    <row r="12" spans="1:29" ht="45" x14ac:dyDescent="0.25">
      <c r="A12" s="27">
        <v>10</v>
      </c>
      <c r="B12" s="27" t="s">
        <v>42</v>
      </c>
      <c r="C12" s="18" t="s">
        <v>114</v>
      </c>
      <c r="D12" s="22">
        <v>7.5</v>
      </c>
      <c r="E12" s="18" t="s">
        <v>111</v>
      </c>
      <c r="F12" s="18" t="s">
        <v>115</v>
      </c>
      <c r="G12" s="28">
        <v>300</v>
      </c>
      <c r="H12" s="22" t="s">
        <v>9</v>
      </c>
      <c r="I12" s="22">
        <v>15</v>
      </c>
      <c r="J12" s="22" t="s">
        <v>116</v>
      </c>
      <c r="K12" s="22" t="s">
        <v>117</v>
      </c>
      <c r="L12" s="22"/>
      <c r="M12" s="22"/>
      <c r="N12" s="29"/>
      <c r="O12" s="22">
        <v>300</v>
      </c>
      <c r="P12" s="22" t="s">
        <v>81</v>
      </c>
      <c r="Q12" s="22" t="s">
        <v>81</v>
      </c>
      <c r="R12" s="22" t="s">
        <v>82</v>
      </c>
      <c r="S12" s="29">
        <f t="shared" si="9"/>
        <v>15</v>
      </c>
      <c r="T12" s="30">
        <v>75</v>
      </c>
      <c r="U12" s="30">
        <f t="shared" si="5"/>
        <v>4.4156250000000003E-3</v>
      </c>
      <c r="V12" s="29">
        <f t="shared" si="6"/>
        <v>0.94361877801368244</v>
      </c>
      <c r="W12" s="18"/>
      <c r="X12" s="31"/>
      <c r="Y12" s="32"/>
      <c r="Z12" s="22"/>
      <c r="AA12" s="31"/>
      <c r="AB12" s="26">
        <f t="shared" si="7"/>
        <v>15</v>
      </c>
      <c r="AC12" s="27">
        <f t="shared" si="8"/>
        <v>50</v>
      </c>
    </row>
    <row r="13" spans="1:29" ht="45" x14ac:dyDescent="0.25">
      <c r="A13" s="27">
        <v>11</v>
      </c>
      <c r="B13" s="27" t="s">
        <v>43</v>
      </c>
      <c r="C13" s="18" t="s">
        <v>114</v>
      </c>
      <c r="D13" s="22">
        <v>5</v>
      </c>
      <c r="E13" s="18" t="s">
        <v>118</v>
      </c>
      <c r="F13" s="18" t="s">
        <v>119</v>
      </c>
      <c r="G13" s="28">
        <v>400</v>
      </c>
      <c r="H13" s="22" t="s">
        <v>9</v>
      </c>
      <c r="I13" s="22">
        <v>10</v>
      </c>
      <c r="J13" s="22" t="s">
        <v>120</v>
      </c>
      <c r="K13" s="22" t="s">
        <v>121</v>
      </c>
      <c r="L13" s="22"/>
      <c r="M13" s="22"/>
      <c r="N13" s="29"/>
      <c r="O13" s="22">
        <v>400</v>
      </c>
      <c r="P13" s="22" t="s">
        <v>81</v>
      </c>
      <c r="Q13" s="22" t="s">
        <v>81</v>
      </c>
      <c r="R13" s="22" t="s">
        <v>82</v>
      </c>
      <c r="S13" s="29">
        <f t="shared" si="9"/>
        <v>10</v>
      </c>
      <c r="T13" s="30">
        <v>75</v>
      </c>
      <c r="U13" s="30">
        <f t="shared" si="5"/>
        <v>4.4156250000000003E-3</v>
      </c>
      <c r="V13" s="29">
        <f t="shared" si="6"/>
        <v>0.62907918534245499</v>
      </c>
      <c r="W13" s="18"/>
      <c r="X13" s="31"/>
      <c r="Y13" s="32"/>
      <c r="Z13" s="22"/>
      <c r="AA13" s="31"/>
      <c r="AB13" s="26">
        <f t="shared" si="7"/>
        <v>10</v>
      </c>
      <c r="AC13" s="27">
        <f t="shared" si="8"/>
        <v>50</v>
      </c>
    </row>
    <row r="14" spans="1:29" ht="45" x14ac:dyDescent="0.25">
      <c r="A14" s="27">
        <v>12</v>
      </c>
      <c r="B14" s="27" t="s">
        <v>20</v>
      </c>
      <c r="C14" s="18" t="s">
        <v>122</v>
      </c>
      <c r="D14" s="22">
        <v>10</v>
      </c>
      <c r="E14" s="18" t="s">
        <v>76</v>
      </c>
      <c r="F14" s="18" t="s">
        <v>89</v>
      </c>
      <c r="G14" s="28">
        <v>220</v>
      </c>
      <c r="H14" s="22" t="s">
        <v>9</v>
      </c>
      <c r="I14" s="22">
        <v>10</v>
      </c>
      <c r="J14" s="22" t="s">
        <v>123</v>
      </c>
      <c r="K14" s="22" t="s">
        <v>124</v>
      </c>
      <c r="L14" s="22">
        <v>0.6</v>
      </c>
      <c r="M14" s="22">
        <v>1.8</v>
      </c>
      <c r="N14" s="29">
        <f>(I14/3600)/U14</f>
        <v>2.2116065109695682</v>
      </c>
      <c r="O14" s="22">
        <v>220</v>
      </c>
      <c r="P14" s="22" t="s">
        <v>81</v>
      </c>
      <c r="Q14" s="22" t="s">
        <v>81</v>
      </c>
      <c r="R14" s="22" t="s">
        <v>82</v>
      </c>
      <c r="S14" s="29">
        <f>I14*O14/G14</f>
        <v>10</v>
      </c>
      <c r="T14" s="30">
        <v>40</v>
      </c>
      <c r="U14" s="30">
        <f t="shared" si="5"/>
        <v>1.2560000000000002E-3</v>
      </c>
      <c r="V14" s="29">
        <f t="shared" si="6"/>
        <v>2.2116065109695682</v>
      </c>
      <c r="W14" s="18" t="s">
        <v>83</v>
      </c>
      <c r="X14" s="31">
        <f>L14/S14*50</f>
        <v>3</v>
      </c>
      <c r="Y14" s="32">
        <f>M14/S14*50</f>
        <v>9</v>
      </c>
      <c r="Z14" s="22">
        <f>M14*2</f>
        <v>3.6</v>
      </c>
      <c r="AA14" s="31">
        <f>Z14/S14*50</f>
        <v>18</v>
      </c>
      <c r="AB14" s="26">
        <f t="shared" si="7"/>
        <v>10</v>
      </c>
      <c r="AC14" s="27">
        <f t="shared" si="8"/>
        <v>50</v>
      </c>
    </row>
    <row r="16" spans="1:29" x14ac:dyDescent="0.25">
      <c r="C16" s="34" t="s">
        <v>125</v>
      </c>
      <c r="D16"/>
      <c r="F16" s="1">
        <f>5.5+4+7.5+11+2.2+7.5+7.5+2.2+5.5+5.5+7.5+7.5</f>
        <v>73.400000000000006</v>
      </c>
      <c r="G16" s="1" t="s">
        <v>126</v>
      </c>
      <c r="H16"/>
      <c r="I16"/>
      <c r="J16"/>
      <c r="K16"/>
      <c r="L16"/>
      <c r="M16"/>
      <c r="N16"/>
      <c r="O16"/>
      <c r="P16"/>
      <c r="Q16"/>
    </row>
    <row r="17" spans="3:17" x14ac:dyDescent="0.25">
      <c r="C17" s="34" t="s">
        <v>45</v>
      </c>
      <c r="D17"/>
      <c r="F17" s="6">
        <v>0.8</v>
      </c>
      <c r="H17"/>
      <c r="I17"/>
      <c r="J17"/>
      <c r="K17"/>
      <c r="L17"/>
      <c r="M17"/>
      <c r="N17"/>
      <c r="O17"/>
      <c r="P17"/>
      <c r="Q17"/>
    </row>
    <row r="18" spans="3:17" x14ac:dyDescent="0.25">
      <c r="F18" s="1">
        <f>F17*F16</f>
        <v>58.720000000000006</v>
      </c>
      <c r="G18" s="1" t="s">
        <v>126</v>
      </c>
    </row>
    <row r="20" spans="3:17" x14ac:dyDescent="0.25">
      <c r="C20" t="s">
        <v>127</v>
      </c>
      <c r="E20" t="s">
        <v>128</v>
      </c>
    </row>
    <row r="21" spans="3:17" x14ac:dyDescent="0.25">
      <c r="C21" t="s">
        <v>129</v>
      </c>
      <c r="E21" t="s">
        <v>128</v>
      </c>
    </row>
  </sheetData>
  <pageMargins left="0.11811023622047245" right="0.11811023622047245" top="0.35433070866141736" bottom="0.3543307086614173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04"/>
  <sheetViews>
    <sheetView showGridLines="0" workbookViewId="0">
      <selection activeCell="D18" sqref="D18"/>
    </sheetView>
  </sheetViews>
  <sheetFormatPr defaultRowHeight="15" x14ac:dyDescent="0.25"/>
  <cols>
    <col min="1" max="1" width="4.28515625" style="44" customWidth="1"/>
    <col min="2" max="2" width="46.5703125" style="38" customWidth="1"/>
    <col min="3" max="3" width="20.85546875" style="43" customWidth="1"/>
    <col min="4" max="4" width="12" style="38" customWidth="1"/>
    <col min="5" max="5" width="5.42578125" style="38" customWidth="1"/>
    <col min="6" max="6" width="4.85546875" style="38" customWidth="1"/>
    <col min="7" max="7" width="17.28515625" style="42" hidden="1" customWidth="1"/>
    <col min="8" max="8" width="22.28515625" style="42" hidden="1" customWidth="1"/>
    <col min="9" max="9" width="16.7109375" style="40" customWidth="1"/>
    <col min="10" max="10" width="15.42578125" style="41" customWidth="1"/>
    <col min="11" max="11" width="16.42578125" style="38" customWidth="1"/>
    <col min="12" max="12" width="23.85546875" style="40" customWidth="1"/>
    <col min="13" max="13" width="11" style="39" customWidth="1"/>
    <col min="14" max="14" width="7.42578125" style="39" customWidth="1"/>
    <col min="15" max="16384" width="9.140625" style="38"/>
  </cols>
  <sheetData>
    <row r="1" spans="1:14" ht="21" customHeight="1" x14ac:dyDescent="0.35">
      <c r="A1" s="237" t="s">
        <v>229</v>
      </c>
      <c r="B1" s="237"/>
      <c r="C1" s="237"/>
      <c r="D1" s="237"/>
      <c r="E1" s="237"/>
      <c r="F1" s="237"/>
      <c r="G1" s="237"/>
      <c r="H1" s="237"/>
    </row>
    <row r="3" spans="1:14" s="131" customFormat="1" x14ac:dyDescent="0.25">
      <c r="A3" s="143" t="s">
        <v>228</v>
      </c>
      <c r="B3" s="142" t="s">
        <v>227</v>
      </c>
      <c r="C3" s="142" t="s">
        <v>226</v>
      </c>
      <c r="D3" s="142" t="s">
        <v>225</v>
      </c>
      <c r="E3" s="138" t="s">
        <v>224</v>
      </c>
      <c r="F3" s="142" t="s">
        <v>223</v>
      </c>
      <c r="G3" s="141" t="s">
        <v>222</v>
      </c>
      <c r="H3" s="141" t="s">
        <v>221</v>
      </c>
      <c r="I3" s="138" t="s">
        <v>220</v>
      </c>
      <c r="J3" s="140" t="s">
        <v>219</v>
      </c>
      <c r="K3" s="138" t="s">
        <v>218</v>
      </c>
      <c r="L3" s="138" t="s">
        <v>217</v>
      </c>
      <c r="M3" s="139" t="s">
        <v>216</v>
      </c>
      <c r="N3" s="138" t="s">
        <v>215</v>
      </c>
    </row>
    <row r="4" spans="1:14" s="131" customFormat="1" x14ac:dyDescent="0.25">
      <c r="A4" s="137"/>
      <c r="B4" s="136"/>
      <c r="C4" s="136"/>
      <c r="D4" s="136"/>
      <c r="E4" s="133"/>
      <c r="F4" s="136"/>
      <c r="G4" s="135" t="s">
        <v>214</v>
      </c>
      <c r="H4" s="135" t="s">
        <v>213</v>
      </c>
      <c r="I4" s="133"/>
      <c r="J4" s="134"/>
      <c r="K4" s="133"/>
      <c r="L4" s="133"/>
      <c r="M4" s="132"/>
      <c r="N4" s="132"/>
    </row>
    <row r="5" spans="1:14" s="123" customFormat="1" ht="15" customHeight="1" x14ac:dyDescent="0.2">
      <c r="A5" s="130" t="s">
        <v>212</v>
      </c>
      <c r="B5" s="129" t="s">
        <v>211</v>
      </c>
      <c r="C5" s="113">
        <f>SUM(H6:H36)</f>
        <v>354909795.0666666</v>
      </c>
      <c r="D5" s="128"/>
      <c r="E5" s="125"/>
      <c r="F5" s="128"/>
      <c r="G5" s="127"/>
      <c r="H5" s="126"/>
      <c r="I5" s="125"/>
      <c r="J5" s="124"/>
      <c r="K5" s="105" t="s">
        <v>184</v>
      </c>
      <c r="L5" s="104">
        <f>SUM(L6:L36)</f>
        <v>266182346.30000004</v>
      </c>
      <c r="M5" s="103">
        <v>0.25</v>
      </c>
      <c r="N5" s="102"/>
    </row>
    <row r="6" spans="1:14" s="45" customFormat="1" ht="15" customHeight="1" x14ac:dyDescent="0.2">
      <c r="A6" s="69">
        <v>1</v>
      </c>
      <c r="B6" s="82" t="s">
        <v>183</v>
      </c>
      <c r="C6" s="101"/>
      <c r="D6" s="54"/>
      <c r="E6" s="100">
        <v>5</v>
      </c>
      <c r="F6" s="52" t="s">
        <v>132</v>
      </c>
      <c r="G6" s="63">
        <f t="shared" ref="G6:G36" si="0">H6/E6</f>
        <v>21333333.333333336</v>
      </c>
      <c r="H6" s="63">
        <f t="shared" ref="H6:H36" si="1">L6/(1-$M$5)</f>
        <v>106666666.66666667</v>
      </c>
      <c r="I6" s="62">
        <v>16000000</v>
      </c>
      <c r="J6" s="49">
        <v>0</v>
      </c>
      <c r="K6" s="61">
        <f t="shared" ref="K6:K36" si="2">I6*(1-J6)*M6*N6</f>
        <v>16000000</v>
      </c>
      <c r="L6" s="58">
        <f t="shared" ref="L6:L36" si="3">E6*K6</f>
        <v>80000000</v>
      </c>
      <c r="M6" s="46">
        <v>1</v>
      </c>
      <c r="N6" s="46">
        <v>1</v>
      </c>
    </row>
    <row r="7" spans="1:14" s="45" customFormat="1" ht="15" customHeight="1" x14ac:dyDescent="0.2">
      <c r="A7" s="69">
        <v>2</v>
      </c>
      <c r="B7" s="82" t="s">
        <v>182</v>
      </c>
      <c r="C7" s="101"/>
      <c r="D7" s="54"/>
      <c r="E7" s="100">
        <v>1</v>
      </c>
      <c r="F7" s="52" t="s">
        <v>181</v>
      </c>
      <c r="G7" s="63">
        <f t="shared" si="0"/>
        <v>20000000</v>
      </c>
      <c r="H7" s="63">
        <f t="shared" si="1"/>
        <v>20000000</v>
      </c>
      <c r="I7" s="62">
        <v>15000000</v>
      </c>
      <c r="J7" s="49">
        <v>0</v>
      </c>
      <c r="K7" s="61">
        <f t="shared" si="2"/>
        <v>15000000</v>
      </c>
      <c r="L7" s="58">
        <f t="shared" si="3"/>
        <v>15000000</v>
      </c>
      <c r="M7" s="46">
        <v>1</v>
      </c>
      <c r="N7" s="46">
        <v>1</v>
      </c>
    </row>
    <row r="8" spans="1:14" s="45" customFormat="1" ht="15" customHeight="1" x14ac:dyDescent="0.2">
      <c r="A8" s="69">
        <v>3</v>
      </c>
      <c r="B8" s="99" t="s">
        <v>180</v>
      </c>
      <c r="C8" s="98"/>
      <c r="D8" s="97"/>
      <c r="E8" s="96">
        <v>0</v>
      </c>
      <c r="F8" s="64" t="s">
        <v>132</v>
      </c>
      <c r="G8" s="63" t="e">
        <f t="shared" si="0"/>
        <v>#DIV/0!</v>
      </c>
      <c r="H8" s="63">
        <f t="shared" si="1"/>
        <v>0</v>
      </c>
      <c r="I8" s="62"/>
      <c r="J8" s="49">
        <v>0</v>
      </c>
      <c r="K8" s="61">
        <f t="shared" si="2"/>
        <v>0</v>
      </c>
      <c r="L8" s="58">
        <f t="shared" si="3"/>
        <v>0</v>
      </c>
      <c r="M8" s="46">
        <v>1</v>
      </c>
      <c r="N8" s="46">
        <v>1</v>
      </c>
    </row>
    <row r="9" spans="1:14" s="45" customFormat="1" ht="15" customHeight="1" x14ac:dyDescent="0.2">
      <c r="A9" s="69">
        <v>4</v>
      </c>
      <c r="B9" s="99" t="s">
        <v>179</v>
      </c>
      <c r="C9" s="98"/>
      <c r="D9" s="97"/>
      <c r="E9" s="96">
        <v>0</v>
      </c>
      <c r="F9" s="64" t="s">
        <v>132</v>
      </c>
      <c r="G9" s="63" t="e">
        <f t="shared" si="0"/>
        <v>#DIV/0!</v>
      </c>
      <c r="H9" s="63">
        <f t="shared" si="1"/>
        <v>0</v>
      </c>
      <c r="I9" s="62"/>
      <c r="J9" s="49">
        <v>0</v>
      </c>
      <c r="K9" s="61">
        <f t="shared" si="2"/>
        <v>0</v>
      </c>
      <c r="L9" s="58">
        <f t="shared" si="3"/>
        <v>0</v>
      </c>
      <c r="M9" s="46">
        <v>1</v>
      </c>
      <c r="N9" s="46">
        <v>1</v>
      </c>
    </row>
    <row r="10" spans="1:14" s="45" customFormat="1" ht="15" customHeight="1" x14ac:dyDescent="0.2">
      <c r="A10" s="69">
        <v>5</v>
      </c>
      <c r="B10" s="99" t="s">
        <v>178</v>
      </c>
      <c r="C10" s="98"/>
      <c r="D10" s="97"/>
      <c r="E10" s="96">
        <v>0</v>
      </c>
      <c r="F10" s="64" t="s">
        <v>132</v>
      </c>
      <c r="G10" s="63" t="e">
        <f t="shared" si="0"/>
        <v>#DIV/0!</v>
      </c>
      <c r="H10" s="63">
        <f t="shared" si="1"/>
        <v>0</v>
      </c>
      <c r="I10" s="62"/>
      <c r="J10" s="49">
        <v>0</v>
      </c>
      <c r="K10" s="61">
        <f t="shared" si="2"/>
        <v>0</v>
      </c>
      <c r="L10" s="58">
        <f t="shared" si="3"/>
        <v>0</v>
      </c>
      <c r="M10" s="46">
        <v>1</v>
      </c>
      <c r="N10" s="46">
        <v>1</v>
      </c>
    </row>
    <row r="11" spans="1:14" s="45" customFormat="1" ht="15" customHeight="1" x14ac:dyDescent="0.2">
      <c r="A11" s="69">
        <v>6</v>
      </c>
      <c r="B11" s="99" t="s">
        <v>177</v>
      </c>
      <c r="C11" s="98"/>
      <c r="D11" s="97"/>
      <c r="E11" s="96">
        <v>0</v>
      </c>
      <c r="F11" s="64" t="s">
        <v>132</v>
      </c>
      <c r="G11" s="63" t="e">
        <f t="shared" si="0"/>
        <v>#DIV/0!</v>
      </c>
      <c r="H11" s="63">
        <f t="shared" si="1"/>
        <v>0</v>
      </c>
      <c r="I11" s="62"/>
      <c r="J11" s="49">
        <v>0</v>
      </c>
      <c r="K11" s="61">
        <f t="shared" si="2"/>
        <v>0</v>
      </c>
      <c r="L11" s="58">
        <f t="shared" si="3"/>
        <v>0</v>
      </c>
      <c r="M11" s="46">
        <v>1</v>
      </c>
      <c r="N11" s="46">
        <v>1</v>
      </c>
    </row>
    <row r="12" spans="1:14" s="45" customFormat="1" ht="15" customHeight="1" x14ac:dyDescent="0.2">
      <c r="A12" s="69">
        <v>7</v>
      </c>
      <c r="B12" s="95" t="s">
        <v>176</v>
      </c>
      <c r="C12" s="87">
        <v>31110</v>
      </c>
      <c r="D12" s="76" t="s">
        <v>133</v>
      </c>
      <c r="E12" s="75">
        <v>1</v>
      </c>
      <c r="F12" s="74" t="s">
        <v>132</v>
      </c>
      <c r="G12" s="63">
        <f t="shared" si="0"/>
        <v>2599776</v>
      </c>
      <c r="H12" s="63">
        <f t="shared" si="1"/>
        <v>2599776</v>
      </c>
      <c r="I12" s="62">
        <v>2040000</v>
      </c>
      <c r="J12" s="49">
        <v>0.19</v>
      </c>
      <c r="K12" s="61">
        <f t="shared" si="2"/>
        <v>1949832</v>
      </c>
      <c r="L12" s="58">
        <f t="shared" si="3"/>
        <v>1949832</v>
      </c>
      <c r="M12" s="46">
        <v>1.18</v>
      </c>
      <c r="N12" s="46">
        <v>1</v>
      </c>
    </row>
    <row r="13" spans="1:14" s="45" customFormat="1" ht="15" customHeight="1" x14ac:dyDescent="0.2">
      <c r="A13" s="69">
        <v>8</v>
      </c>
      <c r="B13" s="95" t="s">
        <v>210</v>
      </c>
      <c r="C13" s="87" t="s">
        <v>209</v>
      </c>
      <c r="D13" s="76" t="s">
        <v>133</v>
      </c>
      <c r="E13" s="75">
        <v>3</v>
      </c>
      <c r="F13" s="74" t="s">
        <v>132</v>
      </c>
      <c r="G13" s="63">
        <f t="shared" si="0"/>
        <v>4111214.399999999</v>
      </c>
      <c r="H13" s="63">
        <f t="shared" si="1"/>
        <v>12333643.199999997</v>
      </c>
      <c r="I13" s="62">
        <v>3226000</v>
      </c>
      <c r="J13" s="49">
        <v>0.19</v>
      </c>
      <c r="K13" s="61">
        <f t="shared" si="2"/>
        <v>3083410.8</v>
      </c>
      <c r="L13" s="58">
        <f t="shared" si="3"/>
        <v>9250232.3999999985</v>
      </c>
      <c r="M13" s="46">
        <v>1.18</v>
      </c>
      <c r="N13" s="46">
        <v>1</v>
      </c>
    </row>
    <row r="14" spans="1:14" s="45" customFormat="1" ht="15" customHeight="1" x14ac:dyDescent="0.2">
      <c r="A14" s="69">
        <v>9</v>
      </c>
      <c r="B14" s="89" t="s">
        <v>200</v>
      </c>
      <c r="C14" s="87">
        <v>28101</v>
      </c>
      <c r="D14" s="76" t="s">
        <v>133</v>
      </c>
      <c r="E14" s="75">
        <v>3</v>
      </c>
      <c r="F14" s="74" t="s">
        <v>132</v>
      </c>
      <c r="G14" s="63">
        <f t="shared" si="0"/>
        <v>1982966.3999999997</v>
      </c>
      <c r="H14" s="63">
        <f t="shared" si="1"/>
        <v>5948899.1999999993</v>
      </c>
      <c r="I14" s="62">
        <v>1556000</v>
      </c>
      <c r="J14" s="49">
        <v>0.19</v>
      </c>
      <c r="K14" s="61">
        <f t="shared" si="2"/>
        <v>1487224.7999999998</v>
      </c>
      <c r="L14" s="58">
        <f t="shared" si="3"/>
        <v>4461674.3999999994</v>
      </c>
      <c r="M14" s="46">
        <v>1.18</v>
      </c>
      <c r="N14" s="46">
        <v>1</v>
      </c>
    </row>
    <row r="15" spans="1:14" s="45" customFormat="1" ht="15" customHeight="1" x14ac:dyDescent="0.2">
      <c r="A15" s="69">
        <v>10</v>
      </c>
      <c r="B15" s="88" t="s">
        <v>199</v>
      </c>
      <c r="C15" s="91" t="s">
        <v>198</v>
      </c>
      <c r="D15" s="76" t="s">
        <v>133</v>
      </c>
      <c r="E15" s="75">
        <v>3</v>
      </c>
      <c r="F15" s="74" t="s">
        <v>132</v>
      </c>
      <c r="G15" s="63">
        <f t="shared" si="0"/>
        <v>1889298</v>
      </c>
      <c r="H15" s="63">
        <f t="shared" si="1"/>
        <v>5667894</v>
      </c>
      <c r="I15" s="62">
        <v>1482500</v>
      </c>
      <c r="J15" s="49">
        <v>0.19</v>
      </c>
      <c r="K15" s="61">
        <f t="shared" si="2"/>
        <v>1416973.5</v>
      </c>
      <c r="L15" s="58">
        <f t="shared" si="3"/>
        <v>4250920.5</v>
      </c>
      <c r="M15" s="46">
        <v>1.18</v>
      </c>
      <c r="N15" s="46">
        <v>1</v>
      </c>
    </row>
    <row r="16" spans="1:14" s="45" customFormat="1" ht="15" customHeight="1" x14ac:dyDescent="0.2">
      <c r="A16" s="69">
        <v>11</v>
      </c>
      <c r="B16" s="93" t="s">
        <v>197</v>
      </c>
      <c r="C16" s="92" t="s">
        <v>196</v>
      </c>
      <c r="D16" s="76" t="s">
        <v>133</v>
      </c>
      <c r="E16" s="75">
        <v>3</v>
      </c>
      <c r="F16" s="74" t="s">
        <v>132</v>
      </c>
      <c r="G16" s="63">
        <f t="shared" si="0"/>
        <v>15416416.799999999</v>
      </c>
      <c r="H16" s="63">
        <f t="shared" si="1"/>
        <v>46249250.399999999</v>
      </c>
      <c r="I16" s="62">
        <v>12097000</v>
      </c>
      <c r="J16" s="49">
        <v>0.19</v>
      </c>
      <c r="K16" s="61">
        <f t="shared" si="2"/>
        <v>11562312.6</v>
      </c>
      <c r="L16" s="58">
        <f t="shared" si="3"/>
        <v>34686937.799999997</v>
      </c>
      <c r="M16" s="46">
        <v>1.18</v>
      </c>
      <c r="N16" s="46">
        <v>1</v>
      </c>
    </row>
    <row r="17" spans="1:14" s="45" customFormat="1" ht="15" customHeight="1" x14ac:dyDescent="0.2">
      <c r="A17" s="69">
        <v>12</v>
      </c>
      <c r="B17" s="89" t="s">
        <v>175</v>
      </c>
      <c r="C17" s="87">
        <v>28103</v>
      </c>
      <c r="D17" s="76" t="s">
        <v>133</v>
      </c>
      <c r="E17" s="75">
        <v>8</v>
      </c>
      <c r="F17" s="74" t="s">
        <v>132</v>
      </c>
      <c r="G17" s="63">
        <f t="shared" si="0"/>
        <v>1714068</v>
      </c>
      <c r="H17" s="63">
        <f t="shared" si="1"/>
        <v>13712544</v>
      </c>
      <c r="I17" s="62">
        <v>1345000</v>
      </c>
      <c r="J17" s="49">
        <v>0.19</v>
      </c>
      <c r="K17" s="61">
        <f t="shared" si="2"/>
        <v>1285551</v>
      </c>
      <c r="L17" s="58">
        <f t="shared" si="3"/>
        <v>10284408</v>
      </c>
      <c r="M17" s="46">
        <v>1.18</v>
      </c>
      <c r="N17" s="46">
        <v>1</v>
      </c>
    </row>
    <row r="18" spans="1:14" s="45" customFormat="1" ht="15" customHeight="1" x14ac:dyDescent="0.2">
      <c r="A18" s="69">
        <v>13</v>
      </c>
      <c r="B18" s="88" t="s">
        <v>174</v>
      </c>
      <c r="C18" s="91" t="s">
        <v>173</v>
      </c>
      <c r="D18" s="76" t="s">
        <v>133</v>
      </c>
      <c r="E18" s="75">
        <v>8</v>
      </c>
      <c r="F18" s="74" t="s">
        <v>132</v>
      </c>
      <c r="G18" s="63">
        <f t="shared" si="0"/>
        <v>1225335.5999999999</v>
      </c>
      <c r="H18" s="63">
        <f t="shared" si="1"/>
        <v>9802684.7999999989</v>
      </c>
      <c r="I18" s="94">
        <v>961500</v>
      </c>
      <c r="J18" s="49">
        <v>0.19</v>
      </c>
      <c r="K18" s="61">
        <f t="shared" si="2"/>
        <v>919001.7</v>
      </c>
      <c r="L18" s="58">
        <f t="shared" si="3"/>
        <v>7352013.5999999996</v>
      </c>
      <c r="M18" s="46">
        <v>1.18</v>
      </c>
      <c r="N18" s="46">
        <v>1</v>
      </c>
    </row>
    <row r="19" spans="1:14" s="45" customFormat="1" ht="15" customHeight="1" x14ac:dyDescent="0.2">
      <c r="A19" s="69">
        <v>14</v>
      </c>
      <c r="B19" s="93" t="s">
        <v>172</v>
      </c>
      <c r="C19" s="92" t="s">
        <v>208</v>
      </c>
      <c r="D19" s="76" t="s">
        <v>133</v>
      </c>
      <c r="E19" s="75">
        <v>8</v>
      </c>
      <c r="F19" s="74" t="s">
        <v>132</v>
      </c>
      <c r="G19" s="63">
        <f t="shared" si="0"/>
        <v>8105184</v>
      </c>
      <c r="H19" s="63">
        <f t="shared" si="1"/>
        <v>64841472</v>
      </c>
      <c r="I19" s="62">
        <v>6360000</v>
      </c>
      <c r="J19" s="49">
        <v>0.19</v>
      </c>
      <c r="K19" s="61">
        <f t="shared" si="2"/>
        <v>6078888</v>
      </c>
      <c r="L19" s="58">
        <f t="shared" si="3"/>
        <v>48631104</v>
      </c>
      <c r="M19" s="46">
        <v>1.18</v>
      </c>
      <c r="N19" s="46">
        <v>1</v>
      </c>
    </row>
    <row r="20" spans="1:14" s="45" customFormat="1" ht="15" customHeight="1" x14ac:dyDescent="0.2">
      <c r="A20" s="69">
        <v>15</v>
      </c>
      <c r="B20" s="88" t="s">
        <v>158</v>
      </c>
      <c r="C20" s="87">
        <v>29450</v>
      </c>
      <c r="D20" s="76" t="s">
        <v>133</v>
      </c>
      <c r="E20" s="75">
        <v>11</v>
      </c>
      <c r="F20" s="74" t="s">
        <v>132</v>
      </c>
      <c r="G20" s="63">
        <f t="shared" si="0"/>
        <v>361292.40000000008</v>
      </c>
      <c r="H20" s="63">
        <f t="shared" si="1"/>
        <v>3974216.4000000008</v>
      </c>
      <c r="I20" s="62">
        <v>283500</v>
      </c>
      <c r="J20" s="49">
        <v>0.19</v>
      </c>
      <c r="K20" s="61">
        <f t="shared" si="2"/>
        <v>270969.30000000005</v>
      </c>
      <c r="L20" s="58">
        <f t="shared" si="3"/>
        <v>2980662.3000000007</v>
      </c>
      <c r="M20" s="46">
        <v>1.18</v>
      </c>
      <c r="N20" s="46">
        <v>1</v>
      </c>
    </row>
    <row r="21" spans="1:14" s="45" customFormat="1" ht="15" customHeight="1" x14ac:dyDescent="0.2">
      <c r="A21" s="69">
        <v>16</v>
      </c>
      <c r="B21" s="89" t="s">
        <v>207</v>
      </c>
      <c r="C21" s="87">
        <v>18800</v>
      </c>
      <c r="D21" s="76" t="s">
        <v>133</v>
      </c>
      <c r="E21" s="75">
        <v>18</v>
      </c>
      <c r="F21" s="74" t="s">
        <v>132</v>
      </c>
      <c r="G21" s="63">
        <f t="shared" si="0"/>
        <v>1976594.3999999997</v>
      </c>
      <c r="H21" s="63">
        <f t="shared" si="1"/>
        <v>35578699.199999996</v>
      </c>
      <c r="I21" s="62">
        <v>1551000</v>
      </c>
      <c r="J21" s="49">
        <v>0.19</v>
      </c>
      <c r="K21" s="61">
        <f t="shared" si="2"/>
        <v>1482445.7999999998</v>
      </c>
      <c r="L21" s="58">
        <f t="shared" si="3"/>
        <v>26684024.399999999</v>
      </c>
      <c r="M21" s="46">
        <v>1.18</v>
      </c>
      <c r="N21" s="46">
        <v>1</v>
      </c>
    </row>
    <row r="22" spans="1:14" s="45" customFormat="1" ht="15" customHeight="1" x14ac:dyDescent="0.2">
      <c r="A22" s="69">
        <v>17</v>
      </c>
      <c r="B22" s="89" t="s">
        <v>206</v>
      </c>
      <c r="C22" s="87">
        <v>18803</v>
      </c>
      <c r="D22" s="76" t="s">
        <v>133</v>
      </c>
      <c r="E22" s="75">
        <v>4</v>
      </c>
      <c r="F22" s="74" t="s">
        <v>132</v>
      </c>
      <c r="G22" s="63">
        <f t="shared" si="0"/>
        <v>1851066</v>
      </c>
      <c r="H22" s="63">
        <f t="shared" si="1"/>
        <v>7404264</v>
      </c>
      <c r="I22" s="62">
        <v>1452500</v>
      </c>
      <c r="J22" s="49">
        <v>0.19</v>
      </c>
      <c r="K22" s="61">
        <f t="shared" si="2"/>
        <v>1388299.5</v>
      </c>
      <c r="L22" s="58">
        <f t="shared" si="3"/>
        <v>5553198</v>
      </c>
      <c r="M22" s="46">
        <v>1.18</v>
      </c>
      <c r="N22" s="46">
        <v>1</v>
      </c>
    </row>
    <row r="23" spans="1:14" s="45" customFormat="1" ht="15" customHeight="1" x14ac:dyDescent="0.2">
      <c r="A23" s="69">
        <v>18</v>
      </c>
      <c r="B23" s="89" t="s">
        <v>205</v>
      </c>
      <c r="C23" s="87">
        <v>18806</v>
      </c>
      <c r="D23" s="76" t="s">
        <v>133</v>
      </c>
      <c r="E23" s="75">
        <v>2</v>
      </c>
      <c r="F23" s="74" t="s">
        <v>132</v>
      </c>
      <c r="G23" s="63">
        <f t="shared" si="0"/>
        <v>1931990.3999999997</v>
      </c>
      <c r="H23" s="63">
        <f t="shared" si="1"/>
        <v>3863980.7999999993</v>
      </c>
      <c r="I23" s="62">
        <v>1516000</v>
      </c>
      <c r="J23" s="49">
        <v>0.19</v>
      </c>
      <c r="K23" s="61">
        <f t="shared" si="2"/>
        <v>1448992.7999999998</v>
      </c>
      <c r="L23" s="58">
        <f t="shared" si="3"/>
        <v>2897985.5999999996</v>
      </c>
      <c r="M23" s="46">
        <v>1.18</v>
      </c>
      <c r="N23" s="46">
        <v>1</v>
      </c>
    </row>
    <row r="24" spans="1:14" s="45" customFormat="1" ht="15" customHeight="1" x14ac:dyDescent="0.2">
      <c r="A24" s="69">
        <v>19</v>
      </c>
      <c r="B24" s="122" t="s">
        <v>204</v>
      </c>
      <c r="C24" s="121"/>
      <c r="D24" s="120" t="s">
        <v>203</v>
      </c>
      <c r="E24" s="119">
        <v>1</v>
      </c>
      <c r="F24" s="118" t="s">
        <v>132</v>
      </c>
      <c r="G24" s="63">
        <f t="shared" si="0"/>
        <v>4460400</v>
      </c>
      <c r="H24" s="63">
        <f t="shared" si="1"/>
        <v>4460400</v>
      </c>
      <c r="I24" s="62">
        <v>3500000</v>
      </c>
      <c r="J24" s="49">
        <v>0.19</v>
      </c>
      <c r="K24" s="61">
        <f t="shared" si="2"/>
        <v>3345300</v>
      </c>
      <c r="L24" s="58">
        <f t="shared" si="3"/>
        <v>3345300</v>
      </c>
      <c r="M24" s="46">
        <v>1.18</v>
      </c>
      <c r="N24" s="46">
        <v>1</v>
      </c>
    </row>
    <row r="25" spans="1:14" s="45" customFormat="1" ht="15" customHeight="1" x14ac:dyDescent="0.2">
      <c r="A25" s="69">
        <v>20</v>
      </c>
      <c r="B25" s="86" t="s">
        <v>157</v>
      </c>
      <c r="C25" s="85" t="s">
        <v>156</v>
      </c>
      <c r="D25" s="76" t="s">
        <v>133</v>
      </c>
      <c r="E25" s="75">
        <v>1</v>
      </c>
      <c r="F25" s="74" t="s">
        <v>132</v>
      </c>
      <c r="G25" s="63">
        <f t="shared" si="0"/>
        <v>184150.80000000002</v>
      </c>
      <c r="H25" s="63">
        <f t="shared" si="1"/>
        <v>184150.80000000002</v>
      </c>
      <c r="I25" s="62">
        <v>144500</v>
      </c>
      <c r="J25" s="49">
        <v>0.19</v>
      </c>
      <c r="K25" s="61">
        <f t="shared" si="2"/>
        <v>138113.1</v>
      </c>
      <c r="L25" s="58">
        <f t="shared" si="3"/>
        <v>138113.1</v>
      </c>
      <c r="M25" s="46">
        <v>1.18</v>
      </c>
      <c r="N25" s="46">
        <v>1</v>
      </c>
    </row>
    <row r="26" spans="1:14" s="45" customFormat="1" ht="15" customHeight="1" x14ac:dyDescent="0.2">
      <c r="A26" s="69">
        <v>21</v>
      </c>
      <c r="B26" s="84" t="s">
        <v>155</v>
      </c>
      <c r="C26" s="83" t="s">
        <v>154</v>
      </c>
      <c r="D26" s="76" t="s">
        <v>133</v>
      </c>
      <c r="E26" s="75">
        <v>1</v>
      </c>
      <c r="F26" s="74" t="s">
        <v>132</v>
      </c>
      <c r="G26" s="63">
        <f t="shared" si="0"/>
        <v>111510</v>
      </c>
      <c r="H26" s="63">
        <f t="shared" si="1"/>
        <v>111510</v>
      </c>
      <c r="I26" s="62">
        <v>87500</v>
      </c>
      <c r="J26" s="49">
        <v>0.19</v>
      </c>
      <c r="K26" s="61">
        <f t="shared" si="2"/>
        <v>83632.5</v>
      </c>
      <c r="L26" s="58">
        <f t="shared" si="3"/>
        <v>83632.5</v>
      </c>
      <c r="M26" s="46">
        <v>1.18</v>
      </c>
      <c r="N26" s="46">
        <v>1</v>
      </c>
    </row>
    <row r="27" spans="1:14" s="45" customFormat="1" ht="15" customHeight="1" x14ac:dyDescent="0.2">
      <c r="A27" s="69">
        <v>22</v>
      </c>
      <c r="B27" s="84" t="s">
        <v>153</v>
      </c>
      <c r="C27" s="83" t="s">
        <v>152</v>
      </c>
      <c r="D27" s="76" t="s">
        <v>133</v>
      </c>
      <c r="E27" s="75">
        <v>1</v>
      </c>
      <c r="F27" s="74" t="s">
        <v>132</v>
      </c>
      <c r="G27" s="63">
        <f t="shared" si="0"/>
        <v>111510</v>
      </c>
      <c r="H27" s="63">
        <f t="shared" si="1"/>
        <v>111510</v>
      </c>
      <c r="I27" s="62">
        <v>87500</v>
      </c>
      <c r="J27" s="49">
        <v>0.19</v>
      </c>
      <c r="K27" s="61">
        <f t="shared" si="2"/>
        <v>83632.5</v>
      </c>
      <c r="L27" s="58">
        <f t="shared" si="3"/>
        <v>83632.5</v>
      </c>
      <c r="M27" s="46">
        <v>1.18</v>
      </c>
      <c r="N27" s="46">
        <v>1</v>
      </c>
    </row>
    <row r="28" spans="1:14" s="45" customFormat="1" ht="15" customHeight="1" x14ac:dyDescent="0.2">
      <c r="A28" s="69">
        <v>23</v>
      </c>
      <c r="B28" s="84" t="s">
        <v>151</v>
      </c>
      <c r="C28" s="83" t="s">
        <v>150</v>
      </c>
      <c r="D28" s="76" t="s">
        <v>133</v>
      </c>
      <c r="E28" s="75">
        <v>1</v>
      </c>
      <c r="F28" s="74" t="s">
        <v>132</v>
      </c>
      <c r="G28" s="63">
        <f t="shared" si="0"/>
        <v>111510</v>
      </c>
      <c r="H28" s="63">
        <f t="shared" si="1"/>
        <v>111510</v>
      </c>
      <c r="I28" s="62">
        <v>87500</v>
      </c>
      <c r="J28" s="49">
        <v>0.19</v>
      </c>
      <c r="K28" s="61">
        <f t="shared" si="2"/>
        <v>83632.5</v>
      </c>
      <c r="L28" s="58">
        <f t="shared" si="3"/>
        <v>83632.5</v>
      </c>
      <c r="M28" s="46">
        <v>1.18</v>
      </c>
      <c r="N28" s="46">
        <v>1</v>
      </c>
    </row>
    <row r="29" spans="1:14" s="45" customFormat="1" ht="15" customHeight="1" x14ac:dyDescent="0.2">
      <c r="A29" s="69">
        <v>24</v>
      </c>
      <c r="B29" s="72" t="s">
        <v>149</v>
      </c>
      <c r="C29" s="81" t="s">
        <v>148</v>
      </c>
      <c r="D29" s="76" t="s">
        <v>133</v>
      </c>
      <c r="E29" s="75">
        <v>11</v>
      </c>
      <c r="F29" s="74" t="s">
        <v>132</v>
      </c>
      <c r="G29" s="63">
        <f t="shared" si="0"/>
        <v>250419.59999999998</v>
      </c>
      <c r="H29" s="63">
        <f t="shared" si="1"/>
        <v>2754615.5999999996</v>
      </c>
      <c r="I29" s="62">
        <v>196500</v>
      </c>
      <c r="J29" s="49">
        <v>0.19</v>
      </c>
      <c r="K29" s="61">
        <f t="shared" si="2"/>
        <v>187814.69999999998</v>
      </c>
      <c r="L29" s="58">
        <f t="shared" si="3"/>
        <v>2065961.6999999997</v>
      </c>
      <c r="M29" s="46">
        <v>1.18</v>
      </c>
      <c r="N29" s="46">
        <v>1</v>
      </c>
    </row>
    <row r="30" spans="1:14" s="45" customFormat="1" ht="15" customHeight="1" x14ac:dyDescent="0.2">
      <c r="A30" s="69">
        <v>25</v>
      </c>
      <c r="B30" s="82" t="s">
        <v>147</v>
      </c>
      <c r="C30" s="81" t="s">
        <v>146</v>
      </c>
      <c r="D30" s="76" t="s">
        <v>133</v>
      </c>
      <c r="E30" s="75">
        <v>11</v>
      </c>
      <c r="F30" s="74" t="s">
        <v>132</v>
      </c>
      <c r="G30" s="63">
        <f t="shared" si="0"/>
        <v>82198.799999999988</v>
      </c>
      <c r="H30" s="63">
        <f t="shared" si="1"/>
        <v>904186.79999999993</v>
      </c>
      <c r="I30" s="62">
        <v>64500</v>
      </c>
      <c r="J30" s="49">
        <v>0.19</v>
      </c>
      <c r="K30" s="61">
        <f t="shared" si="2"/>
        <v>61649.1</v>
      </c>
      <c r="L30" s="58">
        <f t="shared" si="3"/>
        <v>678140.1</v>
      </c>
      <c r="M30" s="46">
        <v>1.18</v>
      </c>
      <c r="N30" s="46">
        <v>1</v>
      </c>
    </row>
    <row r="31" spans="1:14" s="45" customFormat="1" ht="15" customHeight="1" x14ac:dyDescent="0.2">
      <c r="A31" s="69">
        <v>26</v>
      </c>
      <c r="B31" s="82" t="s">
        <v>145</v>
      </c>
      <c r="C31" s="81" t="s">
        <v>144</v>
      </c>
      <c r="D31" s="76" t="s">
        <v>133</v>
      </c>
      <c r="E31" s="75">
        <v>11</v>
      </c>
      <c r="F31" s="74" t="s">
        <v>132</v>
      </c>
      <c r="G31" s="63">
        <f t="shared" si="0"/>
        <v>82198.799999999988</v>
      </c>
      <c r="H31" s="63">
        <f t="shared" si="1"/>
        <v>904186.79999999993</v>
      </c>
      <c r="I31" s="62">
        <v>64500</v>
      </c>
      <c r="J31" s="49">
        <v>0.19</v>
      </c>
      <c r="K31" s="61">
        <f t="shared" si="2"/>
        <v>61649.1</v>
      </c>
      <c r="L31" s="58">
        <f t="shared" si="3"/>
        <v>678140.1</v>
      </c>
      <c r="M31" s="46">
        <v>1.18</v>
      </c>
      <c r="N31" s="46">
        <v>1</v>
      </c>
    </row>
    <row r="32" spans="1:14" s="45" customFormat="1" ht="15" customHeight="1" x14ac:dyDescent="0.2">
      <c r="A32" s="69">
        <v>27</v>
      </c>
      <c r="B32" s="82" t="s">
        <v>143</v>
      </c>
      <c r="C32" s="81" t="s">
        <v>142</v>
      </c>
      <c r="D32" s="76" t="s">
        <v>133</v>
      </c>
      <c r="E32" s="75">
        <v>11</v>
      </c>
      <c r="F32" s="74" t="s">
        <v>132</v>
      </c>
      <c r="G32" s="63">
        <f t="shared" si="0"/>
        <v>128714.39999999997</v>
      </c>
      <c r="H32" s="63">
        <f t="shared" si="1"/>
        <v>1415858.3999999997</v>
      </c>
      <c r="I32" s="62">
        <v>101000</v>
      </c>
      <c r="J32" s="49">
        <v>0.19</v>
      </c>
      <c r="K32" s="61">
        <f t="shared" si="2"/>
        <v>96535.799999999988</v>
      </c>
      <c r="L32" s="58">
        <f t="shared" si="3"/>
        <v>1061893.7999999998</v>
      </c>
      <c r="M32" s="46">
        <v>1.18</v>
      </c>
      <c r="N32" s="46">
        <v>1</v>
      </c>
    </row>
    <row r="33" spans="1:14" s="45" customFormat="1" ht="15" customHeight="1" x14ac:dyDescent="0.2">
      <c r="A33" s="69">
        <v>28</v>
      </c>
      <c r="B33" s="80" t="s">
        <v>141</v>
      </c>
      <c r="C33" s="79" t="s">
        <v>140</v>
      </c>
      <c r="D33" s="76" t="s">
        <v>133</v>
      </c>
      <c r="E33" s="75">
        <v>11</v>
      </c>
      <c r="F33" s="74" t="s">
        <v>132</v>
      </c>
      <c r="G33" s="63">
        <f t="shared" si="0"/>
        <v>45878.400000000009</v>
      </c>
      <c r="H33" s="63">
        <f t="shared" si="1"/>
        <v>504662.40000000008</v>
      </c>
      <c r="I33" s="62">
        <v>36000</v>
      </c>
      <c r="J33" s="49">
        <v>0.19</v>
      </c>
      <c r="K33" s="61">
        <f t="shared" si="2"/>
        <v>34408.800000000003</v>
      </c>
      <c r="L33" s="58">
        <f t="shared" si="3"/>
        <v>378496.80000000005</v>
      </c>
      <c r="M33" s="46">
        <v>1.18</v>
      </c>
      <c r="N33" s="46">
        <v>1</v>
      </c>
    </row>
    <row r="34" spans="1:14" s="45" customFormat="1" ht="15" customHeight="1" x14ac:dyDescent="0.2">
      <c r="A34" s="69">
        <v>29</v>
      </c>
      <c r="B34" s="78" t="s">
        <v>139</v>
      </c>
      <c r="C34" s="77" t="s">
        <v>138</v>
      </c>
      <c r="D34" s="76" t="s">
        <v>133</v>
      </c>
      <c r="E34" s="75">
        <v>11</v>
      </c>
      <c r="F34" s="74" t="s">
        <v>132</v>
      </c>
      <c r="G34" s="63">
        <f t="shared" si="0"/>
        <v>26762.399999999998</v>
      </c>
      <c r="H34" s="63">
        <f t="shared" si="1"/>
        <v>294386.39999999997</v>
      </c>
      <c r="I34" s="62">
        <v>21000</v>
      </c>
      <c r="J34" s="49">
        <v>0.19</v>
      </c>
      <c r="K34" s="61">
        <f t="shared" si="2"/>
        <v>20071.8</v>
      </c>
      <c r="L34" s="58">
        <f t="shared" si="3"/>
        <v>220789.8</v>
      </c>
      <c r="M34" s="46">
        <v>1.18</v>
      </c>
      <c r="N34" s="46">
        <v>1</v>
      </c>
    </row>
    <row r="35" spans="1:14" s="45" customFormat="1" ht="15" customHeight="1" x14ac:dyDescent="0.2">
      <c r="A35" s="69">
        <v>30</v>
      </c>
      <c r="B35" s="72" t="s">
        <v>137</v>
      </c>
      <c r="C35" s="71" t="s">
        <v>136</v>
      </c>
      <c r="D35" s="70" t="s">
        <v>133</v>
      </c>
      <c r="E35" s="53">
        <v>1</v>
      </c>
      <c r="F35" s="52" t="s">
        <v>132</v>
      </c>
      <c r="G35" s="63">
        <f t="shared" si="0"/>
        <v>1691128.7999999998</v>
      </c>
      <c r="H35" s="63">
        <f t="shared" si="1"/>
        <v>1691128.7999999998</v>
      </c>
      <c r="I35" s="62">
        <v>1327000</v>
      </c>
      <c r="J35" s="49">
        <v>0.19</v>
      </c>
      <c r="K35" s="61">
        <f t="shared" si="2"/>
        <v>1268346.5999999999</v>
      </c>
      <c r="L35" s="58">
        <f t="shared" si="3"/>
        <v>1268346.5999999999</v>
      </c>
      <c r="M35" s="46">
        <v>1.18</v>
      </c>
      <c r="N35" s="46">
        <v>1</v>
      </c>
    </row>
    <row r="36" spans="1:14" s="45" customFormat="1" ht="15" customHeight="1" x14ac:dyDescent="0.2">
      <c r="A36" s="69">
        <v>31</v>
      </c>
      <c r="B36" s="68" t="s">
        <v>135</v>
      </c>
      <c r="C36" s="67" t="s">
        <v>134</v>
      </c>
      <c r="D36" s="66" t="s">
        <v>133</v>
      </c>
      <c r="E36" s="65">
        <v>11</v>
      </c>
      <c r="F36" s="64" t="s">
        <v>132</v>
      </c>
      <c r="G36" s="63">
        <f t="shared" si="0"/>
        <v>256154.4</v>
      </c>
      <c r="H36" s="63">
        <f t="shared" si="1"/>
        <v>2817698.4</v>
      </c>
      <c r="I36" s="62">
        <v>201000</v>
      </c>
      <c r="J36" s="49">
        <v>0.19</v>
      </c>
      <c r="K36" s="61">
        <f t="shared" si="2"/>
        <v>192115.8</v>
      </c>
      <c r="L36" s="58">
        <f t="shared" si="3"/>
        <v>2113273.7999999998</v>
      </c>
      <c r="M36" s="46">
        <v>1.18</v>
      </c>
      <c r="N36" s="46">
        <v>1</v>
      </c>
    </row>
    <row r="37" spans="1:14" s="45" customFormat="1" ht="15" customHeight="1" x14ac:dyDescent="0.25">
      <c r="A37" s="73"/>
      <c r="B37" s="72"/>
      <c r="C37" s="59"/>
      <c r="D37" s="54"/>
      <c r="E37" s="53"/>
      <c r="F37" s="52"/>
      <c r="G37" s="63"/>
      <c r="H37" s="63"/>
      <c r="I37" s="117"/>
      <c r="J37" s="49"/>
      <c r="K37" s="61"/>
      <c r="L37" s="58"/>
      <c r="M37" s="46"/>
      <c r="N37" s="46"/>
    </row>
    <row r="38" spans="1:14" s="45" customFormat="1" ht="15" customHeight="1" x14ac:dyDescent="0.25">
      <c r="A38" s="112" t="s">
        <v>202</v>
      </c>
      <c r="B38" s="114" t="s">
        <v>201</v>
      </c>
      <c r="C38" s="113">
        <f>SUM(H39:H66)</f>
        <v>730069011.33333302</v>
      </c>
      <c r="D38" s="112"/>
      <c r="E38" s="111"/>
      <c r="F38" s="110"/>
      <c r="G38" s="109"/>
      <c r="H38" s="108"/>
      <c r="I38" s="107"/>
      <c r="J38" s="106"/>
      <c r="K38" s="105" t="s">
        <v>184</v>
      </c>
      <c r="L38" s="104">
        <f>SUM(L39:L66)</f>
        <v>547551758.49999988</v>
      </c>
      <c r="M38" s="103">
        <v>0.25</v>
      </c>
      <c r="N38" s="102"/>
    </row>
    <row r="39" spans="1:14" s="45" customFormat="1" ht="15" customHeight="1" x14ac:dyDescent="0.2">
      <c r="A39" s="73">
        <v>1</v>
      </c>
      <c r="B39" s="82" t="s">
        <v>183</v>
      </c>
      <c r="C39" s="101"/>
      <c r="D39" s="54"/>
      <c r="E39" s="100">
        <v>9</v>
      </c>
      <c r="F39" s="52" t="s">
        <v>132</v>
      </c>
      <c r="G39" s="63">
        <f t="shared" ref="G39:G66" si="4">H39/E39</f>
        <v>21333333.333333332</v>
      </c>
      <c r="H39" s="63">
        <f t="shared" ref="H39:H66" si="5">L39/(1-$M$5)</f>
        <v>192000000</v>
      </c>
      <c r="I39" s="62">
        <v>16000000</v>
      </c>
      <c r="J39" s="49">
        <v>0</v>
      </c>
      <c r="K39" s="61">
        <f t="shared" ref="K39:K66" si="6">I39*(1-J39)*M39*N39</f>
        <v>16000000</v>
      </c>
      <c r="L39" s="58">
        <f t="shared" ref="L39:L66" si="7">E39*K39</f>
        <v>144000000</v>
      </c>
      <c r="M39" s="46">
        <v>1</v>
      </c>
      <c r="N39" s="46">
        <v>1</v>
      </c>
    </row>
    <row r="40" spans="1:14" s="45" customFormat="1" ht="15" customHeight="1" x14ac:dyDescent="0.2">
      <c r="A40" s="69">
        <v>2</v>
      </c>
      <c r="B40" s="82" t="s">
        <v>182</v>
      </c>
      <c r="C40" s="101"/>
      <c r="D40" s="54"/>
      <c r="E40" s="100">
        <v>1</v>
      </c>
      <c r="F40" s="52" t="s">
        <v>181</v>
      </c>
      <c r="G40" s="63">
        <f t="shared" si="4"/>
        <v>33333333.333333332</v>
      </c>
      <c r="H40" s="63">
        <f t="shared" si="5"/>
        <v>33333333.333333332</v>
      </c>
      <c r="I40" s="62">
        <v>25000000</v>
      </c>
      <c r="J40" s="49">
        <v>0</v>
      </c>
      <c r="K40" s="61">
        <f t="shared" si="6"/>
        <v>25000000</v>
      </c>
      <c r="L40" s="58">
        <f t="shared" si="7"/>
        <v>25000000</v>
      </c>
      <c r="M40" s="46">
        <v>1</v>
      </c>
      <c r="N40" s="46">
        <v>1</v>
      </c>
    </row>
    <row r="41" spans="1:14" s="45" customFormat="1" ht="15" customHeight="1" x14ac:dyDescent="0.2">
      <c r="A41" s="73">
        <v>3</v>
      </c>
      <c r="B41" s="99" t="s">
        <v>180</v>
      </c>
      <c r="C41" s="98"/>
      <c r="D41" s="97"/>
      <c r="E41" s="96">
        <v>0</v>
      </c>
      <c r="F41" s="64" t="s">
        <v>132</v>
      </c>
      <c r="G41" s="63" t="e">
        <f t="shared" si="4"/>
        <v>#DIV/0!</v>
      </c>
      <c r="H41" s="63">
        <f t="shared" si="5"/>
        <v>0</v>
      </c>
      <c r="I41" s="62"/>
      <c r="J41" s="49">
        <v>0</v>
      </c>
      <c r="K41" s="61">
        <f t="shared" si="6"/>
        <v>0</v>
      </c>
      <c r="L41" s="58">
        <f t="shared" si="7"/>
        <v>0</v>
      </c>
      <c r="M41" s="46">
        <v>1</v>
      </c>
      <c r="N41" s="46">
        <v>1</v>
      </c>
    </row>
    <row r="42" spans="1:14" s="45" customFormat="1" ht="15" customHeight="1" x14ac:dyDescent="0.2">
      <c r="A42" s="69">
        <v>4</v>
      </c>
      <c r="B42" s="99" t="s">
        <v>179</v>
      </c>
      <c r="C42" s="98"/>
      <c r="D42" s="97"/>
      <c r="E42" s="96">
        <v>0</v>
      </c>
      <c r="F42" s="64" t="s">
        <v>132</v>
      </c>
      <c r="G42" s="63" t="e">
        <f t="shared" si="4"/>
        <v>#DIV/0!</v>
      </c>
      <c r="H42" s="63">
        <f t="shared" si="5"/>
        <v>0</v>
      </c>
      <c r="I42" s="62"/>
      <c r="J42" s="49">
        <v>0</v>
      </c>
      <c r="K42" s="61">
        <f t="shared" si="6"/>
        <v>0</v>
      </c>
      <c r="L42" s="58">
        <f t="shared" si="7"/>
        <v>0</v>
      </c>
      <c r="M42" s="46">
        <v>1</v>
      </c>
      <c r="N42" s="46">
        <v>1</v>
      </c>
    </row>
    <row r="43" spans="1:14" s="45" customFormat="1" ht="15" customHeight="1" x14ac:dyDescent="0.2">
      <c r="A43" s="73">
        <v>5</v>
      </c>
      <c r="B43" s="99" t="s">
        <v>178</v>
      </c>
      <c r="C43" s="98"/>
      <c r="D43" s="97"/>
      <c r="E43" s="96">
        <v>0</v>
      </c>
      <c r="F43" s="64" t="s">
        <v>132</v>
      </c>
      <c r="G43" s="63" t="e">
        <f t="shared" si="4"/>
        <v>#DIV/0!</v>
      </c>
      <c r="H43" s="63">
        <f t="shared" si="5"/>
        <v>0</v>
      </c>
      <c r="I43" s="62"/>
      <c r="J43" s="49">
        <v>0</v>
      </c>
      <c r="K43" s="61">
        <f t="shared" si="6"/>
        <v>0</v>
      </c>
      <c r="L43" s="58">
        <f t="shared" si="7"/>
        <v>0</v>
      </c>
      <c r="M43" s="46">
        <v>1</v>
      </c>
      <c r="N43" s="46">
        <v>1</v>
      </c>
    </row>
    <row r="44" spans="1:14" s="45" customFormat="1" ht="15" customHeight="1" x14ac:dyDescent="0.2">
      <c r="A44" s="69">
        <v>6</v>
      </c>
      <c r="B44" s="99" t="s">
        <v>177</v>
      </c>
      <c r="C44" s="98"/>
      <c r="D44" s="97"/>
      <c r="E44" s="96">
        <v>0</v>
      </c>
      <c r="F44" s="64" t="s">
        <v>132</v>
      </c>
      <c r="G44" s="63" t="e">
        <f t="shared" si="4"/>
        <v>#DIV/0!</v>
      </c>
      <c r="H44" s="63">
        <f t="shared" si="5"/>
        <v>0</v>
      </c>
      <c r="I44" s="62"/>
      <c r="J44" s="49">
        <v>0</v>
      </c>
      <c r="K44" s="61">
        <f t="shared" si="6"/>
        <v>0</v>
      </c>
      <c r="L44" s="58">
        <f t="shared" si="7"/>
        <v>0</v>
      </c>
      <c r="M44" s="46">
        <v>1</v>
      </c>
      <c r="N44" s="46">
        <v>1</v>
      </c>
    </row>
    <row r="45" spans="1:14" s="45" customFormat="1" ht="15" customHeight="1" x14ac:dyDescent="0.2">
      <c r="A45" s="73">
        <v>7</v>
      </c>
      <c r="B45" s="95" t="s">
        <v>176</v>
      </c>
      <c r="C45" s="87">
        <v>31110</v>
      </c>
      <c r="D45" s="76" t="s">
        <v>133</v>
      </c>
      <c r="E45" s="75">
        <v>1</v>
      </c>
      <c r="F45" s="74" t="s">
        <v>132</v>
      </c>
      <c r="G45" s="63">
        <f t="shared" si="4"/>
        <v>2599776</v>
      </c>
      <c r="H45" s="63">
        <f t="shared" si="5"/>
        <v>2599776</v>
      </c>
      <c r="I45" s="62">
        <v>2040000</v>
      </c>
      <c r="J45" s="49">
        <v>0.19</v>
      </c>
      <c r="K45" s="61">
        <f t="shared" si="6"/>
        <v>1949832</v>
      </c>
      <c r="L45" s="58">
        <f t="shared" si="7"/>
        <v>1949832</v>
      </c>
      <c r="M45" s="46">
        <v>1.18</v>
      </c>
      <c r="N45" s="46">
        <v>1</v>
      </c>
    </row>
    <row r="46" spans="1:14" s="45" customFormat="1" ht="15" customHeight="1" x14ac:dyDescent="0.2">
      <c r="A46" s="69">
        <v>8</v>
      </c>
      <c r="B46" s="89" t="s">
        <v>200</v>
      </c>
      <c r="C46" s="87">
        <v>28101</v>
      </c>
      <c r="D46" s="76" t="s">
        <v>133</v>
      </c>
      <c r="E46" s="75">
        <v>7</v>
      </c>
      <c r="F46" s="74" t="s">
        <v>132</v>
      </c>
      <c r="G46" s="63">
        <f t="shared" si="4"/>
        <v>1982966.3999999997</v>
      </c>
      <c r="H46" s="63">
        <f t="shared" si="5"/>
        <v>13880764.799999997</v>
      </c>
      <c r="I46" s="62">
        <v>1556000</v>
      </c>
      <c r="J46" s="49">
        <v>0.19</v>
      </c>
      <c r="K46" s="61">
        <f t="shared" si="6"/>
        <v>1487224.7999999998</v>
      </c>
      <c r="L46" s="58">
        <f t="shared" si="7"/>
        <v>10410573.599999998</v>
      </c>
      <c r="M46" s="46">
        <v>1.18</v>
      </c>
      <c r="N46" s="46">
        <v>1</v>
      </c>
    </row>
    <row r="47" spans="1:14" s="45" customFormat="1" ht="15" customHeight="1" x14ac:dyDescent="0.2">
      <c r="A47" s="73">
        <v>9</v>
      </c>
      <c r="B47" s="88" t="s">
        <v>199</v>
      </c>
      <c r="C47" s="91" t="s">
        <v>198</v>
      </c>
      <c r="D47" s="76" t="s">
        <v>133</v>
      </c>
      <c r="E47" s="75">
        <v>5</v>
      </c>
      <c r="F47" s="74" t="s">
        <v>132</v>
      </c>
      <c r="G47" s="63">
        <f t="shared" si="4"/>
        <v>1889298</v>
      </c>
      <c r="H47" s="63">
        <f t="shared" si="5"/>
        <v>9446490</v>
      </c>
      <c r="I47" s="62">
        <v>1482500</v>
      </c>
      <c r="J47" s="49">
        <v>0.19</v>
      </c>
      <c r="K47" s="61">
        <f t="shared" si="6"/>
        <v>1416973.5</v>
      </c>
      <c r="L47" s="58">
        <f t="shared" si="7"/>
        <v>7084867.5</v>
      </c>
      <c r="M47" s="46">
        <v>1.18</v>
      </c>
      <c r="N47" s="46">
        <v>1</v>
      </c>
    </row>
    <row r="48" spans="1:14" s="45" customFormat="1" ht="15" customHeight="1" x14ac:dyDescent="0.2">
      <c r="A48" s="69">
        <v>10</v>
      </c>
      <c r="B48" s="93" t="s">
        <v>197</v>
      </c>
      <c r="C48" s="92" t="s">
        <v>196</v>
      </c>
      <c r="D48" s="76" t="s">
        <v>133</v>
      </c>
      <c r="E48" s="75">
        <v>2</v>
      </c>
      <c r="F48" s="74" t="s">
        <v>132</v>
      </c>
      <c r="G48" s="63">
        <f t="shared" si="4"/>
        <v>15416416.799999999</v>
      </c>
      <c r="H48" s="63">
        <f t="shared" si="5"/>
        <v>30832833.599999998</v>
      </c>
      <c r="I48" s="62">
        <v>12097000</v>
      </c>
      <c r="J48" s="49">
        <v>0.19</v>
      </c>
      <c r="K48" s="61">
        <f t="shared" si="6"/>
        <v>11562312.6</v>
      </c>
      <c r="L48" s="58">
        <f t="shared" si="7"/>
        <v>23124625.199999999</v>
      </c>
      <c r="M48" s="46">
        <v>1.18</v>
      </c>
      <c r="N48" s="46">
        <v>1</v>
      </c>
    </row>
    <row r="49" spans="1:14" s="45" customFormat="1" ht="15" customHeight="1" x14ac:dyDescent="0.2">
      <c r="A49" s="73">
        <v>11</v>
      </c>
      <c r="B49" s="93" t="s">
        <v>195</v>
      </c>
      <c r="C49" s="90" t="s">
        <v>194</v>
      </c>
      <c r="D49" s="76" t="s">
        <v>133</v>
      </c>
      <c r="E49" s="75">
        <v>3</v>
      </c>
      <c r="F49" s="74" t="s">
        <v>132</v>
      </c>
      <c r="G49" s="63">
        <f t="shared" si="4"/>
        <v>37984766.399999999</v>
      </c>
      <c r="H49" s="63">
        <f t="shared" si="5"/>
        <v>113954299.19999999</v>
      </c>
      <c r="I49" s="62">
        <v>29806000</v>
      </c>
      <c r="J49" s="49">
        <v>0.19</v>
      </c>
      <c r="K49" s="61">
        <f t="shared" si="6"/>
        <v>28488574.799999997</v>
      </c>
      <c r="L49" s="58">
        <f t="shared" si="7"/>
        <v>85465724.399999991</v>
      </c>
      <c r="M49" s="46">
        <v>1.18</v>
      </c>
      <c r="N49" s="46">
        <v>1</v>
      </c>
    </row>
    <row r="50" spans="1:14" s="45" customFormat="1" ht="15" customHeight="1" x14ac:dyDescent="0.2">
      <c r="A50" s="69">
        <v>12</v>
      </c>
      <c r="B50" s="93" t="s">
        <v>193</v>
      </c>
      <c r="C50" s="90" t="s">
        <v>192</v>
      </c>
      <c r="D50" s="116" t="s">
        <v>133</v>
      </c>
      <c r="E50" s="100">
        <v>2</v>
      </c>
      <c r="F50" s="115" t="s">
        <v>132</v>
      </c>
      <c r="G50" s="63">
        <f t="shared" si="4"/>
        <v>42367428</v>
      </c>
      <c r="H50" s="63">
        <f t="shared" si="5"/>
        <v>84734856</v>
      </c>
      <c r="I50" s="62">
        <v>33245000</v>
      </c>
      <c r="J50" s="49">
        <v>0.19</v>
      </c>
      <c r="K50" s="61">
        <f t="shared" si="6"/>
        <v>31775571</v>
      </c>
      <c r="L50" s="58">
        <f t="shared" si="7"/>
        <v>63551142</v>
      </c>
      <c r="M50" s="46">
        <v>1.18</v>
      </c>
      <c r="N50" s="46">
        <v>1</v>
      </c>
    </row>
    <row r="51" spans="1:14" s="45" customFormat="1" ht="15" customHeight="1" x14ac:dyDescent="0.2">
      <c r="A51" s="73">
        <v>13</v>
      </c>
      <c r="B51" s="88" t="s">
        <v>191</v>
      </c>
      <c r="C51" s="91" t="s">
        <v>190</v>
      </c>
      <c r="D51" s="116" t="s">
        <v>133</v>
      </c>
      <c r="E51" s="100">
        <v>6</v>
      </c>
      <c r="F51" s="115" t="s">
        <v>132</v>
      </c>
      <c r="G51" s="63">
        <f t="shared" si="4"/>
        <v>2046049.1999999995</v>
      </c>
      <c r="H51" s="63">
        <f t="shared" si="5"/>
        <v>12276295.199999997</v>
      </c>
      <c r="I51" s="62">
        <v>1605500</v>
      </c>
      <c r="J51" s="49">
        <v>0.19</v>
      </c>
      <c r="K51" s="61">
        <f t="shared" si="6"/>
        <v>1534536.9</v>
      </c>
      <c r="L51" s="58">
        <f t="shared" si="7"/>
        <v>9207221.3999999985</v>
      </c>
      <c r="M51" s="46">
        <v>1.18</v>
      </c>
      <c r="N51" s="46">
        <v>1</v>
      </c>
    </row>
    <row r="52" spans="1:14" s="45" customFormat="1" ht="15" customHeight="1" x14ac:dyDescent="0.2">
      <c r="A52" s="69">
        <v>14</v>
      </c>
      <c r="B52" s="89" t="s">
        <v>189</v>
      </c>
      <c r="C52" s="87">
        <v>28100</v>
      </c>
      <c r="D52" s="116" t="s">
        <v>133</v>
      </c>
      <c r="E52" s="100">
        <v>4</v>
      </c>
      <c r="F52" s="115" t="s">
        <v>132</v>
      </c>
      <c r="G52" s="63">
        <f t="shared" si="4"/>
        <v>1982966.3999999997</v>
      </c>
      <c r="H52" s="63">
        <f t="shared" si="5"/>
        <v>7931865.5999999987</v>
      </c>
      <c r="I52" s="62">
        <v>1556000</v>
      </c>
      <c r="J52" s="49">
        <v>0.19</v>
      </c>
      <c r="K52" s="61">
        <f t="shared" si="6"/>
        <v>1487224.7999999998</v>
      </c>
      <c r="L52" s="58">
        <f t="shared" si="7"/>
        <v>5948899.1999999993</v>
      </c>
      <c r="M52" s="46">
        <v>1.18</v>
      </c>
      <c r="N52" s="46">
        <v>1</v>
      </c>
    </row>
    <row r="53" spans="1:14" s="45" customFormat="1" ht="15" customHeight="1" x14ac:dyDescent="0.2">
      <c r="A53" s="73">
        <v>15</v>
      </c>
      <c r="B53" s="93" t="s">
        <v>188</v>
      </c>
      <c r="C53" s="71" t="s">
        <v>187</v>
      </c>
      <c r="D53" s="116" t="s">
        <v>133</v>
      </c>
      <c r="E53" s="100">
        <v>4</v>
      </c>
      <c r="F53" s="115" t="s">
        <v>132</v>
      </c>
      <c r="G53" s="63">
        <f t="shared" si="4"/>
        <v>53324719.199999996</v>
      </c>
      <c r="H53" s="63">
        <f t="shared" si="5"/>
        <v>213298876.79999998</v>
      </c>
      <c r="I53" s="62">
        <v>41843000</v>
      </c>
      <c r="J53" s="49">
        <v>0.19</v>
      </c>
      <c r="K53" s="61">
        <f t="shared" si="6"/>
        <v>39993539.399999999</v>
      </c>
      <c r="L53" s="58">
        <f t="shared" si="7"/>
        <v>159974157.59999999</v>
      </c>
      <c r="M53" s="46">
        <v>1.18</v>
      </c>
      <c r="N53" s="46">
        <v>1</v>
      </c>
    </row>
    <row r="54" spans="1:14" s="45" customFormat="1" ht="15" customHeight="1" x14ac:dyDescent="0.2">
      <c r="A54" s="69">
        <v>16</v>
      </c>
      <c r="B54" s="88" t="s">
        <v>158</v>
      </c>
      <c r="C54" s="87">
        <v>29450</v>
      </c>
      <c r="D54" s="76" t="s">
        <v>133</v>
      </c>
      <c r="E54" s="75">
        <v>11</v>
      </c>
      <c r="F54" s="74" t="s">
        <v>132</v>
      </c>
      <c r="G54" s="63">
        <f t="shared" si="4"/>
        <v>361292.40000000008</v>
      </c>
      <c r="H54" s="63">
        <f t="shared" si="5"/>
        <v>3974216.4000000008</v>
      </c>
      <c r="I54" s="62">
        <v>283500</v>
      </c>
      <c r="J54" s="49">
        <v>0.19</v>
      </c>
      <c r="K54" s="61">
        <f t="shared" si="6"/>
        <v>270969.30000000005</v>
      </c>
      <c r="L54" s="58">
        <f t="shared" si="7"/>
        <v>2980662.3000000007</v>
      </c>
      <c r="M54" s="46">
        <v>1.18</v>
      </c>
      <c r="N54" s="46">
        <v>1</v>
      </c>
    </row>
    <row r="55" spans="1:14" s="45" customFormat="1" ht="15" customHeight="1" x14ac:dyDescent="0.2">
      <c r="A55" s="73">
        <v>17</v>
      </c>
      <c r="B55" s="86" t="s">
        <v>157</v>
      </c>
      <c r="C55" s="85" t="s">
        <v>156</v>
      </c>
      <c r="D55" s="76" t="s">
        <v>133</v>
      </c>
      <c r="E55" s="75">
        <v>1</v>
      </c>
      <c r="F55" s="74" t="s">
        <v>132</v>
      </c>
      <c r="G55" s="63">
        <f t="shared" si="4"/>
        <v>184150.80000000002</v>
      </c>
      <c r="H55" s="63">
        <f t="shared" si="5"/>
        <v>184150.80000000002</v>
      </c>
      <c r="I55" s="62">
        <v>144500</v>
      </c>
      <c r="J55" s="49">
        <v>0.19</v>
      </c>
      <c r="K55" s="61">
        <f t="shared" si="6"/>
        <v>138113.1</v>
      </c>
      <c r="L55" s="58">
        <f t="shared" si="7"/>
        <v>138113.1</v>
      </c>
      <c r="M55" s="46">
        <v>1.18</v>
      </c>
      <c r="N55" s="46">
        <v>1</v>
      </c>
    </row>
    <row r="56" spans="1:14" s="45" customFormat="1" ht="15" customHeight="1" x14ac:dyDescent="0.2">
      <c r="A56" s="69">
        <v>18</v>
      </c>
      <c r="B56" s="84" t="s">
        <v>155</v>
      </c>
      <c r="C56" s="83" t="s">
        <v>154</v>
      </c>
      <c r="D56" s="76" t="s">
        <v>133</v>
      </c>
      <c r="E56" s="75">
        <v>1</v>
      </c>
      <c r="F56" s="74" t="s">
        <v>132</v>
      </c>
      <c r="G56" s="63">
        <f t="shared" si="4"/>
        <v>111510</v>
      </c>
      <c r="H56" s="63">
        <f t="shared" si="5"/>
        <v>111510</v>
      </c>
      <c r="I56" s="62">
        <v>87500</v>
      </c>
      <c r="J56" s="49">
        <v>0.19</v>
      </c>
      <c r="K56" s="61">
        <f t="shared" si="6"/>
        <v>83632.5</v>
      </c>
      <c r="L56" s="58">
        <f t="shared" si="7"/>
        <v>83632.5</v>
      </c>
      <c r="M56" s="46">
        <v>1.18</v>
      </c>
      <c r="N56" s="46">
        <v>1</v>
      </c>
    </row>
    <row r="57" spans="1:14" s="45" customFormat="1" ht="15" customHeight="1" x14ac:dyDescent="0.2">
      <c r="A57" s="73">
        <v>19</v>
      </c>
      <c r="B57" s="84" t="s">
        <v>153</v>
      </c>
      <c r="C57" s="83" t="s">
        <v>152</v>
      </c>
      <c r="D57" s="76" t="s">
        <v>133</v>
      </c>
      <c r="E57" s="75">
        <v>1</v>
      </c>
      <c r="F57" s="74" t="s">
        <v>132</v>
      </c>
      <c r="G57" s="63">
        <f t="shared" si="4"/>
        <v>111510</v>
      </c>
      <c r="H57" s="63">
        <f t="shared" si="5"/>
        <v>111510</v>
      </c>
      <c r="I57" s="62">
        <v>87500</v>
      </c>
      <c r="J57" s="49">
        <v>0.19</v>
      </c>
      <c r="K57" s="61">
        <f t="shared" si="6"/>
        <v>83632.5</v>
      </c>
      <c r="L57" s="58">
        <f t="shared" si="7"/>
        <v>83632.5</v>
      </c>
      <c r="M57" s="46">
        <v>1.18</v>
      </c>
      <c r="N57" s="46">
        <v>1</v>
      </c>
    </row>
    <row r="58" spans="1:14" s="45" customFormat="1" ht="15" customHeight="1" x14ac:dyDescent="0.2">
      <c r="A58" s="69">
        <v>20</v>
      </c>
      <c r="B58" s="84" t="s">
        <v>151</v>
      </c>
      <c r="C58" s="83" t="s">
        <v>150</v>
      </c>
      <c r="D58" s="76" t="s">
        <v>133</v>
      </c>
      <c r="E58" s="75">
        <v>1</v>
      </c>
      <c r="F58" s="74" t="s">
        <v>132</v>
      </c>
      <c r="G58" s="63">
        <f t="shared" si="4"/>
        <v>111510</v>
      </c>
      <c r="H58" s="63">
        <f t="shared" si="5"/>
        <v>111510</v>
      </c>
      <c r="I58" s="62">
        <v>87500</v>
      </c>
      <c r="J58" s="49">
        <v>0.19</v>
      </c>
      <c r="K58" s="61">
        <f t="shared" si="6"/>
        <v>83632.5</v>
      </c>
      <c r="L58" s="58">
        <f t="shared" si="7"/>
        <v>83632.5</v>
      </c>
      <c r="M58" s="46">
        <v>1.18</v>
      </c>
      <c r="N58" s="46">
        <v>1</v>
      </c>
    </row>
    <row r="59" spans="1:14" s="45" customFormat="1" ht="15" customHeight="1" x14ac:dyDescent="0.2">
      <c r="A59" s="73">
        <v>21</v>
      </c>
      <c r="B59" s="72" t="s">
        <v>149</v>
      </c>
      <c r="C59" s="81" t="s">
        <v>148</v>
      </c>
      <c r="D59" s="76" t="s">
        <v>133</v>
      </c>
      <c r="E59" s="75">
        <v>11</v>
      </c>
      <c r="F59" s="74" t="s">
        <v>132</v>
      </c>
      <c r="G59" s="63">
        <f t="shared" si="4"/>
        <v>250419.59999999998</v>
      </c>
      <c r="H59" s="63">
        <f t="shared" si="5"/>
        <v>2754615.5999999996</v>
      </c>
      <c r="I59" s="62">
        <v>196500</v>
      </c>
      <c r="J59" s="49">
        <v>0.19</v>
      </c>
      <c r="K59" s="61">
        <f t="shared" si="6"/>
        <v>187814.69999999998</v>
      </c>
      <c r="L59" s="58">
        <f t="shared" si="7"/>
        <v>2065961.6999999997</v>
      </c>
      <c r="M59" s="46">
        <v>1.18</v>
      </c>
      <c r="N59" s="46">
        <v>1</v>
      </c>
    </row>
    <row r="60" spans="1:14" s="45" customFormat="1" ht="15" customHeight="1" x14ac:dyDescent="0.2">
      <c r="A60" s="69">
        <v>22</v>
      </c>
      <c r="B60" s="82" t="s">
        <v>147</v>
      </c>
      <c r="C60" s="81" t="s">
        <v>146</v>
      </c>
      <c r="D60" s="76" t="s">
        <v>133</v>
      </c>
      <c r="E60" s="75">
        <v>11</v>
      </c>
      <c r="F60" s="74" t="s">
        <v>132</v>
      </c>
      <c r="G60" s="63">
        <f t="shared" si="4"/>
        <v>82198.799999999988</v>
      </c>
      <c r="H60" s="63">
        <f t="shared" si="5"/>
        <v>904186.79999999993</v>
      </c>
      <c r="I60" s="62">
        <v>64500</v>
      </c>
      <c r="J60" s="49">
        <v>0.19</v>
      </c>
      <c r="K60" s="61">
        <f t="shared" si="6"/>
        <v>61649.1</v>
      </c>
      <c r="L60" s="58">
        <f t="shared" si="7"/>
        <v>678140.1</v>
      </c>
      <c r="M60" s="46">
        <v>1.18</v>
      </c>
      <c r="N60" s="46">
        <v>1</v>
      </c>
    </row>
    <row r="61" spans="1:14" s="45" customFormat="1" ht="15" customHeight="1" x14ac:dyDescent="0.2">
      <c r="A61" s="73">
        <v>23</v>
      </c>
      <c r="B61" s="82" t="s">
        <v>145</v>
      </c>
      <c r="C61" s="81" t="s">
        <v>144</v>
      </c>
      <c r="D61" s="76" t="s">
        <v>133</v>
      </c>
      <c r="E61" s="75">
        <v>11</v>
      </c>
      <c r="F61" s="74" t="s">
        <v>132</v>
      </c>
      <c r="G61" s="63">
        <f t="shared" si="4"/>
        <v>82198.799999999988</v>
      </c>
      <c r="H61" s="63">
        <f t="shared" si="5"/>
        <v>904186.79999999993</v>
      </c>
      <c r="I61" s="62">
        <v>64500</v>
      </c>
      <c r="J61" s="49">
        <v>0.19</v>
      </c>
      <c r="K61" s="61">
        <f t="shared" si="6"/>
        <v>61649.1</v>
      </c>
      <c r="L61" s="58">
        <f t="shared" si="7"/>
        <v>678140.1</v>
      </c>
      <c r="M61" s="46">
        <v>1.18</v>
      </c>
      <c r="N61" s="46">
        <v>1</v>
      </c>
    </row>
    <row r="62" spans="1:14" s="45" customFormat="1" ht="15" customHeight="1" x14ac:dyDescent="0.2">
      <c r="A62" s="69">
        <v>24</v>
      </c>
      <c r="B62" s="82" t="s">
        <v>143</v>
      </c>
      <c r="C62" s="81" t="s">
        <v>142</v>
      </c>
      <c r="D62" s="76" t="s">
        <v>133</v>
      </c>
      <c r="E62" s="75">
        <v>11</v>
      </c>
      <c r="F62" s="74" t="s">
        <v>132</v>
      </c>
      <c r="G62" s="63">
        <f t="shared" si="4"/>
        <v>128714.39999999997</v>
      </c>
      <c r="H62" s="63">
        <f t="shared" si="5"/>
        <v>1415858.3999999997</v>
      </c>
      <c r="I62" s="62">
        <v>101000</v>
      </c>
      <c r="J62" s="49">
        <v>0.19</v>
      </c>
      <c r="K62" s="61">
        <f t="shared" si="6"/>
        <v>96535.799999999988</v>
      </c>
      <c r="L62" s="58">
        <f t="shared" si="7"/>
        <v>1061893.7999999998</v>
      </c>
      <c r="M62" s="46">
        <v>1.18</v>
      </c>
      <c r="N62" s="46">
        <v>1</v>
      </c>
    </row>
    <row r="63" spans="1:14" s="45" customFormat="1" ht="15" customHeight="1" x14ac:dyDescent="0.2">
      <c r="A63" s="73">
        <v>25</v>
      </c>
      <c r="B63" s="80" t="s">
        <v>141</v>
      </c>
      <c r="C63" s="79" t="s">
        <v>140</v>
      </c>
      <c r="D63" s="76" t="s">
        <v>133</v>
      </c>
      <c r="E63" s="75">
        <v>11</v>
      </c>
      <c r="F63" s="74" t="s">
        <v>132</v>
      </c>
      <c r="G63" s="63">
        <f t="shared" si="4"/>
        <v>45878.400000000009</v>
      </c>
      <c r="H63" s="63">
        <f t="shared" si="5"/>
        <v>504662.40000000008</v>
      </c>
      <c r="I63" s="62">
        <v>36000</v>
      </c>
      <c r="J63" s="49">
        <v>0.19</v>
      </c>
      <c r="K63" s="61">
        <f t="shared" si="6"/>
        <v>34408.800000000003</v>
      </c>
      <c r="L63" s="58">
        <f t="shared" si="7"/>
        <v>378496.80000000005</v>
      </c>
      <c r="M63" s="46">
        <v>1.18</v>
      </c>
      <c r="N63" s="46">
        <v>1</v>
      </c>
    </row>
    <row r="64" spans="1:14" s="45" customFormat="1" ht="15" customHeight="1" x14ac:dyDescent="0.2">
      <c r="A64" s="69">
        <v>26</v>
      </c>
      <c r="B64" s="78" t="s">
        <v>139</v>
      </c>
      <c r="C64" s="77" t="s">
        <v>138</v>
      </c>
      <c r="D64" s="76" t="s">
        <v>133</v>
      </c>
      <c r="E64" s="75">
        <v>11</v>
      </c>
      <c r="F64" s="74" t="s">
        <v>132</v>
      </c>
      <c r="G64" s="63">
        <f t="shared" si="4"/>
        <v>26762.399999999998</v>
      </c>
      <c r="H64" s="63">
        <f t="shared" si="5"/>
        <v>294386.39999999997</v>
      </c>
      <c r="I64" s="62">
        <v>21000</v>
      </c>
      <c r="J64" s="49">
        <v>0.19</v>
      </c>
      <c r="K64" s="61">
        <f t="shared" si="6"/>
        <v>20071.8</v>
      </c>
      <c r="L64" s="58">
        <f t="shared" si="7"/>
        <v>220789.8</v>
      </c>
      <c r="M64" s="46">
        <v>1.18</v>
      </c>
      <c r="N64" s="46">
        <v>1</v>
      </c>
    </row>
    <row r="65" spans="1:14" s="45" customFormat="1" ht="15" customHeight="1" x14ac:dyDescent="0.2">
      <c r="A65" s="73">
        <v>27</v>
      </c>
      <c r="B65" s="72" t="s">
        <v>137</v>
      </c>
      <c r="C65" s="71" t="s">
        <v>136</v>
      </c>
      <c r="D65" s="70" t="s">
        <v>133</v>
      </c>
      <c r="E65" s="53">
        <v>1</v>
      </c>
      <c r="F65" s="52" t="s">
        <v>132</v>
      </c>
      <c r="G65" s="63">
        <f t="shared" si="4"/>
        <v>1691128.7999999998</v>
      </c>
      <c r="H65" s="63">
        <f t="shared" si="5"/>
        <v>1691128.7999999998</v>
      </c>
      <c r="I65" s="62">
        <v>1327000</v>
      </c>
      <c r="J65" s="49">
        <v>0.19</v>
      </c>
      <c r="K65" s="61">
        <f t="shared" si="6"/>
        <v>1268346.5999999999</v>
      </c>
      <c r="L65" s="58">
        <f t="shared" si="7"/>
        <v>1268346.5999999999</v>
      </c>
      <c r="M65" s="46">
        <v>1.18</v>
      </c>
      <c r="N65" s="46">
        <v>1</v>
      </c>
    </row>
    <row r="66" spans="1:14" s="45" customFormat="1" ht="15" customHeight="1" x14ac:dyDescent="0.2">
      <c r="A66" s="69">
        <v>28</v>
      </c>
      <c r="B66" s="68" t="s">
        <v>135</v>
      </c>
      <c r="C66" s="67" t="s">
        <v>134</v>
      </c>
      <c r="D66" s="66" t="s">
        <v>133</v>
      </c>
      <c r="E66" s="65">
        <v>11</v>
      </c>
      <c r="F66" s="64" t="s">
        <v>132</v>
      </c>
      <c r="G66" s="63">
        <f t="shared" si="4"/>
        <v>256154.4</v>
      </c>
      <c r="H66" s="63">
        <f t="shared" si="5"/>
        <v>2817698.4</v>
      </c>
      <c r="I66" s="62">
        <v>201000</v>
      </c>
      <c r="J66" s="49">
        <v>0.19</v>
      </c>
      <c r="K66" s="61">
        <f t="shared" si="6"/>
        <v>192115.8</v>
      </c>
      <c r="L66" s="58">
        <f t="shared" si="7"/>
        <v>2113273.7999999998</v>
      </c>
      <c r="M66" s="46">
        <v>1.18</v>
      </c>
      <c r="N66" s="46">
        <v>1</v>
      </c>
    </row>
    <row r="67" spans="1:14" s="45" customFormat="1" ht="15" customHeight="1" x14ac:dyDescent="0.25">
      <c r="A67" s="57"/>
      <c r="B67" s="60"/>
      <c r="C67" s="59"/>
      <c r="D67" s="54"/>
      <c r="E67" s="53"/>
      <c r="F67" s="52"/>
      <c r="G67" s="51"/>
      <c r="H67" s="51"/>
      <c r="I67" s="50"/>
      <c r="J67" s="49"/>
      <c r="K67" s="48"/>
      <c r="L67" s="58"/>
      <c r="M67" s="46"/>
      <c r="N67" s="46"/>
    </row>
    <row r="68" spans="1:14" s="45" customFormat="1" ht="15" customHeight="1" x14ac:dyDescent="0.25">
      <c r="A68" s="112" t="s">
        <v>186</v>
      </c>
      <c r="B68" s="114" t="s">
        <v>185</v>
      </c>
      <c r="C68" s="113">
        <f>SUM(H69:H98)</f>
        <v>386871179.73333347</v>
      </c>
      <c r="D68" s="112"/>
      <c r="E68" s="111"/>
      <c r="F68" s="110"/>
      <c r="G68" s="109"/>
      <c r="H68" s="108"/>
      <c r="I68" s="107"/>
      <c r="J68" s="106"/>
      <c r="K68" s="105" t="s">
        <v>184</v>
      </c>
      <c r="L68" s="104">
        <f>SUM(L69:L98)</f>
        <v>290153384.80000013</v>
      </c>
      <c r="M68" s="103">
        <v>0.25</v>
      </c>
      <c r="N68" s="102"/>
    </row>
    <row r="69" spans="1:14" s="45" customFormat="1" ht="15" customHeight="1" x14ac:dyDescent="0.2">
      <c r="A69" s="73">
        <v>1</v>
      </c>
      <c r="B69" s="82" t="s">
        <v>183</v>
      </c>
      <c r="C69" s="101"/>
      <c r="D69" s="54"/>
      <c r="E69" s="100">
        <v>9</v>
      </c>
      <c r="F69" s="52" t="s">
        <v>132</v>
      </c>
      <c r="G69" s="63">
        <f t="shared" ref="G69:G98" si="8">H69/E69</f>
        <v>21333333.333333332</v>
      </c>
      <c r="H69" s="63">
        <f t="shared" ref="H69:H98" si="9">L69/(1-$M$5)</f>
        <v>192000000</v>
      </c>
      <c r="I69" s="62">
        <v>16000000</v>
      </c>
      <c r="J69" s="49">
        <v>0</v>
      </c>
      <c r="K69" s="61">
        <f t="shared" ref="K69:K98" si="10">I69*(1-J69)*M69*N69</f>
        <v>16000000</v>
      </c>
      <c r="L69" s="58">
        <f t="shared" ref="L69:L98" si="11">E69*K69</f>
        <v>144000000</v>
      </c>
      <c r="M69" s="46">
        <v>1</v>
      </c>
      <c r="N69" s="46">
        <v>1</v>
      </c>
    </row>
    <row r="70" spans="1:14" s="45" customFormat="1" ht="15" customHeight="1" x14ac:dyDescent="0.2">
      <c r="A70" s="69">
        <v>2</v>
      </c>
      <c r="B70" s="82" t="s">
        <v>182</v>
      </c>
      <c r="C70" s="101"/>
      <c r="D70" s="54"/>
      <c r="E70" s="100">
        <v>1</v>
      </c>
      <c r="F70" s="52" t="s">
        <v>181</v>
      </c>
      <c r="G70" s="63">
        <f t="shared" si="8"/>
        <v>33333333.333333332</v>
      </c>
      <c r="H70" s="63">
        <f t="shared" si="9"/>
        <v>33333333.333333332</v>
      </c>
      <c r="I70" s="62">
        <v>25000000</v>
      </c>
      <c r="J70" s="49">
        <v>0</v>
      </c>
      <c r="K70" s="61">
        <f t="shared" si="10"/>
        <v>25000000</v>
      </c>
      <c r="L70" s="58">
        <f t="shared" si="11"/>
        <v>25000000</v>
      </c>
      <c r="M70" s="46">
        <v>1</v>
      </c>
      <c r="N70" s="46">
        <v>1</v>
      </c>
    </row>
    <row r="71" spans="1:14" s="45" customFormat="1" ht="15" customHeight="1" x14ac:dyDescent="0.2">
      <c r="A71" s="73">
        <v>3</v>
      </c>
      <c r="B71" s="99" t="s">
        <v>180</v>
      </c>
      <c r="C71" s="98"/>
      <c r="D71" s="97"/>
      <c r="E71" s="96">
        <v>0</v>
      </c>
      <c r="F71" s="64" t="s">
        <v>132</v>
      </c>
      <c r="G71" s="63" t="e">
        <f t="shared" si="8"/>
        <v>#DIV/0!</v>
      </c>
      <c r="H71" s="63">
        <f t="shared" si="9"/>
        <v>0</v>
      </c>
      <c r="I71" s="62"/>
      <c r="J71" s="49">
        <v>0</v>
      </c>
      <c r="K71" s="61">
        <f t="shared" si="10"/>
        <v>0</v>
      </c>
      <c r="L71" s="58">
        <f t="shared" si="11"/>
        <v>0</v>
      </c>
      <c r="M71" s="46">
        <v>1</v>
      </c>
      <c r="N71" s="46">
        <v>1</v>
      </c>
    </row>
    <row r="72" spans="1:14" s="45" customFormat="1" ht="15" customHeight="1" x14ac:dyDescent="0.2">
      <c r="A72" s="69">
        <v>4</v>
      </c>
      <c r="B72" s="99" t="s">
        <v>179</v>
      </c>
      <c r="C72" s="98"/>
      <c r="D72" s="97"/>
      <c r="E72" s="96">
        <v>0</v>
      </c>
      <c r="F72" s="64" t="s">
        <v>132</v>
      </c>
      <c r="G72" s="63" t="e">
        <f t="shared" si="8"/>
        <v>#DIV/0!</v>
      </c>
      <c r="H72" s="63">
        <f t="shared" si="9"/>
        <v>0</v>
      </c>
      <c r="I72" s="62"/>
      <c r="J72" s="49">
        <v>0</v>
      </c>
      <c r="K72" s="61">
        <f t="shared" si="10"/>
        <v>0</v>
      </c>
      <c r="L72" s="58">
        <f t="shared" si="11"/>
        <v>0</v>
      </c>
      <c r="M72" s="46">
        <v>1</v>
      </c>
      <c r="N72" s="46">
        <v>1</v>
      </c>
    </row>
    <row r="73" spans="1:14" s="45" customFormat="1" ht="15" customHeight="1" x14ac:dyDescent="0.2">
      <c r="A73" s="73">
        <v>5</v>
      </c>
      <c r="B73" s="99" t="s">
        <v>178</v>
      </c>
      <c r="C73" s="98"/>
      <c r="D73" s="97"/>
      <c r="E73" s="96">
        <v>0</v>
      </c>
      <c r="F73" s="64" t="s">
        <v>132</v>
      </c>
      <c r="G73" s="63" t="e">
        <f t="shared" si="8"/>
        <v>#DIV/0!</v>
      </c>
      <c r="H73" s="63">
        <f t="shared" si="9"/>
        <v>0</v>
      </c>
      <c r="I73" s="62"/>
      <c r="J73" s="49">
        <v>0</v>
      </c>
      <c r="K73" s="61">
        <f t="shared" si="10"/>
        <v>0</v>
      </c>
      <c r="L73" s="58">
        <f t="shared" si="11"/>
        <v>0</v>
      </c>
      <c r="M73" s="46">
        <v>1</v>
      </c>
      <c r="N73" s="46">
        <v>1</v>
      </c>
    </row>
    <row r="74" spans="1:14" s="45" customFormat="1" ht="15" customHeight="1" x14ac:dyDescent="0.2">
      <c r="A74" s="69">
        <v>6</v>
      </c>
      <c r="B74" s="99" t="s">
        <v>177</v>
      </c>
      <c r="C74" s="98"/>
      <c r="D74" s="97"/>
      <c r="E74" s="96">
        <v>0</v>
      </c>
      <c r="F74" s="64" t="s">
        <v>132</v>
      </c>
      <c r="G74" s="63" t="e">
        <f t="shared" si="8"/>
        <v>#DIV/0!</v>
      </c>
      <c r="H74" s="63">
        <f t="shared" si="9"/>
        <v>0</v>
      </c>
      <c r="I74" s="62"/>
      <c r="J74" s="49">
        <v>0</v>
      </c>
      <c r="K74" s="61">
        <f t="shared" si="10"/>
        <v>0</v>
      </c>
      <c r="L74" s="58">
        <f t="shared" si="11"/>
        <v>0</v>
      </c>
      <c r="M74" s="46">
        <v>1</v>
      </c>
      <c r="N74" s="46">
        <v>1</v>
      </c>
    </row>
    <row r="75" spans="1:14" s="45" customFormat="1" ht="15" customHeight="1" x14ac:dyDescent="0.2">
      <c r="A75" s="73">
        <v>7</v>
      </c>
      <c r="B75" s="95" t="s">
        <v>176</v>
      </c>
      <c r="C75" s="87">
        <v>31110</v>
      </c>
      <c r="D75" s="76" t="s">
        <v>133</v>
      </c>
      <c r="E75" s="75">
        <v>1</v>
      </c>
      <c r="F75" s="74" t="s">
        <v>132</v>
      </c>
      <c r="G75" s="63">
        <f t="shared" si="8"/>
        <v>2599776</v>
      </c>
      <c r="H75" s="63">
        <f t="shared" si="9"/>
        <v>2599776</v>
      </c>
      <c r="I75" s="62">
        <v>2040000</v>
      </c>
      <c r="J75" s="49">
        <v>0.19</v>
      </c>
      <c r="K75" s="61">
        <f t="shared" si="10"/>
        <v>1949832</v>
      </c>
      <c r="L75" s="58">
        <f t="shared" si="11"/>
        <v>1949832</v>
      </c>
      <c r="M75" s="46">
        <v>1.18</v>
      </c>
      <c r="N75" s="46">
        <v>1</v>
      </c>
    </row>
    <row r="76" spans="1:14" s="45" customFormat="1" ht="15" customHeight="1" x14ac:dyDescent="0.2">
      <c r="A76" s="69">
        <v>8</v>
      </c>
      <c r="B76" s="89" t="s">
        <v>175</v>
      </c>
      <c r="C76" s="87">
        <v>28103</v>
      </c>
      <c r="D76" s="76" t="s">
        <v>133</v>
      </c>
      <c r="E76" s="75">
        <v>4</v>
      </c>
      <c r="F76" s="74" t="s">
        <v>132</v>
      </c>
      <c r="G76" s="63">
        <f t="shared" si="8"/>
        <v>1714068</v>
      </c>
      <c r="H76" s="63">
        <f t="shared" si="9"/>
        <v>6856272</v>
      </c>
      <c r="I76" s="62">
        <v>1345000</v>
      </c>
      <c r="J76" s="49">
        <v>0.19</v>
      </c>
      <c r="K76" s="61">
        <f t="shared" si="10"/>
        <v>1285551</v>
      </c>
      <c r="L76" s="58">
        <f t="shared" si="11"/>
        <v>5142204</v>
      </c>
      <c r="M76" s="46">
        <v>1.18</v>
      </c>
      <c r="N76" s="46">
        <v>1</v>
      </c>
    </row>
    <row r="77" spans="1:14" s="45" customFormat="1" ht="15" customHeight="1" x14ac:dyDescent="0.25">
      <c r="A77" s="73">
        <v>9</v>
      </c>
      <c r="B77" s="88" t="s">
        <v>174</v>
      </c>
      <c r="C77" s="91" t="s">
        <v>173</v>
      </c>
      <c r="D77" s="76" t="s">
        <v>133</v>
      </c>
      <c r="E77" s="75">
        <v>6</v>
      </c>
      <c r="F77" s="74" t="s">
        <v>132</v>
      </c>
      <c r="G77" s="63">
        <f t="shared" si="8"/>
        <v>1225335.5999999999</v>
      </c>
      <c r="H77" s="63">
        <f t="shared" si="9"/>
        <v>7352013.5999999987</v>
      </c>
      <c r="I77" s="94">
        <v>961500</v>
      </c>
      <c r="J77" s="49">
        <v>0.19</v>
      </c>
      <c r="K77" s="61">
        <f t="shared" si="10"/>
        <v>919001.7</v>
      </c>
      <c r="L77" s="58">
        <f t="shared" si="11"/>
        <v>5514010.1999999993</v>
      </c>
      <c r="M77" s="46">
        <v>1.18</v>
      </c>
      <c r="N77" s="46">
        <v>1</v>
      </c>
    </row>
    <row r="78" spans="1:14" s="45" customFormat="1" ht="15" customHeight="1" x14ac:dyDescent="0.2">
      <c r="A78" s="69">
        <v>10</v>
      </c>
      <c r="B78" s="93" t="s">
        <v>172</v>
      </c>
      <c r="C78" s="92" t="s">
        <v>171</v>
      </c>
      <c r="D78" s="76" t="s">
        <v>133</v>
      </c>
      <c r="E78" s="75">
        <v>3</v>
      </c>
      <c r="F78" s="74" t="s">
        <v>132</v>
      </c>
      <c r="G78" s="63">
        <f t="shared" si="8"/>
        <v>8766597.5999999996</v>
      </c>
      <c r="H78" s="63">
        <f t="shared" si="9"/>
        <v>26299792.799999997</v>
      </c>
      <c r="I78" s="62">
        <v>6879000</v>
      </c>
      <c r="J78" s="49">
        <v>0.19</v>
      </c>
      <c r="K78" s="61">
        <f t="shared" si="10"/>
        <v>6574948.1999999993</v>
      </c>
      <c r="L78" s="58">
        <f t="shared" si="11"/>
        <v>19724844.599999998</v>
      </c>
      <c r="M78" s="46">
        <v>1.18</v>
      </c>
      <c r="N78" s="46">
        <v>1</v>
      </c>
    </row>
    <row r="79" spans="1:14" s="45" customFormat="1" ht="15" customHeight="1" x14ac:dyDescent="0.2">
      <c r="A79" s="73">
        <v>11</v>
      </c>
      <c r="B79" s="89" t="s">
        <v>170</v>
      </c>
      <c r="C79" s="87">
        <v>28104</v>
      </c>
      <c r="D79" s="76" t="s">
        <v>133</v>
      </c>
      <c r="E79" s="75">
        <v>2</v>
      </c>
      <c r="F79" s="74" t="s">
        <v>132</v>
      </c>
      <c r="G79" s="63">
        <f t="shared" si="8"/>
        <v>1714068</v>
      </c>
      <c r="H79" s="63">
        <f t="shared" si="9"/>
        <v>3428136</v>
      </c>
      <c r="I79" s="62">
        <v>1345000</v>
      </c>
      <c r="J79" s="49">
        <v>0.19</v>
      </c>
      <c r="K79" s="61">
        <f t="shared" si="10"/>
        <v>1285551</v>
      </c>
      <c r="L79" s="58">
        <f t="shared" si="11"/>
        <v>2571102</v>
      </c>
      <c r="M79" s="46">
        <v>1.18</v>
      </c>
      <c r="N79" s="46">
        <v>1</v>
      </c>
    </row>
    <row r="80" spans="1:14" s="45" customFormat="1" ht="15" customHeight="1" x14ac:dyDescent="0.2">
      <c r="A80" s="69">
        <v>12</v>
      </c>
      <c r="B80" s="89" t="s">
        <v>169</v>
      </c>
      <c r="C80" s="92" t="s">
        <v>168</v>
      </c>
      <c r="D80" s="76" t="s">
        <v>133</v>
      </c>
      <c r="E80" s="75">
        <v>2</v>
      </c>
      <c r="F80" s="74" t="s">
        <v>132</v>
      </c>
      <c r="G80" s="63">
        <f t="shared" si="8"/>
        <v>5621378.4000000013</v>
      </c>
      <c r="H80" s="63">
        <f t="shared" si="9"/>
        <v>11242756.800000003</v>
      </c>
      <c r="I80" s="62">
        <v>4411000</v>
      </c>
      <c r="J80" s="49">
        <v>0.19</v>
      </c>
      <c r="K80" s="61">
        <f t="shared" si="10"/>
        <v>4216033.8000000007</v>
      </c>
      <c r="L80" s="58">
        <f t="shared" si="11"/>
        <v>8432067.6000000015</v>
      </c>
      <c r="M80" s="46">
        <v>1.18</v>
      </c>
      <c r="N80" s="46">
        <v>1</v>
      </c>
    </row>
    <row r="81" spans="1:14" s="45" customFormat="1" ht="15" customHeight="1" x14ac:dyDescent="0.2">
      <c r="A81" s="73">
        <v>13</v>
      </c>
      <c r="B81" s="88" t="s">
        <v>167</v>
      </c>
      <c r="C81" s="91" t="s">
        <v>166</v>
      </c>
      <c r="D81" s="76" t="s">
        <v>133</v>
      </c>
      <c r="E81" s="75">
        <v>6</v>
      </c>
      <c r="F81" s="74" t="s">
        <v>132</v>
      </c>
      <c r="G81" s="63">
        <f t="shared" si="8"/>
        <v>982562.39999999991</v>
      </c>
      <c r="H81" s="63">
        <f t="shared" si="9"/>
        <v>5895374.3999999994</v>
      </c>
      <c r="I81" s="62">
        <v>771000</v>
      </c>
      <c r="J81" s="49">
        <v>0.19</v>
      </c>
      <c r="K81" s="61">
        <f t="shared" si="10"/>
        <v>736921.79999999993</v>
      </c>
      <c r="L81" s="58">
        <f t="shared" si="11"/>
        <v>4421530.8</v>
      </c>
      <c r="M81" s="46">
        <v>1.18</v>
      </c>
      <c r="N81" s="46">
        <v>1</v>
      </c>
    </row>
    <row r="82" spans="1:14" s="45" customFormat="1" ht="15" customHeight="1" x14ac:dyDescent="0.2">
      <c r="A82" s="69">
        <v>14</v>
      </c>
      <c r="B82" s="89" t="s">
        <v>165</v>
      </c>
      <c r="C82" s="90" t="s">
        <v>164</v>
      </c>
      <c r="D82" s="76" t="s">
        <v>133</v>
      </c>
      <c r="E82" s="75">
        <v>1</v>
      </c>
      <c r="F82" s="74" t="s">
        <v>132</v>
      </c>
      <c r="G82" s="63">
        <f t="shared" si="8"/>
        <v>7146835.1999999993</v>
      </c>
      <c r="H82" s="63">
        <f t="shared" si="9"/>
        <v>7146835.1999999993</v>
      </c>
      <c r="I82" s="62">
        <v>5608000</v>
      </c>
      <c r="J82" s="49">
        <v>0.19</v>
      </c>
      <c r="K82" s="61">
        <f t="shared" si="10"/>
        <v>5360126.3999999994</v>
      </c>
      <c r="L82" s="58">
        <f t="shared" si="11"/>
        <v>5360126.3999999994</v>
      </c>
      <c r="M82" s="46">
        <v>1.18</v>
      </c>
      <c r="N82" s="46">
        <v>1</v>
      </c>
    </row>
    <row r="83" spans="1:14" s="45" customFormat="1" ht="15" customHeight="1" x14ac:dyDescent="0.2">
      <c r="A83" s="73">
        <v>15</v>
      </c>
      <c r="B83" s="89" t="s">
        <v>163</v>
      </c>
      <c r="C83" s="87">
        <v>28102</v>
      </c>
      <c r="D83" s="76" t="s">
        <v>133</v>
      </c>
      <c r="E83" s="75">
        <v>6</v>
      </c>
      <c r="F83" s="74" t="s">
        <v>132</v>
      </c>
      <c r="G83" s="63">
        <f t="shared" si="8"/>
        <v>1714068</v>
      </c>
      <c r="H83" s="63">
        <f t="shared" si="9"/>
        <v>10284408</v>
      </c>
      <c r="I83" s="62">
        <v>1345000</v>
      </c>
      <c r="J83" s="49">
        <v>0.19</v>
      </c>
      <c r="K83" s="61">
        <f t="shared" si="10"/>
        <v>1285551</v>
      </c>
      <c r="L83" s="58">
        <f t="shared" si="11"/>
        <v>7713306</v>
      </c>
      <c r="M83" s="46">
        <v>1.18</v>
      </c>
      <c r="N83" s="46">
        <v>1</v>
      </c>
    </row>
    <row r="84" spans="1:14" s="45" customFormat="1" ht="15" customHeight="1" x14ac:dyDescent="0.2">
      <c r="A84" s="73">
        <v>17</v>
      </c>
      <c r="B84" s="89" t="s">
        <v>162</v>
      </c>
      <c r="C84" s="71" t="s">
        <v>161</v>
      </c>
      <c r="D84" s="76" t="s">
        <v>133</v>
      </c>
      <c r="E84" s="53">
        <v>5</v>
      </c>
      <c r="F84" s="74" t="s">
        <v>132</v>
      </c>
      <c r="G84" s="63">
        <f t="shared" si="8"/>
        <v>10243627.199999999</v>
      </c>
      <c r="H84" s="63">
        <f t="shared" si="9"/>
        <v>51218136</v>
      </c>
      <c r="I84" s="62">
        <v>8038000</v>
      </c>
      <c r="J84" s="49">
        <v>0.19</v>
      </c>
      <c r="K84" s="61">
        <f t="shared" si="10"/>
        <v>7682720.3999999994</v>
      </c>
      <c r="L84" s="58">
        <f t="shared" si="11"/>
        <v>38413602</v>
      </c>
      <c r="M84" s="46">
        <v>1.18</v>
      </c>
      <c r="N84" s="46">
        <v>1</v>
      </c>
    </row>
    <row r="85" spans="1:14" s="45" customFormat="1" ht="15" customHeight="1" x14ac:dyDescent="0.2">
      <c r="A85" s="69">
        <v>18</v>
      </c>
      <c r="B85" s="89" t="s">
        <v>160</v>
      </c>
      <c r="C85" s="71" t="s">
        <v>159</v>
      </c>
      <c r="D85" s="76" t="s">
        <v>133</v>
      </c>
      <c r="E85" s="53">
        <v>1</v>
      </c>
      <c r="F85" s="74" t="s">
        <v>132</v>
      </c>
      <c r="G85" s="63">
        <f t="shared" si="8"/>
        <v>12201105.600000001</v>
      </c>
      <c r="H85" s="63">
        <f t="shared" si="9"/>
        <v>12201105.600000001</v>
      </c>
      <c r="I85" s="62">
        <v>9574000</v>
      </c>
      <c r="J85" s="49">
        <v>0.19</v>
      </c>
      <c r="K85" s="61">
        <f t="shared" si="10"/>
        <v>9150829.2000000011</v>
      </c>
      <c r="L85" s="58">
        <f t="shared" si="11"/>
        <v>9150829.2000000011</v>
      </c>
      <c r="M85" s="46">
        <v>1.18</v>
      </c>
      <c r="N85" s="46">
        <v>1</v>
      </c>
    </row>
    <row r="86" spans="1:14" s="45" customFormat="1" ht="15" customHeight="1" x14ac:dyDescent="0.2">
      <c r="A86" s="69">
        <v>16</v>
      </c>
      <c r="B86" s="88" t="s">
        <v>158</v>
      </c>
      <c r="C86" s="87">
        <v>29450</v>
      </c>
      <c r="D86" s="76" t="s">
        <v>133</v>
      </c>
      <c r="E86" s="75">
        <v>12</v>
      </c>
      <c r="F86" s="74" t="s">
        <v>132</v>
      </c>
      <c r="G86" s="63">
        <f t="shared" si="8"/>
        <v>361292.40000000008</v>
      </c>
      <c r="H86" s="63">
        <f t="shared" si="9"/>
        <v>4335508.8000000007</v>
      </c>
      <c r="I86" s="62">
        <v>283500</v>
      </c>
      <c r="J86" s="49">
        <v>0.19</v>
      </c>
      <c r="K86" s="61">
        <f t="shared" si="10"/>
        <v>270969.30000000005</v>
      </c>
      <c r="L86" s="58">
        <f t="shared" si="11"/>
        <v>3251631.6000000006</v>
      </c>
      <c r="M86" s="46">
        <v>1.18</v>
      </c>
      <c r="N86" s="46">
        <v>1</v>
      </c>
    </row>
    <row r="87" spans="1:14" s="45" customFormat="1" ht="15" customHeight="1" x14ac:dyDescent="0.2">
      <c r="A87" s="73">
        <v>17</v>
      </c>
      <c r="B87" s="86" t="s">
        <v>157</v>
      </c>
      <c r="C87" s="85" t="s">
        <v>156</v>
      </c>
      <c r="D87" s="76" t="s">
        <v>133</v>
      </c>
      <c r="E87" s="75">
        <v>1</v>
      </c>
      <c r="F87" s="74" t="s">
        <v>132</v>
      </c>
      <c r="G87" s="63">
        <f t="shared" si="8"/>
        <v>184150.80000000002</v>
      </c>
      <c r="H87" s="63">
        <f t="shared" si="9"/>
        <v>184150.80000000002</v>
      </c>
      <c r="I87" s="62">
        <v>144500</v>
      </c>
      <c r="J87" s="49">
        <v>0.19</v>
      </c>
      <c r="K87" s="61">
        <f t="shared" si="10"/>
        <v>138113.1</v>
      </c>
      <c r="L87" s="58">
        <f t="shared" si="11"/>
        <v>138113.1</v>
      </c>
      <c r="M87" s="46">
        <v>1.18</v>
      </c>
      <c r="N87" s="46">
        <v>1</v>
      </c>
    </row>
    <row r="88" spans="1:14" s="45" customFormat="1" ht="15" customHeight="1" x14ac:dyDescent="0.2">
      <c r="A88" s="69">
        <v>18</v>
      </c>
      <c r="B88" s="84" t="s">
        <v>155</v>
      </c>
      <c r="C88" s="83" t="s">
        <v>154</v>
      </c>
      <c r="D88" s="76" t="s">
        <v>133</v>
      </c>
      <c r="E88" s="75">
        <v>1</v>
      </c>
      <c r="F88" s="74" t="s">
        <v>132</v>
      </c>
      <c r="G88" s="63">
        <f t="shared" si="8"/>
        <v>111510</v>
      </c>
      <c r="H88" s="63">
        <f t="shared" si="9"/>
        <v>111510</v>
      </c>
      <c r="I88" s="62">
        <v>87500</v>
      </c>
      <c r="J88" s="49">
        <v>0.19</v>
      </c>
      <c r="K88" s="61">
        <f t="shared" si="10"/>
        <v>83632.5</v>
      </c>
      <c r="L88" s="58">
        <f t="shared" si="11"/>
        <v>83632.5</v>
      </c>
      <c r="M88" s="46">
        <v>1.18</v>
      </c>
      <c r="N88" s="46">
        <v>1</v>
      </c>
    </row>
    <row r="89" spans="1:14" s="45" customFormat="1" ht="15" customHeight="1" x14ac:dyDescent="0.2">
      <c r="A89" s="73">
        <v>19</v>
      </c>
      <c r="B89" s="84" t="s">
        <v>153</v>
      </c>
      <c r="C89" s="83" t="s">
        <v>152</v>
      </c>
      <c r="D89" s="76" t="s">
        <v>133</v>
      </c>
      <c r="E89" s="75">
        <v>1</v>
      </c>
      <c r="F89" s="74" t="s">
        <v>132</v>
      </c>
      <c r="G89" s="63">
        <f t="shared" si="8"/>
        <v>111510</v>
      </c>
      <c r="H89" s="63">
        <f t="shared" si="9"/>
        <v>111510</v>
      </c>
      <c r="I89" s="62">
        <v>87500</v>
      </c>
      <c r="J89" s="49">
        <v>0.19</v>
      </c>
      <c r="K89" s="61">
        <f t="shared" si="10"/>
        <v>83632.5</v>
      </c>
      <c r="L89" s="58">
        <f t="shared" si="11"/>
        <v>83632.5</v>
      </c>
      <c r="M89" s="46">
        <v>1.18</v>
      </c>
      <c r="N89" s="46">
        <v>1</v>
      </c>
    </row>
    <row r="90" spans="1:14" s="45" customFormat="1" ht="15" customHeight="1" x14ac:dyDescent="0.2">
      <c r="A90" s="69">
        <v>20</v>
      </c>
      <c r="B90" s="84" t="s">
        <v>151</v>
      </c>
      <c r="C90" s="83" t="s">
        <v>150</v>
      </c>
      <c r="D90" s="76" t="s">
        <v>133</v>
      </c>
      <c r="E90" s="75">
        <v>1</v>
      </c>
      <c r="F90" s="74" t="s">
        <v>132</v>
      </c>
      <c r="G90" s="63">
        <f t="shared" si="8"/>
        <v>111510</v>
      </c>
      <c r="H90" s="63">
        <f t="shared" si="9"/>
        <v>111510</v>
      </c>
      <c r="I90" s="62">
        <v>87500</v>
      </c>
      <c r="J90" s="49">
        <v>0.19</v>
      </c>
      <c r="K90" s="61">
        <f t="shared" si="10"/>
        <v>83632.5</v>
      </c>
      <c r="L90" s="58">
        <f t="shared" si="11"/>
        <v>83632.5</v>
      </c>
      <c r="M90" s="46">
        <v>1.18</v>
      </c>
      <c r="N90" s="46">
        <v>1</v>
      </c>
    </row>
    <row r="91" spans="1:14" s="45" customFormat="1" ht="15" customHeight="1" x14ac:dyDescent="0.2">
      <c r="A91" s="73">
        <v>21</v>
      </c>
      <c r="B91" s="72" t="s">
        <v>149</v>
      </c>
      <c r="C91" s="81" t="s">
        <v>148</v>
      </c>
      <c r="D91" s="76" t="s">
        <v>133</v>
      </c>
      <c r="E91" s="75">
        <v>12</v>
      </c>
      <c r="F91" s="74" t="s">
        <v>132</v>
      </c>
      <c r="G91" s="63">
        <f t="shared" si="8"/>
        <v>250419.59999999998</v>
      </c>
      <c r="H91" s="63">
        <f t="shared" si="9"/>
        <v>3005035.1999999997</v>
      </c>
      <c r="I91" s="62">
        <v>196500</v>
      </c>
      <c r="J91" s="49">
        <v>0.19</v>
      </c>
      <c r="K91" s="61">
        <f t="shared" si="10"/>
        <v>187814.69999999998</v>
      </c>
      <c r="L91" s="58">
        <f t="shared" si="11"/>
        <v>2253776.4</v>
      </c>
      <c r="M91" s="46">
        <v>1.18</v>
      </c>
      <c r="N91" s="46">
        <v>1</v>
      </c>
    </row>
    <row r="92" spans="1:14" s="45" customFormat="1" ht="15" customHeight="1" x14ac:dyDescent="0.2">
      <c r="A92" s="69">
        <v>22</v>
      </c>
      <c r="B92" s="82" t="s">
        <v>147</v>
      </c>
      <c r="C92" s="81" t="s">
        <v>146</v>
      </c>
      <c r="D92" s="76" t="s">
        <v>133</v>
      </c>
      <c r="E92" s="75">
        <v>12</v>
      </c>
      <c r="F92" s="74" t="s">
        <v>132</v>
      </c>
      <c r="G92" s="63">
        <f t="shared" si="8"/>
        <v>82198.8</v>
      </c>
      <c r="H92" s="63">
        <f t="shared" si="9"/>
        <v>986385.6</v>
      </c>
      <c r="I92" s="62">
        <v>64500</v>
      </c>
      <c r="J92" s="49">
        <v>0.19</v>
      </c>
      <c r="K92" s="61">
        <f t="shared" si="10"/>
        <v>61649.1</v>
      </c>
      <c r="L92" s="58">
        <f t="shared" si="11"/>
        <v>739789.2</v>
      </c>
      <c r="M92" s="46">
        <v>1.18</v>
      </c>
      <c r="N92" s="46">
        <v>1</v>
      </c>
    </row>
    <row r="93" spans="1:14" s="45" customFormat="1" ht="15" customHeight="1" x14ac:dyDescent="0.2">
      <c r="A93" s="73">
        <v>23</v>
      </c>
      <c r="B93" s="82" t="s">
        <v>145</v>
      </c>
      <c r="C93" s="81" t="s">
        <v>144</v>
      </c>
      <c r="D93" s="76" t="s">
        <v>133</v>
      </c>
      <c r="E93" s="75">
        <v>12</v>
      </c>
      <c r="F93" s="74" t="s">
        <v>132</v>
      </c>
      <c r="G93" s="63">
        <f t="shared" si="8"/>
        <v>82198.8</v>
      </c>
      <c r="H93" s="63">
        <f t="shared" si="9"/>
        <v>986385.6</v>
      </c>
      <c r="I93" s="62">
        <v>64500</v>
      </c>
      <c r="J93" s="49">
        <v>0.19</v>
      </c>
      <c r="K93" s="61">
        <f t="shared" si="10"/>
        <v>61649.1</v>
      </c>
      <c r="L93" s="58">
        <f t="shared" si="11"/>
        <v>739789.2</v>
      </c>
      <c r="M93" s="46">
        <v>1.18</v>
      </c>
      <c r="N93" s="46">
        <v>1</v>
      </c>
    </row>
    <row r="94" spans="1:14" s="45" customFormat="1" ht="15" customHeight="1" x14ac:dyDescent="0.2">
      <c r="A94" s="69">
        <v>24</v>
      </c>
      <c r="B94" s="82" t="s">
        <v>143</v>
      </c>
      <c r="C94" s="81" t="s">
        <v>142</v>
      </c>
      <c r="D94" s="76" t="s">
        <v>133</v>
      </c>
      <c r="E94" s="75">
        <v>12</v>
      </c>
      <c r="F94" s="74" t="s">
        <v>132</v>
      </c>
      <c r="G94" s="63">
        <f t="shared" si="8"/>
        <v>128714.39999999998</v>
      </c>
      <c r="H94" s="63">
        <f t="shared" si="9"/>
        <v>1544572.7999999998</v>
      </c>
      <c r="I94" s="62">
        <v>101000</v>
      </c>
      <c r="J94" s="49">
        <v>0.19</v>
      </c>
      <c r="K94" s="61">
        <f t="shared" si="10"/>
        <v>96535.799999999988</v>
      </c>
      <c r="L94" s="58">
        <f t="shared" si="11"/>
        <v>1158429.5999999999</v>
      </c>
      <c r="M94" s="46">
        <v>1.18</v>
      </c>
      <c r="N94" s="46">
        <v>1</v>
      </c>
    </row>
    <row r="95" spans="1:14" s="45" customFormat="1" ht="15" customHeight="1" x14ac:dyDescent="0.2">
      <c r="A95" s="73">
        <v>25</v>
      </c>
      <c r="B95" s="80" t="s">
        <v>141</v>
      </c>
      <c r="C95" s="79" t="s">
        <v>140</v>
      </c>
      <c r="D95" s="76" t="s">
        <v>133</v>
      </c>
      <c r="E95" s="75">
        <v>12</v>
      </c>
      <c r="F95" s="74" t="s">
        <v>132</v>
      </c>
      <c r="G95" s="63">
        <f t="shared" si="8"/>
        <v>45878.400000000001</v>
      </c>
      <c r="H95" s="63">
        <f t="shared" si="9"/>
        <v>550540.80000000005</v>
      </c>
      <c r="I95" s="62">
        <v>36000</v>
      </c>
      <c r="J95" s="49">
        <v>0.19</v>
      </c>
      <c r="K95" s="61">
        <f t="shared" si="10"/>
        <v>34408.800000000003</v>
      </c>
      <c r="L95" s="58">
        <f t="shared" si="11"/>
        <v>412905.60000000003</v>
      </c>
      <c r="M95" s="46">
        <v>1.18</v>
      </c>
      <c r="N95" s="46">
        <v>1</v>
      </c>
    </row>
    <row r="96" spans="1:14" s="45" customFormat="1" ht="15" customHeight="1" x14ac:dyDescent="0.2">
      <c r="A96" s="69">
        <v>26</v>
      </c>
      <c r="B96" s="78" t="s">
        <v>139</v>
      </c>
      <c r="C96" s="77" t="s">
        <v>138</v>
      </c>
      <c r="D96" s="76" t="s">
        <v>133</v>
      </c>
      <c r="E96" s="75">
        <v>12</v>
      </c>
      <c r="F96" s="74" t="s">
        <v>132</v>
      </c>
      <c r="G96" s="63">
        <f t="shared" si="8"/>
        <v>26762.399999999998</v>
      </c>
      <c r="H96" s="63">
        <f t="shared" si="9"/>
        <v>321148.79999999999</v>
      </c>
      <c r="I96" s="62">
        <v>21000</v>
      </c>
      <c r="J96" s="49">
        <v>0.19</v>
      </c>
      <c r="K96" s="61">
        <f t="shared" si="10"/>
        <v>20071.8</v>
      </c>
      <c r="L96" s="58">
        <f t="shared" si="11"/>
        <v>240861.59999999998</v>
      </c>
      <c r="M96" s="46">
        <v>1.18</v>
      </c>
      <c r="N96" s="46">
        <v>1</v>
      </c>
    </row>
    <row r="97" spans="1:14" s="45" customFormat="1" ht="15" customHeight="1" x14ac:dyDescent="0.2">
      <c r="A97" s="73">
        <v>27</v>
      </c>
      <c r="B97" s="72" t="s">
        <v>137</v>
      </c>
      <c r="C97" s="71" t="s">
        <v>136</v>
      </c>
      <c r="D97" s="70" t="s">
        <v>133</v>
      </c>
      <c r="E97" s="53">
        <v>1</v>
      </c>
      <c r="F97" s="52" t="s">
        <v>132</v>
      </c>
      <c r="G97" s="63">
        <f t="shared" si="8"/>
        <v>1691128.7999999998</v>
      </c>
      <c r="H97" s="63">
        <f t="shared" si="9"/>
        <v>1691128.7999999998</v>
      </c>
      <c r="I97" s="62">
        <v>1327000</v>
      </c>
      <c r="J97" s="49">
        <v>0.19</v>
      </c>
      <c r="K97" s="61">
        <f t="shared" si="10"/>
        <v>1268346.5999999999</v>
      </c>
      <c r="L97" s="58">
        <f t="shared" si="11"/>
        <v>1268346.5999999999</v>
      </c>
      <c r="M97" s="46">
        <v>1.18</v>
      </c>
      <c r="N97" s="46">
        <v>1</v>
      </c>
    </row>
    <row r="98" spans="1:14" s="45" customFormat="1" ht="15" customHeight="1" x14ac:dyDescent="0.2">
      <c r="A98" s="69">
        <v>28</v>
      </c>
      <c r="B98" s="68" t="s">
        <v>135</v>
      </c>
      <c r="C98" s="67" t="s">
        <v>134</v>
      </c>
      <c r="D98" s="66" t="s">
        <v>133</v>
      </c>
      <c r="E98" s="65">
        <v>12</v>
      </c>
      <c r="F98" s="64" t="s">
        <v>132</v>
      </c>
      <c r="G98" s="63">
        <f t="shared" si="8"/>
        <v>256154.39999999994</v>
      </c>
      <c r="H98" s="63">
        <f t="shared" si="9"/>
        <v>3073852.7999999993</v>
      </c>
      <c r="I98" s="62">
        <v>201000</v>
      </c>
      <c r="J98" s="49">
        <v>0.19</v>
      </c>
      <c r="K98" s="61">
        <f t="shared" si="10"/>
        <v>192115.8</v>
      </c>
      <c r="L98" s="58">
        <f t="shared" si="11"/>
        <v>2305389.5999999996</v>
      </c>
      <c r="M98" s="46">
        <v>1.18</v>
      </c>
      <c r="N98" s="46">
        <v>1</v>
      </c>
    </row>
    <row r="99" spans="1:14" s="45" customFormat="1" ht="15" customHeight="1" x14ac:dyDescent="0.25">
      <c r="A99" s="57"/>
      <c r="B99" s="60"/>
      <c r="C99" s="59"/>
      <c r="D99" s="54"/>
      <c r="E99" s="53"/>
      <c r="F99" s="52"/>
      <c r="G99" s="51"/>
      <c r="H99" s="51"/>
      <c r="I99" s="50"/>
      <c r="J99" s="49"/>
      <c r="K99" s="48"/>
      <c r="L99" s="58"/>
      <c r="M99" s="46"/>
      <c r="N99" s="46"/>
    </row>
    <row r="100" spans="1:14" s="45" customFormat="1" ht="15" customHeight="1" x14ac:dyDescent="0.25">
      <c r="A100" s="57"/>
      <c r="B100" s="56" t="s">
        <v>131</v>
      </c>
      <c r="C100" s="55">
        <f>C5+C38+C68</f>
        <v>1471849986.1333332</v>
      </c>
      <c r="D100" s="54"/>
      <c r="E100" s="53"/>
      <c r="F100" s="52"/>
      <c r="G100" s="51"/>
      <c r="H100" s="51"/>
      <c r="I100" s="50"/>
      <c r="J100" s="49"/>
      <c r="K100" s="48"/>
      <c r="L100" s="47">
        <f>L5+L38+L68</f>
        <v>1103887489.6000001</v>
      </c>
      <c r="M100" s="46"/>
      <c r="N100" s="46"/>
    </row>
    <row r="101" spans="1:14" ht="15.95" customHeight="1" x14ac:dyDescent="0.25"/>
    <row r="102" spans="1:14" s="39" customFormat="1" x14ac:dyDescent="0.25">
      <c r="A102" s="44"/>
      <c r="B102" s="38"/>
      <c r="C102" s="43"/>
      <c r="D102" s="38"/>
      <c r="E102" s="38"/>
      <c r="F102" s="38"/>
      <c r="G102" s="38"/>
      <c r="H102" s="38"/>
      <c r="I102" s="40"/>
      <c r="J102" s="38"/>
      <c r="K102" s="38"/>
      <c r="L102" s="40"/>
      <c r="M102" s="38"/>
    </row>
    <row r="103" spans="1:14" s="39" customFormat="1" x14ac:dyDescent="0.25">
      <c r="A103" s="44"/>
      <c r="B103" s="38"/>
      <c r="C103" s="43"/>
      <c r="D103" s="38"/>
      <c r="E103" s="38"/>
      <c r="F103" s="38"/>
      <c r="G103" s="38"/>
      <c r="H103" s="38"/>
      <c r="I103" s="40"/>
      <c r="J103" s="38"/>
      <c r="K103" s="38"/>
      <c r="L103" s="40"/>
      <c r="M103" s="38"/>
    </row>
    <row r="104" spans="1:14" s="39" customFormat="1" x14ac:dyDescent="0.25">
      <c r="A104" s="44"/>
      <c r="B104" s="38"/>
      <c r="C104" s="43"/>
      <c r="D104" s="38"/>
      <c r="E104" s="38"/>
      <c r="F104" s="38"/>
      <c r="G104" s="38"/>
      <c r="H104" s="38"/>
      <c r="I104" s="40"/>
      <c r="J104" s="38"/>
      <c r="K104" s="38"/>
      <c r="L104" s="40"/>
      <c r="M104" s="38"/>
    </row>
  </sheetData>
  <mergeCells count="1">
    <mergeCell ref="A1:H1"/>
  </mergeCells>
  <pageMargins left="0.35" right="0.25" top="1.1000000000000001" bottom="1.25" header="0.3" footer="0.3"/>
  <pageSetup paperSize="9" orientation="landscape" horizontalDpi="300" verticalDpi="300" r:id="rId1"/>
  <headerFooter alignWithMargins="0">
    <oddHeader>&amp;L&amp;G</oddHeader>
    <oddFooter>&amp;L&amp;"Arial,Regular"&amp;8&amp;K0070C0PT. Jakarta Process AutomationJl. Rawamangun Muka Raya 1A Jakarta 13220 Phone: 021-4707038 Fax : 021-47860587&amp;R&amp;"Arial,Regular"&amp;8&amp;Y&amp;F&amp;P/&amp;N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R0</vt:lpstr>
      <vt:lpstr>Agitator Mix Vessel</vt:lpstr>
      <vt:lpstr>Homigenizer</vt:lpstr>
      <vt:lpstr>mixer to linePump</vt:lpstr>
      <vt:lpstr>draft-quote</vt:lpstr>
      <vt:lpstr>'Agitator Mix Vessel'!Print_Area</vt:lpstr>
      <vt:lpstr>'draft-quote'!Print_Area</vt:lpstr>
      <vt:lpstr>'mixer to linePump'!Print_Titles</vt:lpstr>
      <vt:lpstr>R0!Print_Titles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Ikhwan Wahyudi</dc:creator>
  <cp:lastModifiedBy>ASUS</cp:lastModifiedBy>
  <cp:lastPrinted>2013-09-20T07:47:27Z</cp:lastPrinted>
  <dcterms:created xsi:type="dcterms:W3CDTF">2013-09-10T02:46:11Z</dcterms:created>
  <dcterms:modified xsi:type="dcterms:W3CDTF">2017-06-16T00:37:07Z</dcterms:modified>
</cp:coreProperties>
</file>