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olisservices-my.sharepoint.com/personal/m_karampasis_uu_nl/Documents/WS_Mdl/Mng/"/>
    </mc:Choice>
  </mc:AlternateContent>
  <xr:revisionPtr revIDLastSave="560" documentId="13_ncr:1_{7A66306F-20CB-4569-A9D0-64235774BF43}" xr6:coauthVersionLast="47" xr6:coauthVersionMax="47" xr10:uidLastSave="{E4E2FD58-CE8A-4289-A739-7DF2CF901B7C}"/>
  <bookViews>
    <workbookView xWindow="-120" yWindow="-120" windowWidth="29040" windowHeight="15720" activeTab="8" xr2:uid="{00000000-000D-0000-FFFF-FFFF00000000}"/>
  </bookViews>
  <sheets>
    <sheet name="Info" sheetId="5" r:id="rId1"/>
    <sheet name="NBr" sheetId="1" r:id="rId2"/>
    <sheet name="SFR_requirements" sheetId="8" r:id="rId3"/>
    <sheet name="NBr_TS_Ext" sheetId="7" r:id="rId4"/>
    <sheet name="NBr_minor" sheetId="6" r:id="rId5"/>
    <sheet name="SFR_limitations" sheetId="9" r:id="rId6"/>
    <sheet name="Categories" sheetId="2" r:id="rId7"/>
    <sheet name="iMOD_bugs" sheetId="10" r:id="rId8"/>
    <sheet name="RscEst" sheetId="11" r:id="rId9"/>
  </sheets>
  <definedNames>
    <definedName name="_xlnm._FilterDatabase" localSheetId="1" hidden="1">NBr!$A$1:$O$15</definedName>
    <definedName name="_xlnm._FilterDatabase" localSheetId="4" hidden="1">NBr_minor!$A$1:$G$14</definedName>
  </definedName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11" l="1"/>
  <c r="H15" i="11"/>
  <c r="G15" i="11"/>
  <c r="F15" i="11"/>
  <c r="E15" i="11"/>
  <c r="O16" i="11"/>
  <c r="O17" i="11"/>
  <c r="O15" i="11"/>
  <c r="L6" i="11"/>
  <c r="E6" i="11"/>
  <c r="I5" i="11"/>
  <c r="F5" i="11"/>
  <c r="I4" i="11"/>
  <c r="F4" i="11"/>
  <c r="L2" i="11"/>
  <c r="L3" i="11" s="1"/>
  <c r="L5" i="11" s="1"/>
  <c r="E3" i="11"/>
  <c r="J3" i="11" s="1"/>
  <c r="K3" i="11" s="1"/>
  <c r="M3" i="11" l="1"/>
  <c r="N3" i="11" s="1"/>
  <c r="O3" i="11" s="1"/>
  <c r="L4" i="11"/>
  <c r="E5" i="11"/>
  <c r="M6" i="11"/>
  <c r="N6" i="11" s="1"/>
  <c r="O6" i="11" s="1"/>
  <c r="M5" i="11"/>
  <c r="N5" i="11" s="1"/>
  <c r="O5" i="11" s="1"/>
  <c r="J5" i="11"/>
  <c r="K5" i="11" s="1"/>
  <c r="J6" i="11"/>
  <c r="K6" i="11" s="1"/>
  <c r="E2" i="11"/>
  <c r="M3" i="1"/>
  <c r="M4" i="1" s="1"/>
  <c r="N4" i="1" s="1"/>
  <c r="M5" i="1" s="1"/>
  <c r="N5" i="1" s="1"/>
  <c r="M6" i="1" s="1"/>
  <c r="N6" i="1" s="1"/>
  <c r="M7" i="1" s="1"/>
  <c r="N7" i="1" s="1"/>
  <c r="M8" i="1" s="1"/>
  <c r="N8" i="1" s="1"/>
  <c r="M9" i="1" s="1"/>
  <c r="J2" i="11" l="1"/>
  <c r="K2" i="11" s="1"/>
  <c r="E4" i="11"/>
  <c r="M2" i="11"/>
  <c r="N2" i="11" s="1"/>
  <c r="O2" i="11" s="1"/>
  <c r="M10" i="1"/>
  <c r="N9" i="1"/>
  <c r="N3" i="1"/>
  <c r="M4" i="11" l="1"/>
  <c r="N4" i="11" s="1"/>
  <c r="O4" i="11" s="1"/>
  <c r="J4" i="11"/>
  <c r="K4" i="11" s="1"/>
  <c r="N10" i="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J1" authorId="0"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H2" authorId="1"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3" authorId="2"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B4" authorId="3"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H4" authorId="4"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D5" authorId="5"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E5" authorId="6"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F5" authorId="7"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H5" authorId="8"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D6" authorId="9"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E6" authorId="10"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G6" authorId="11"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H6" authorId="12"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D7" authorId="13"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E7" authorId="14"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H7" authorId="15"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G8" authorId="16"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H8" authorId="17"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tc={8E0E0613-5620-4CD4-A681-6187F9B32A6D}</author>
    <author>tc={4C755D57-E80D-4678-A151-E00B776F1F03}</author>
    <author>tc={93547DE0-9536-496B-8566-6EFCF9FF2A35}</author>
    <author>tc={7E713826-36E7-4481-BEC8-8BCBDA63C1CC}</author>
    <author>tc={F1BEC491-BB3D-421D-B1D1-B5EC7D86B0DA}</author>
  </authors>
  <commentList>
    <comment ref="J1" authorId="0" shapeId="0" xr:uid="{8E0E0613-5620-4CD4-A681-6187F9B32A6D}">
      <text>
        <t>[Threaded comment]
Your version of Excel allows you to read this threaded comment; however, any edits to it will get removed if the file is opened in a newer version of Excel. Learn more: https://go.microsoft.com/fwlink/?linkid=870924
Comment:
    Just for the .HED file</t>
      </text>
    </comment>
    <comment ref="K1" authorId="1" shapeId="0" xr:uid="{4C755D57-E80D-4678-A151-E00B776F1F03}">
      <text>
        <t>[Threaded comment]
Your version of Excel allows you to read this threaded comment; however, any edits to it will get removed if the file is opened in a newer version of Excel. Learn more: https://go.microsoft.com/fwlink/?linkid=870924
Comment:
    Rough estimate, as I'm not sure about all the outputs that'll be produced.</t>
      </text>
    </comment>
    <comment ref="O1" authorId="2" shapeId="0" xr:uid="{93547DE0-9536-496B-8566-6EFCF9FF2A35}">
      <text>
        <t>[Threaded comment]
Your version of Excel allows you to read this threaded comment; however, any edits to it will get removed if the file is opened in a newer version of Excel. Learn more: https://go.microsoft.com/fwlink/?linkid=870924
Comment:
    Assuming 50x speed-up over 1 core.</t>
      </text>
    </comment>
    <comment ref="L2" authorId="3" shapeId="0" xr:uid="{7E713826-36E7-4481-BEC8-8BCBDA63C1CC}">
      <text>
        <t xml:space="preserve">[Threaded comment]
Your version of Excel allows you to read this threaded comment; however, any edits to it will get removed if the file is opened in a newer version of Excel. Learn more: https://go.microsoft.com/fwlink/?linkid=870924
Comment:
    Based on NBr5 (I'm hoping this is an overestimate, as Research cloud should be much faster than OneDrive).
</t>
      </text>
    </comment>
    <comment ref="J14" authorId="4" shapeId="0" xr:uid="{F1BEC491-BB3D-421D-B1D1-B5EC7D86B0DA}">
      <text>
        <t>[Threaded comment]
Your version of Excel allows you to read this threaded comment; however, any edits to it will get removed if the file is opened in a newer version of Excel. Learn more: https://go.microsoft.com/fwlink/?linkid=870924
Comment:
    Just for the .HED file</t>
      </text>
    </comment>
  </commentList>
</comments>
</file>

<file path=xl/sharedStrings.xml><?xml version="1.0" encoding="utf-8"?>
<sst xmlns="http://schemas.openxmlformats.org/spreadsheetml/2006/main" count="332" uniqueCount="266">
  <si>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</si>
  <si>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</si>
  <si>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</si>
  <si>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</si>
  <si>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</si>
  <si>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</si>
  <si>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</si>
  <si>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</si>
  <si>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</si>
  <si>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</si>
  <si>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</si>
  <si>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</si>
  <si>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</si>
  <si>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</si>
  <si>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</si>
  <si>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</si>
  <si>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</si>
  <si>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</si>
  <si>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</si>
  <si>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</si>
  <si>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</si>
  <si>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</si>
  <si>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</si>
  <si>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</si>
  <si>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</si>
  <si>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</si>
  <si>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</si>
  <si>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</si>
  <si>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</si>
  <si>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</si>
  <si>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</si>
  <si>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</si>
  <si>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</si>
  <si>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</si>
  <si>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</si>
  <si>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</si>
  <si>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</si>
  <si>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</si>
  <si>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</si>
  <si>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</si>
  <si>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</si>
  <si>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</si>
  <si>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</si>
  <si>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</si>
  <si>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</si>
  <si>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</si>
  <si>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</si>
  <si>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</si>
  <si>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</si>
  <si>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</si>
  <si>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</si>
  <si>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</si>
  <si>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</si>
  <si>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</si>
  <si>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</si>
  <si>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</si>
  <si>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</si>
  <si>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</si>
  <si>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</si>
  <si>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</si>
  <si>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</si>
  <si>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</si>
  <si>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</si>
  <si>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</si>
  <si>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</si>
  <si>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</si>
  <si>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</si>
  <si>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</si>
  <si>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</si>
  <si>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</si>
  <si>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</si>
  <si>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</si>
  <si>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</si>
  <si>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</si>
  <si>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</si>
  <si>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</si>
  <si>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</si>
  <si>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</si>
  <si>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</si>
  <si>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</si>
  <si>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</si>
  <si>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</si>
  <si>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</si>
  <si>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</si>
  <si>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</si>
  <si>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</si>
  <si>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</si>
  <si>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</si>
  <si>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</si>
  <si>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</si>
  <si>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</si>
  <si>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</si>
  <si>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</si>
  <si>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</si>
  <si>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</si>
  <si>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</si>
  <si>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</si>
  <si>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</si>
  <si>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</si>
  <si>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</si>
  <si>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</si>
  <si>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</si>
  <si>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</si>
  <si>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</si>
  <si>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</si>
  <si>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</si>
  <si>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</si>
  <si>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</si>
  <si>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</si>
  <si>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</si>
  <si>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</si>
  <si>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r>
      <t xml:space="preserve">Creation of </t>
    </r>
    <r>
      <rPr>
        <b/>
        <sz val="11"/>
        <color rgb="FFC00000"/>
        <rFont val="Roboto"/>
      </rPr>
      <t>SimLog</t>
    </r>
    <r>
      <rPr>
        <sz val="11"/>
        <color rgb="FFC00000"/>
        <rFont val="Roboto"/>
      </rPr>
      <t xml:space="preserve"> &amp; </t>
    </r>
    <r>
      <rPr>
        <b/>
        <sz val="11"/>
        <color rgb="FFC00000"/>
        <rFont val="Roboto"/>
      </rPr>
      <t xml:space="preserve">SimMng </t>
    </r>
    <r>
      <rPr>
        <sz val="11"/>
        <color rgb="FFC00000"/>
        <rFont val="Roboto"/>
      </rPr>
      <t>code</t>
    </r>
  </si>
  <si>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</si>
  <si>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</si>
  <si>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This works in combination with the use of Sim numbers. It's an overall system for keeping track of changes.</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</si>
  <si>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</si>
  <si>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</si>
  <si>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</si>
  <si>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</si>
  <si>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</si>
  <si>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</si>
  <si>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</si>
  <si>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</si>
  <si>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</si>
  <si>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</si>
  <si>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</si>
  <si>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</si>
  <si>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</si>
  <si>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</si>
  <si>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</si>
  <si>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</si>
  <si>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</si>
  <si>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</si>
  <si>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</si>
  <si>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</si>
  <si>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</si>
  <si>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</si>
  <si>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</si>
  <si>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</si>
  <si>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</si>
  <si>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</si>
  <si>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</si>
  <si>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</si>
  <si>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</si>
  <si>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</si>
  <si>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</si>
  <si>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</si>
  <si>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</si>
  <si>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</si>
  <si>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</si>
  <si>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</si>
  <si>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</si>
  <si>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</si>
  <si>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</si>
  <si>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</si>
  <si>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</si>
  <si>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</si>
  <si>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</si>
  <si>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</si>
  <si>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</si>
  <si>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</si>
  <si>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</si>
  <si>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</si>
  <si>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</si>
  <si>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</si>
  <si>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</si>
  <si>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</si>
  <si>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</si>
  <si>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</si>
  <si>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</si>
  <si>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</si>
  <si>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</si>
  <si>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</si>
  <si>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</si>
  <si>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</si>
  <si>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</si>
  <si>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</si>
  <si>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</si>
  <si>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</si>
  <si>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</si>
  <si>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</si>
  <si>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</si>
  <si>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</si>
  <si>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</si>
  <si>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</si>
  <si>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</si>
  <si>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</si>
  <si>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</si>
  <si>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</si>
  <si>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</si>
  <si>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</si>
  <si>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</si>
  <si>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</si>
  <si>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</si>
  <si>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</si>
  <si>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</si>
  <si>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</si>
  <si>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</si>
  <si>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</si>
  <si>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</si>
  <si>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</si>
  <si>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</si>
  <si>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</si>
  <si>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</si>
  <si>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</si>
  <si>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</si>
  <si>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</si>
  <si>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</si>
  <si>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</si>
  <si>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</si>
  <si>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</si>
  <si>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</si>
  <si>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</si>
  <si>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</si>
  <si>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</si>
  <si>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</si>
  <si>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</si>
  <si>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</si>
  <si>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</si>
  <si>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</si>
  <si>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</si>
  <si>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</si>
  <si>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</si>
  <si>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</si>
  <si>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</si>
  <si>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</si>
  <si>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</si>
  <si>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</si>
  <si>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</si>
  <si>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</si>
  <si>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</si>
  <si>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</si>
  <si>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</si>
  <si>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</si>
  <si>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</si>
  <si>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</si>
  <si>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</si>
  <si>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</si>
  <si>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</si>
  <si>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Can't read OBS file (I had to make a my modified function to read a PRJ file with OBS)</t>
  </si>
  <si>
    <t>SHD array cannot have nan values, even when the layer thickness is 0 (so those cells become innactive) for some reason.</t>
  </si>
  <si>
    <t>Layers</t>
  </si>
  <si>
    <t>Rows</t>
  </si>
  <si>
    <t>Cols</t>
  </si>
  <si>
    <t>SPs</t>
  </si>
  <si>
    <t>Description</t>
  </si>
  <si>
    <t>TS (days)</t>
  </si>
  <si>
    <t>B per Val</t>
  </si>
  <si>
    <t>CPU h</t>
  </si>
  <si>
    <t>CPU d</t>
  </si>
  <si>
    <t>CPU SP/h</t>
  </si>
  <si>
    <t>HD Size (GB)</t>
  </si>
  <si>
    <t>Total Size (TB)</t>
  </si>
  <si>
    <t>Sim length (years)</t>
  </si>
  <si>
    <t>Run Dur (60-core)</t>
  </si>
  <si>
    <t>N Brabant 30 year Sim (1 ensemble member)</t>
  </si>
  <si>
    <t>N Brabant 960 year run (all 8 enseble members, 4 emission Scs)</t>
  </si>
  <si>
    <t>Chaamse Beek 30 year Sim (1 enseble member)</t>
  </si>
  <si>
    <t>Chaamse Beek 960 year run (all 8 enseble members, 4 emission Scs)</t>
  </si>
  <si>
    <t>Chaamse Beek Vld run</t>
  </si>
  <si>
    <t>Researc cloud storage cost calcs</t>
  </si>
  <si>
    <t>Duration (days)</t>
  </si>
  <si>
    <t>Cost (credits)</t>
  </si>
  <si>
    <t>Cost/storage/day</t>
  </si>
  <si>
    <t>Storage (TB)</t>
  </si>
  <si>
    <t>HD size 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</si>
</sst>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
      <b/>
      <sz val="11"/>
      <name val="Calibri"/>
      <family val="2"/>
      <scheme val="minor"/>
    </font>
    <font>
      <sz val="9"/>
      <color indexed="81"/>
      <name val="Tahoma"/>
      <charset val="1"/>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34">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s>
  <cellStyleXfs count="1">
    <xf numFmtId="0" fontId="0" fillId="0" borderId="0"/>
  </cellStyleXfs>
  <cellXfs count="199">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xf numFmtId="0" fontId="0" fillId="0" borderId="5" xfId="0" applyBorder="1"/>
    <xf numFmtId="0" fontId="0" fillId="0" borderId="0" xfId="0" applyBorder="1"/>
    <xf numFmtId="0" fontId="0" fillId="0" borderId="2" xfId="0"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164" fontId="0" fillId="0" borderId="0" xfId="0" applyNumberFormat="1"/>
    <xf numFmtId="1" fontId="0" fillId="0" borderId="5" xfId="0" applyNumberFormat="1" applyBorder="1"/>
    <xf numFmtId="1" fontId="0" fillId="0" borderId="0" xfId="0" applyNumberFormat="1"/>
    <xf numFmtId="164" fontId="0" fillId="0" borderId="2" xfId="0" applyNumberFormat="1" applyBorder="1"/>
    <xf numFmtId="1" fontId="0" fillId="0" borderId="0" xfId="0" applyNumberFormat="1" applyBorder="1"/>
    <xf numFmtId="1" fontId="20" fillId="0" borderId="4"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164" fontId="20" fillId="0" borderId="3" xfId="0" applyNumberFormat="1" applyFont="1" applyFill="1" applyBorder="1" applyAlignment="1">
      <alignment horizontal="center" vertical="center" wrapText="1"/>
    </xf>
    <xf numFmtId="0" fontId="0" fillId="3" borderId="0" xfId="0" applyFill="1" applyBorder="1"/>
    <xf numFmtId="1" fontId="0" fillId="3" borderId="0" xfId="0" applyNumberFormat="1" applyFill="1" applyBorder="1"/>
    <xf numFmtId="164" fontId="0" fillId="3" borderId="2" xfId="0" applyNumberFormat="1" applyFill="1" applyBorder="1"/>
    <xf numFmtId="0" fontId="20" fillId="0" borderId="1" xfId="0" applyFont="1" applyBorder="1" applyAlignment="1">
      <alignment horizontal="center" vertical="center" wrapText="1"/>
    </xf>
    <xf numFmtId="1" fontId="20" fillId="0" borderId="1" xfId="0" applyNumberFormat="1" applyFont="1" applyBorder="1" applyAlignment="1">
      <alignment horizontal="center" vertical="center" wrapText="1"/>
    </xf>
    <xf numFmtId="164" fontId="0" fillId="3" borderId="0" xfId="0" applyNumberFormat="1" applyFill="1" applyBorder="1"/>
    <xf numFmtId="164" fontId="0" fillId="0" borderId="0" xfId="0" applyNumberFormat="1" applyBorder="1"/>
    <xf numFmtId="0" fontId="1" fillId="0" borderId="0" xfId="0"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0" fillId="0" borderId="0" xfId="0" applyNumberFormat="1"/>
    <xf numFmtId="0" fontId="1" fillId="0" borderId="0" xfId="0" applyFont="1" applyBorder="1" applyAlignment="1">
      <alignment horizontal="center" vertical="center"/>
    </xf>
    <xf numFmtId="0" fontId="1" fillId="0" borderId="0" xfId="0" applyFont="1" applyAlignment="1">
      <alignment horizontal="center"/>
    </xf>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10</xdr:col>
      <xdr:colOff>287092</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0</xdr:rowOff>
    </xdr:from>
    <xdr:to>
      <xdr:col>17</xdr:col>
      <xdr:colOff>255930</xdr:colOff>
      <xdr:row>19</xdr:row>
      <xdr:rowOff>113833</xdr:rowOff>
    </xdr:to>
    <xdr:pic>
      <xdr:nvPicPr>
        <xdr:cNvPr id="2" name="Picture 1">
          <a:extLst>
            <a:ext uri="{FF2B5EF4-FFF2-40B4-BE49-F238E27FC236}">
              <a16:creationId xmlns:a16="http://schemas.microsoft.com/office/drawing/2014/main" id="{83B04434-7855-49DD-B4FC-C3BBC62C08ED}"/>
            </a:ext>
          </a:extLst>
        </xdr:cNvPr>
        <xdr:cNvPicPr>
          <a:picLocks noChangeAspect="1"/>
        </xdr:cNvPicPr>
      </xdr:nvPicPr>
      <xdr:blipFill>
        <a:blip xmlns:r="http://schemas.openxmlformats.org/officeDocument/2006/relationships" r:embed="rId1"/>
        <a:stretch>
          <a:fillRect/>
        </a:stretch>
      </xdr:blipFill>
      <xdr:spPr>
        <a:xfrm>
          <a:off x="657225" y="0"/>
          <a:ext cx="9961905" cy="3733333"/>
        </a:xfrm>
        <a:prstGeom prst="rect">
          <a:avLst/>
        </a:prstGeom>
      </xdr:spPr>
    </xdr:pic>
    <xdr:clientData/>
  </xdr:twoCellAnchor>
  <xdr:twoCellAnchor editAs="oneCell">
    <xdr:from>
      <xdr:col>1</xdr:col>
      <xdr:colOff>19050</xdr:colOff>
      <xdr:row>23</xdr:row>
      <xdr:rowOff>28575</xdr:rowOff>
    </xdr:from>
    <xdr:to>
      <xdr:col>13</xdr:col>
      <xdr:colOff>494326</xdr:colOff>
      <xdr:row>61</xdr:row>
      <xdr:rowOff>46718</xdr:rowOff>
    </xdr:to>
    <xdr:pic>
      <xdr:nvPicPr>
        <xdr:cNvPr id="3" name="Picture 2">
          <a:extLst>
            <a:ext uri="{FF2B5EF4-FFF2-40B4-BE49-F238E27FC236}">
              <a16:creationId xmlns:a16="http://schemas.microsoft.com/office/drawing/2014/main" id="{2516E69E-445A-43A3-E91B-36F40D5EAD3B}"/>
            </a:ext>
          </a:extLst>
        </xdr:cNvPr>
        <xdr:cNvPicPr>
          <a:picLocks noChangeAspect="1"/>
        </xdr:cNvPicPr>
      </xdr:nvPicPr>
      <xdr:blipFill>
        <a:blip xmlns:r="http://schemas.openxmlformats.org/officeDocument/2006/relationships" r:embed="rId2"/>
        <a:stretch>
          <a:fillRect/>
        </a:stretch>
      </xdr:blipFill>
      <xdr:spPr>
        <a:xfrm>
          <a:off x="628650" y="4410075"/>
          <a:ext cx="7790476" cy="72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82826</xdr:rowOff>
    </xdr:from>
    <xdr:to>
      <xdr:col>3</xdr:col>
      <xdr:colOff>306456</xdr:colOff>
      <xdr:row>41</xdr:row>
      <xdr:rowOff>49696</xdr:rowOff>
    </xdr:to>
    <xdr:pic>
      <xdr:nvPicPr>
        <xdr:cNvPr id="2" name="Picture 1">
          <a:extLst>
            <a:ext uri="{FF2B5EF4-FFF2-40B4-BE49-F238E27FC236}">
              <a16:creationId xmlns:a16="http://schemas.microsoft.com/office/drawing/2014/main" id="{AE7D1801-8FA5-91BB-6BF6-E1F0BE5CDAA6}"/>
            </a:ext>
          </a:extLst>
        </xdr:cNvPr>
        <xdr:cNvPicPr>
          <a:picLocks noChangeAspect="1"/>
        </xdr:cNvPicPr>
      </xdr:nvPicPr>
      <xdr:blipFill rotWithShape="1">
        <a:blip xmlns:r="http://schemas.openxmlformats.org/officeDocument/2006/relationships" r:embed="rId1"/>
        <a:srcRect r="46850" b="13173"/>
        <a:stretch/>
      </xdr:blipFill>
      <xdr:spPr>
        <a:xfrm>
          <a:off x="0" y="3155674"/>
          <a:ext cx="5599043" cy="51186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5-02-17T08:37:58.38" personId="{03CB0575-C3E6-4F90-B161-647A816C1753}" id="{F47377D2-DB22-48BD-B267-D756470B10CD}">
    <text>This means if the file references in some of the input files need to be extended.</text>
  </threadedComment>
  <threadedComment ref="H2" dT="2024-12-13T13:22:33.04" personId="{03CB0575-C3E6-4F90-B161-647A816C1753}" id="{51021B21-D9BA-4A5A-A695-7311ED30D49C}">
    <text>Depends on when the KNMI TS start</text>
  </threadedComment>
  <threadedComment ref="H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3" dT="2024-12-13T13:22:33.04" personId="{03CB0575-C3E6-4F90-B161-647A816C1753}" id="{A0D4D92F-F97F-4E4D-9E2D-7CECE4E5B881}">
    <text>Depends on when the KNMI TS start</text>
  </threadedComment>
  <threadedComment ref="H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B4" dT="2025-02-07T15:52:34.17" personId="{03CB0575-C3E6-4F90-B161-647A816C1753}" id="{F4BD67AD-A2E6-4CEB-AD66-3C0C4ADD3B0B}">
    <text>For each parameter</text>
  </threadedComment>
  <threadedComment ref="H4" dT="2024-12-13T13:22:33.04" personId="{03CB0575-C3E6-4F90-B161-647A816C1753}" id="{DBB861FB-04E1-49BE-9EA5-2D89AF54F60D}">
    <text>Depends on when the KNMI TS start</text>
  </threadedComment>
  <threadedComment ref="H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D5" dT="2025-02-07T15:34:48.07" personId="{03CB0575-C3E6-4F90-B161-647A816C1753}" id="{5B374DC3-3119-4E34-A91B-C83666A6DAEF}">
    <text>All GWAbs of this group start on the same date, even if they're 0 for a long time.</text>
  </threadedComment>
  <threadedComment ref="E5" dT="2025-02-07T15:36:12.62" personId="{03CB0575-C3E6-4F90-B161-647A816C1753}" id="{FDDC49D8-0FAA-45A7-BD57-1EECA209FBAA}">
    <text>Same end date for all.</text>
  </threadedComment>
  <threadedComment ref="F5" dT="2025-02-07T15:36:24.70" personId="{03CB0575-C3E6-4F90-B161-647A816C1753}" id="{ED65844E-9A96-4AED-BAD8-3BA7AF601E65}">
    <text>There is an extra data point for all.</text>
  </threadedComment>
  <threadedComment ref="H5" dT="2025-02-07T15:38:12.52" personId="{03CB0575-C3E6-4F90-B161-647A816C1753}" id="{33FB2B50-261A-4BF3-8678-324B1DEC7969}">
    <text>If we calibrate till 2018 (inc), then no. Otherwise, yes.</text>
  </threadedComment>
  <threadedComment ref="D6" dT="2025-02-07T15:39:30.81" personId="{03CB0575-C3E6-4F90-B161-647A816C1753}" id="{827DF360-A523-4B9C-96E3-B5AC17F6D9A1}">
    <text>For all.</text>
  </threadedComment>
  <threadedComment ref="E6" dT="2025-02-07T15:39:44.26" personId="{03CB0575-C3E6-4F90-B161-647A816C1753}" id="{DDD1E8AA-5C68-4532-82E5-5BC228B92F0D}">
    <text>For all.</text>
  </threadedComment>
  <threadedComment ref="G6" dT="2025-02-07T15:23:14.47" personId="{03CB0575-C3E6-4F90-B161-647A816C1753}" id="{B5497DBC-2982-4274-BA7F-A571FB0CE336}">
    <text>Every Jan, Apr, Jul, Oct</text>
  </threadedComment>
  <threadedComment ref="H6" dT="2025-02-07T15:40:16.35" personId="{03CB0575-C3E6-4F90-B161-647A816C1753}" id="{41904AF7-D965-42D9-968B-58AD8784C0A0}">
    <text>2018 isn't included. Those are a bit number of GWAbs</text>
  </threadedComment>
  <threadedComment ref="D7" dT="2025-02-07T15:30:52.69" personId="{03CB0575-C3E6-4F90-B161-647A816C1753}" id="{1B728C18-2C64-4DB3-9078-5ADCAE1C8554}">
    <text>Differs greatly. I opened some files. The first date ranged from 1961-1991.</text>
  </threadedComment>
  <threadedComment ref="E7" dT="2025-02-07T15:31:50.01" personId="{03CB0575-C3E6-4F90-B161-647A816C1753}" id="{4D95EE53-CBFC-47B2-9A85-3526597EC627}">
    <text>Generally Apr 2020. But there are a lot of GWAbs that seem to have stopped earlier (which makes sense).</text>
  </threadedComment>
  <threadedComment ref="H7" dT="2024-12-13T13:22:33.04" personId="{03CB0575-C3E6-4F90-B161-647A816C1753}" id="{5E7105F8-E6CE-4CCF-BB41-A387CD559E07}">
    <text>Depends on when the KNMI TS start</text>
  </threadedComment>
  <threadedComment ref="H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G8" dT="2025-02-07T15:50:36.32" personId="{03CB0575-C3E6-4F90-B161-647A816C1753}" id="{540140F6-E2FF-4747-A19D-7CEB6998D145}">
    <text>Every 14th and 28th</text>
  </threadedComment>
  <threadedComment ref="H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threadedComments/threadedComment4.xml><?xml version="1.0" encoding="utf-8"?>
<ThreadedComments xmlns="http://schemas.microsoft.com/office/spreadsheetml/2018/threadedcomments" xmlns:x="http://schemas.openxmlformats.org/spreadsheetml/2006/main">
  <threadedComment ref="J1" dT="2025-04-25T10:51:09.87" personId="{03CB0575-C3E6-4F90-B161-647A816C1753}" id="{8E0E0613-5620-4CD4-A681-6187F9B32A6D}">
    <text>Just for the .HED file</text>
  </threadedComment>
  <threadedComment ref="K1" dT="2025-04-25T12:22:08.23" personId="{03CB0575-C3E6-4F90-B161-647A816C1753}" id="{4C755D57-E80D-4678-A151-E00B776F1F03}">
    <text>Rough estimate, as I'm not sure about all the outputs that'll be produced.</text>
  </threadedComment>
  <threadedComment ref="O1" dT="2025-04-25T12:40:57.82" personId="{03CB0575-C3E6-4F90-B161-647A816C1753}" id="{93547DE0-9536-496B-8566-6EFCF9FF2A35}">
    <text>Assuming 50x speed-up over 1 core.</text>
  </threadedComment>
  <threadedComment ref="L2" dT="2025-04-25T12:29:54.29" personId="{03CB0575-C3E6-4F90-B161-647A816C1753}" id="{7E713826-36E7-4481-BEC8-8BCBDA63C1CC}">
    <text xml:space="preserve">Based on NBr5 (I'm hoping this is an overestimate, as Research cloud should be much faster than OneDrive).
</text>
  </threadedComment>
  <threadedComment ref="J14" dT="2025-04-25T10:51:09.87" personId="{03CB0575-C3E6-4F90-B161-647A816C1753}" id="{F1BEC491-BB3D-421D-B1D1-B5EC7D86B0DA}">
    <text>Just for the .HED file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125</v>
      </c>
    </row>
    <row r="2" spans="1:1" x14ac:dyDescent="0.25">
      <c r="A2" t="s">
        <v>126</v>
      </c>
    </row>
    <row r="3" spans="1:1" x14ac:dyDescent="0.25">
      <c r="A3" s="69"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sheetPr>
  <dimension ref="A1:P15"/>
  <sheetViews>
    <sheetView zoomScale="85" zoomScaleNormal="85" workbookViewId="0">
      <pane xSplit="3" ySplit="1" topLeftCell="F2" activePane="bottomRight" state="frozen"/>
      <selection activeCell="E6" sqref="E6"/>
      <selection pane="topRight" activeCell="E6" sqref="E6"/>
      <selection pane="bottomLeft" activeCell="E6" sqref="E6"/>
      <selection pane="bottomRight" activeCell="I12" sqref="I12"/>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6384" width="9.140625" style="24"/>
  </cols>
  <sheetData>
    <row r="1" spans="1:16" s="22" customFormat="1" ht="45.75" thickBot="1" x14ac:dyDescent="0.3">
      <c r="A1" s="8" t="s">
        <v>1</v>
      </c>
      <c r="B1" s="8" t="s">
        <v>58</v>
      </c>
      <c r="C1" s="9" t="s">
        <v>19</v>
      </c>
      <c r="D1" s="10" t="s">
        <v>2</v>
      </c>
      <c r="E1" s="9" t="s">
        <v>3</v>
      </c>
      <c r="F1" s="8" t="s">
        <v>39</v>
      </c>
      <c r="G1" s="8" t="s">
        <v>54</v>
      </c>
      <c r="H1" s="70" t="s">
        <v>112</v>
      </c>
      <c r="I1" s="70" t="s">
        <v>88</v>
      </c>
      <c r="J1" s="89" t="s">
        <v>4</v>
      </c>
      <c r="K1" s="70" t="s">
        <v>7</v>
      </c>
      <c r="L1" s="70" t="s">
        <v>26</v>
      </c>
      <c r="M1" s="70" t="s">
        <v>109</v>
      </c>
      <c r="N1" s="70" t="s">
        <v>110</v>
      </c>
      <c r="O1" s="68" t="s">
        <v>8</v>
      </c>
      <c r="P1" s="68" t="s">
        <v>159</v>
      </c>
    </row>
    <row r="2" spans="1:16" s="121" customFormat="1" ht="45" customHeight="1" thickTop="1" x14ac:dyDescent="0.25">
      <c r="A2" s="108" t="s">
        <v>111</v>
      </c>
      <c r="B2" s="109" t="s">
        <v>87</v>
      </c>
      <c r="C2" s="110" t="s">
        <v>75</v>
      </c>
      <c r="D2" s="111" t="s">
        <v>73</v>
      </c>
      <c r="E2" s="112" t="s">
        <v>84</v>
      </c>
      <c r="F2" s="113" t="s">
        <v>72</v>
      </c>
      <c r="G2" s="114" t="s">
        <v>81</v>
      </c>
      <c r="H2" s="115" t="s">
        <v>98</v>
      </c>
      <c r="I2" s="116" t="s">
        <v>154</v>
      </c>
      <c r="J2" s="117">
        <v>10</v>
      </c>
      <c r="K2" s="118">
        <v>9</v>
      </c>
      <c r="L2" s="119">
        <v>1.5</v>
      </c>
      <c r="M2" s="114">
        <v>-2</v>
      </c>
      <c r="N2" s="114">
        <v>3</v>
      </c>
      <c r="O2" s="120" t="s">
        <v>113</v>
      </c>
      <c r="P2" s="120"/>
    </row>
    <row r="3" spans="1:16" s="128" customFormat="1" ht="45" customHeight="1" x14ac:dyDescent="0.25">
      <c r="A3" s="21" t="s">
        <v>89</v>
      </c>
      <c r="B3" s="20" t="s">
        <v>87</v>
      </c>
      <c r="C3" s="16" t="s">
        <v>75</v>
      </c>
      <c r="D3" s="19" t="s">
        <v>85</v>
      </c>
      <c r="E3" s="17" t="s">
        <v>61</v>
      </c>
      <c r="F3" s="15" t="s">
        <v>72</v>
      </c>
      <c r="G3" s="18" t="s">
        <v>82</v>
      </c>
      <c r="H3" s="122" t="s">
        <v>98</v>
      </c>
      <c r="I3" s="123" t="s">
        <v>155</v>
      </c>
      <c r="J3" s="124">
        <v>10</v>
      </c>
      <c r="K3" s="125">
        <v>8</v>
      </c>
      <c r="L3" s="126">
        <v>0.5</v>
      </c>
      <c r="M3" s="18">
        <f t="shared" ref="M3:M4" si="0">IF(J3&lt;&gt;J2,N2,M2)</f>
        <v>-2</v>
      </c>
      <c r="N3" s="18">
        <f t="shared" ref="N3:N10" si="1">IF(ISNUMBER(SEARCH("Yes", H3)),M3+SUMIFS(L:L,J:J,J3),M3)</f>
        <v>3</v>
      </c>
      <c r="O3" s="127" t="s">
        <v>114</v>
      </c>
      <c r="P3" s="127"/>
    </row>
    <row r="4" spans="1:16" s="107" customFormat="1" ht="45" customHeight="1" x14ac:dyDescent="0.25">
      <c r="A4" s="93" t="s">
        <v>116</v>
      </c>
      <c r="B4" s="94" t="s">
        <v>87</v>
      </c>
      <c r="C4" s="95" t="s">
        <v>75</v>
      </c>
      <c r="D4" s="96" t="s">
        <v>117</v>
      </c>
      <c r="E4" s="97" t="s">
        <v>118</v>
      </c>
      <c r="F4" s="98" t="s">
        <v>119</v>
      </c>
      <c r="G4" s="99" t="s">
        <v>124</v>
      </c>
      <c r="H4" s="100" t="s">
        <v>123</v>
      </c>
      <c r="I4" s="101" t="s">
        <v>153</v>
      </c>
      <c r="J4" s="102">
        <v>10</v>
      </c>
      <c r="K4" s="103">
        <v>9</v>
      </c>
      <c r="L4" s="104">
        <v>3</v>
      </c>
      <c r="M4" s="105">
        <f t="shared" si="0"/>
        <v>-2</v>
      </c>
      <c r="N4" s="105">
        <f t="shared" si="1"/>
        <v>3</v>
      </c>
      <c r="O4" s="106" t="s">
        <v>120</v>
      </c>
      <c r="P4" s="106"/>
    </row>
    <row r="5" spans="1:16" s="143" customFormat="1" ht="45" customHeight="1" x14ac:dyDescent="0.25">
      <c r="A5" s="129" t="s">
        <v>90</v>
      </c>
      <c r="B5" s="130" t="s">
        <v>14</v>
      </c>
      <c r="C5" s="131" t="s">
        <v>24</v>
      </c>
      <c r="D5" s="132" t="s">
        <v>25</v>
      </c>
      <c r="E5" s="133" t="s">
        <v>32</v>
      </c>
      <c r="F5" s="134" t="s">
        <v>63</v>
      </c>
      <c r="G5" s="135" t="s">
        <v>64</v>
      </c>
      <c r="H5" s="136" t="s">
        <v>74</v>
      </c>
      <c r="I5" s="137" t="s">
        <v>156</v>
      </c>
      <c r="J5" s="138">
        <v>9</v>
      </c>
      <c r="K5" s="139">
        <v>4</v>
      </c>
      <c r="L5" s="140">
        <v>5</v>
      </c>
      <c r="M5" s="141">
        <f>IF(J5&lt;&gt;J4,N4,M4)</f>
        <v>3</v>
      </c>
      <c r="N5" s="141">
        <f t="shared" si="1"/>
        <v>3</v>
      </c>
      <c r="O5" s="142" t="s">
        <v>71</v>
      </c>
      <c r="P5" s="142"/>
    </row>
    <row r="6" spans="1:16" s="107" customFormat="1" ht="45" customHeight="1" x14ac:dyDescent="0.25">
      <c r="A6" s="146" t="s">
        <v>38</v>
      </c>
      <c r="B6" s="94" t="s">
        <v>34</v>
      </c>
      <c r="C6" s="95" t="s">
        <v>21</v>
      </c>
      <c r="D6" s="96" t="s">
        <v>45</v>
      </c>
      <c r="E6" s="97" t="s">
        <v>35</v>
      </c>
      <c r="F6" s="147" t="s">
        <v>44</v>
      </c>
      <c r="G6" s="148" t="s">
        <v>65</v>
      </c>
      <c r="H6" s="149" t="s">
        <v>99</v>
      </c>
      <c r="I6" s="101" t="s">
        <v>157</v>
      </c>
      <c r="J6" s="102">
        <v>8</v>
      </c>
      <c r="K6" s="103">
        <v>7</v>
      </c>
      <c r="L6" s="104">
        <v>1.5</v>
      </c>
      <c r="M6" s="105">
        <f t="shared" ref="M6:M10" si="2">IF(J6&lt;&gt;J5,N5,M5)</f>
        <v>3</v>
      </c>
      <c r="N6" s="105">
        <f t="shared" si="1"/>
        <v>4.5</v>
      </c>
      <c r="O6" s="106" t="s">
        <v>36</v>
      </c>
      <c r="P6" s="106"/>
    </row>
    <row r="7" spans="1:16" s="107" customFormat="1" ht="45" customHeight="1" x14ac:dyDescent="0.25">
      <c r="A7" s="93" t="s">
        <v>91</v>
      </c>
      <c r="B7" s="94" t="s">
        <v>22</v>
      </c>
      <c r="C7" s="95" t="s">
        <v>13</v>
      </c>
      <c r="D7" s="96" t="s">
        <v>27</v>
      </c>
      <c r="E7" s="97" t="s">
        <v>46</v>
      </c>
      <c r="F7" s="147" t="s">
        <v>42</v>
      </c>
      <c r="G7" s="148" t="s">
        <v>43</v>
      </c>
      <c r="H7" s="149" t="s">
        <v>101</v>
      </c>
      <c r="I7" s="155" t="s">
        <v>160</v>
      </c>
      <c r="J7" s="102">
        <v>7</v>
      </c>
      <c r="K7" s="156">
        <v>6</v>
      </c>
      <c r="L7" s="157">
        <v>2</v>
      </c>
      <c r="M7" s="158">
        <f t="shared" si="2"/>
        <v>4.5</v>
      </c>
      <c r="N7" s="158">
        <f t="shared" si="1"/>
        <v>6.5</v>
      </c>
      <c r="O7" s="106" t="s">
        <v>100</v>
      </c>
      <c r="P7" s="106"/>
    </row>
    <row r="8" spans="1:16" s="107" customFormat="1" ht="45" customHeight="1" x14ac:dyDescent="0.25">
      <c r="A8" s="93" t="s">
        <v>92</v>
      </c>
      <c r="B8" s="94" t="s">
        <v>57</v>
      </c>
      <c r="C8" s="95" t="s">
        <v>24</v>
      </c>
      <c r="D8" s="96" t="s">
        <v>105</v>
      </c>
      <c r="E8" s="97" t="s">
        <v>76</v>
      </c>
      <c r="F8" s="98" t="s">
        <v>77</v>
      </c>
      <c r="G8" s="105" t="s">
        <v>78</v>
      </c>
      <c r="H8" s="100" t="s">
        <v>104</v>
      </c>
      <c r="I8" s="101" t="s">
        <v>162</v>
      </c>
      <c r="J8" s="102">
        <v>6</v>
      </c>
      <c r="K8" s="103">
        <v>10</v>
      </c>
      <c r="L8" s="104">
        <v>1.5</v>
      </c>
      <c r="M8" s="105">
        <f t="shared" si="2"/>
        <v>6.5</v>
      </c>
      <c r="N8" s="105">
        <f t="shared" si="1"/>
        <v>8</v>
      </c>
      <c r="O8" s="106" t="s">
        <v>102</v>
      </c>
      <c r="P8" s="106"/>
    </row>
    <row r="9" spans="1:16" s="25" customFormat="1" ht="90" customHeight="1" x14ac:dyDescent="0.25">
      <c r="A9" s="41" t="s">
        <v>93</v>
      </c>
      <c r="B9" s="79" t="s">
        <v>23</v>
      </c>
      <c r="C9" s="80" t="s">
        <v>20</v>
      </c>
      <c r="D9" s="81" t="s">
        <v>48</v>
      </c>
      <c r="E9" s="82" t="s">
        <v>18</v>
      </c>
      <c r="F9" s="55" t="s">
        <v>40</v>
      </c>
      <c r="G9" s="83" t="s">
        <v>41</v>
      </c>
      <c r="H9" s="56" t="s">
        <v>103</v>
      </c>
      <c r="I9" s="84" t="s">
        <v>161</v>
      </c>
      <c r="J9" s="59">
        <v>5</v>
      </c>
      <c r="K9" s="60">
        <v>10</v>
      </c>
      <c r="L9" s="87">
        <v>5</v>
      </c>
      <c r="M9" s="88">
        <f t="shared" si="2"/>
        <v>8</v>
      </c>
      <c r="N9" s="88">
        <f t="shared" si="1"/>
        <v>16</v>
      </c>
      <c r="O9" s="47" t="s">
        <v>37</v>
      </c>
      <c r="P9" s="47"/>
    </row>
    <row r="10" spans="1:16" ht="45" customHeight="1" x14ac:dyDescent="0.25">
      <c r="A10" s="41" t="s">
        <v>95</v>
      </c>
      <c r="B10" s="79" t="s">
        <v>5</v>
      </c>
      <c r="C10" s="80" t="s">
        <v>21</v>
      </c>
      <c r="D10" s="81" t="s">
        <v>30</v>
      </c>
      <c r="E10" s="82" t="s">
        <v>31</v>
      </c>
      <c r="F10" s="55" t="s">
        <v>53</v>
      </c>
      <c r="G10" s="83" t="s">
        <v>52</v>
      </c>
      <c r="H10" s="56" t="s">
        <v>107</v>
      </c>
      <c r="I10" s="84" t="s">
        <v>163</v>
      </c>
      <c r="J10" s="59">
        <v>5</v>
      </c>
      <c r="K10" s="46">
        <v>7</v>
      </c>
      <c r="L10" s="85">
        <v>1</v>
      </c>
      <c r="M10" s="86">
        <f t="shared" si="2"/>
        <v>8</v>
      </c>
      <c r="N10" s="86">
        <f t="shared" si="1"/>
        <v>16</v>
      </c>
      <c r="O10" s="47" t="s">
        <v>28</v>
      </c>
      <c r="P10" s="47"/>
    </row>
    <row r="11" spans="1:16" ht="45" customHeight="1" x14ac:dyDescent="0.25">
      <c r="A11" s="41" t="s">
        <v>146</v>
      </c>
      <c r="B11" s="79" t="s">
        <v>148</v>
      </c>
      <c r="C11" s="80" t="s">
        <v>21</v>
      </c>
      <c r="D11" s="81" t="s">
        <v>147</v>
      </c>
      <c r="E11" s="82" t="s">
        <v>149</v>
      </c>
      <c r="F11" s="55" t="s">
        <v>150</v>
      </c>
      <c r="G11" s="83" t="s">
        <v>151</v>
      </c>
      <c r="H11" s="56" t="s">
        <v>152</v>
      </c>
      <c r="I11" s="84" t="s">
        <v>164</v>
      </c>
      <c r="J11" s="59">
        <v>5</v>
      </c>
      <c r="K11" s="46">
        <v>7</v>
      </c>
      <c r="L11" s="85">
        <v>2</v>
      </c>
      <c r="M11" s="86">
        <f t="shared" ref="M11:M15" si="3">IF(J11&lt;&gt;J10,N10,M10)</f>
        <v>8</v>
      </c>
      <c r="N11" s="86">
        <f t="shared" ref="N11:N15" si="4">IF(ISNUMBER(SEARCH("Yes", H11)),M11+SUMIFS(L:L,J:J,J11),M11)</f>
        <v>16</v>
      </c>
      <c r="O11" s="47" t="s">
        <v>165</v>
      </c>
      <c r="P11" s="47"/>
    </row>
    <row r="12" spans="1:16" s="107" customFormat="1" ht="45" customHeight="1" x14ac:dyDescent="0.25">
      <c r="A12" s="93" t="s">
        <v>97</v>
      </c>
      <c r="B12" s="159" t="s">
        <v>6</v>
      </c>
      <c r="C12" s="160" t="s">
        <v>56</v>
      </c>
      <c r="D12" s="161" t="s">
        <v>47</v>
      </c>
      <c r="E12" s="162" t="s">
        <v>49</v>
      </c>
      <c r="F12" s="163" t="s">
        <v>66</v>
      </c>
      <c r="G12" s="164" t="s">
        <v>67</v>
      </c>
      <c r="H12" s="165" t="s">
        <v>158</v>
      </c>
      <c r="I12" s="166" t="s">
        <v>168</v>
      </c>
      <c r="J12" s="167">
        <v>4</v>
      </c>
      <c r="K12" s="168">
        <v>2</v>
      </c>
      <c r="L12" s="169">
        <v>1.5</v>
      </c>
      <c r="M12" s="170">
        <f t="shared" si="3"/>
        <v>16</v>
      </c>
      <c r="N12" s="170">
        <f t="shared" si="4"/>
        <v>16</v>
      </c>
      <c r="O12" s="171" t="s">
        <v>108</v>
      </c>
      <c r="P12" s="171"/>
    </row>
    <row r="13" spans="1:16" ht="45" customHeight="1" x14ac:dyDescent="0.25">
      <c r="A13" s="54" t="s">
        <v>94</v>
      </c>
      <c r="B13" s="79" t="s">
        <v>22</v>
      </c>
      <c r="C13" s="80" t="s">
        <v>13</v>
      </c>
      <c r="D13" s="81" t="s">
        <v>27</v>
      </c>
      <c r="E13" s="82" t="s">
        <v>46</v>
      </c>
      <c r="F13" s="55" t="s">
        <v>51</v>
      </c>
      <c r="G13" s="83" t="s">
        <v>50</v>
      </c>
      <c r="H13" s="56" t="s">
        <v>106</v>
      </c>
      <c r="I13" s="84" t="s">
        <v>167</v>
      </c>
      <c r="J13" s="45">
        <v>3</v>
      </c>
      <c r="K13" s="46">
        <v>9</v>
      </c>
      <c r="L13" s="85">
        <v>3</v>
      </c>
      <c r="M13" s="86">
        <f t="shared" si="3"/>
        <v>16</v>
      </c>
      <c r="N13" s="86">
        <f t="shared" si="4"/>
        <v>19</v>
      </c>
      <c r="O13" s="47" t="s">
        <v>29</v>
      </c>
      <c r="P13" s="47"/>
    </row>
    <row r="14" spans="1:16" ht="45" customHeight="1" x14ac:dyDescent="0.25">
      <c r="A14" s="41" t="s">
        <v>122</v>
      </c>
      <c r="B14" s="79" t="s">
        <v>5</v>
      </c>
      <c r="C14" s="80" t="s">
        <v>72</v>
      </c>
      <c r="D14" s="81" t="s">
        <v>60</v>
      </c>
      <c r="E14" s="82" t="s">
        <v>70</v>
      </c>
      <c r="F14" s="42" t="s">
        <v>72</v>
      </c>
      <c r="G14" s="86" t="s">
        <v>80</v>
      </c>
      <c r="H14" s="43" t="s">
        <v>121</v>
      </c>
      <c r="I14" s="84" t="s">
        <v>169</v>
      </c>
      <c r="J14" s="45">
        <v>2</v>
      </c>
      <c r="K14" s="46">
        <v>8</v>
      </c>
      <c r="L14" s="85">
        <v>2</v>
      </c>
      <c r="M14" s="86">
        <f t="shared" si="3"/>
        <v>19</v>
      </c>
      <c r="N14" s="86">
        <f t="shared" si="4"/>
        <v>21</v>
      </c>
      <c r="O14" s="47" t="s">
        <v>83</v>
      </c>
      <c r="P14" s="47"/>
    </row>
    <row r="15" spans="1:16" ht="45" customHeight="1" x14ac:dyDescent="0.25">
      <c r="A15" s="41" t="s">
        <v>96</v>
      </c>
      <c r="B15" s="79" t="s">
        <v>5</v>
      </c>
      <c r="C15" s="80" t="s">
        <v>13</v>
      </c>
      <c r="D15" s="81" t="s">
        <v>59</v>
      </c>
      <c r="E15" s="82" t="s">
        <v>62</v>
      </c>
      <c r="F15" s="42" t="s">
        <v>68</v>
      </c>
      <c r="G15" s="86" t="s">
        <v>69</v>
      </c>
      <c r="H15" s="43" t="s">
        <v>166</v>
      </c>
      <c r="I15" s="84" t="s">
        <v>170</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132</v>
      </c>
      <c r="C1" s="73" t="s">
        <v>129</v>
      </c>
      <c r="D1" s="73" t="s">
        <v>194</v>
      </c>
      <c r="E1" s="73" t="s">
        <v>191</v>
      </c>
      <c r="F1" s="73" t="s">
        <v>178</v>
      </c>
    </row>
    <row r="2" spans="1:6" ht="15.75" thickTop="1" x14ac:dyDescent="0.25">
      <c r="B2" s="144" t="s">
        <v>179</v>
      </c>
      <c r="D2" s="144" t="s">
        <v>198</v>
      </c>
      <c r="E2" s="144">
        <v>1</v>
      </c>
    </row>
    <row r="3" spans="1:6" x14ac:dyDescent="0.25">
      <c r="B3" s="144" t="s">
        <v>180</v>
      </c>
      <c r="D3" s="144" t="s">
        <v>198</v>
      </c>
      <c r="E3" s="144">
        <v>1</v>
      </c>
    </row>
    <row r="4" spans="1:6" x14ac:dyDescent="0.25">
      <c r="B4" s="144" t="s">
        <v>181</v>
      </c>
      <c r="D4" s="144" t="s">
        <v>198</v>
      </c>
      <c r="E4" s="144">
        <v>1</v>
      </c>
    </row>
    <row r="5" spans="1:6" x14ac:dyDescent="0.25">
      <c r="B5" s="144" t="s">
        <v>182</v>
      </c>
      <c r="D5" s="144" t="s">
        <v>198</v>
      </c>
      <c r="E5" s="144">
        <v>1</v>
      </c>
    </row>
    <row r="6" spans="1:6" x14ac:dyDescent="0.25">
      <c r="B6" s="144" t="s">
        <v>183</v>
      </c>
      <c r="D6" s="144" t="s">
        <v>198</v>
      </c>
      <c r="E6" s="144">
        <v>1</v>
      </c>
    </row>
    <row r="7" spans="1:6" x14ac:dyDescent="0.25">
      <c r="B7" s="144" t="s">
        <v>184</v>
      </c>
      <c r="D7" s="144" t="s">
        <v>198</v>
      </c>
      <c r="E7" s="144">
        <v>1</v>
      </c>
    </row>
    <row r="8" spans="1:6" x14ac:dyDescent="0.25">
      <c r="B8" s="144" t="s">
        <v>185</v>
      </c>
      <c r="D8" s="144" t="s">
        <v>198</v>
      </c>
      <c r="E8" s="144">
        <v>1</v>
      </c>
    </row>
    <row r="9" spans="1:6" x14ac:dyDescent="0.25">
      <c r="B9" s="144" t="s">
        <v>186</v>
      </c>
      <c r="D9" s="144" t="s">
        <v>198</v>
      </c>
      <c r="E9" s="144">
        <v>1</v>
      </c>
    </row>
    <row r="10" spans="1:6" x14ac:dyDescent="0.25">
      <c r="B10" s="144" t="s">
        <v>187</v>
      </c>
      <c r="D10" s="144" t="s">
        <v>198</v>
      </c>
      <c r="E10" s="144">
        <v>1</v>
      </c>
    </row>
    <row r="11" spans="1:6" x14ac:dyDescent="0.25">
      <c r="B11" s="144" t="s">
        <v>188</v>
      </c>
      <c r="D11" s="144" t="s">
        <v>198</v>
      </c>
      <c r="E11" s="144">
        <v>1</v>
      </c>
    </row>
    <row r="12" spans="1:6" x14ac:dyDescent="0.25">
      <c r="B12" s="144" t="s">
        <v>189</v>
      </c>
      <c r="C12" s="144" t="s">
        <v>190</v>
      </c>
      <c r="D12" s="144" t="s">
        <v>195</v>
      </c>
      <c r="E12" s="144">
        <v>1</v>
      </c>
      <c r="F12" s="144">
        <v>0</v>
      </c>
    </row>
    <row r="13" spans="1:6" x14ac:dyDescent="0.25">
      <c r="B13" s="144" t="s">
        <v>192</v>
      </c>
      <c r="D13" s="144" t="s">
        <v>196</v>
      </c>
    </row>
    <row r="14" spans="1:6" x14ac:dyDescent="0.25">
      <c r="B14" s="144" t="s">
        <v>197</v>
      </c>
      <c r="D14" s="144" t="s">
        <v>193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8" tint="0.79998168889431442"/>
  </sheetPr>
  <dimension ref="A1:L8"/>
  <sheetViews>
    <sheetView zoomScaleNormal="100" workbookViewId="0">
      <pane ySplit="1" topLeftCell="A2" activePane="bottomLeft" state="frozen"/>
      <selection activeCell="E6" sqref="E6"/>
      <selection pane="bottomLeft" activeCell="L17" sqref="L17"/>
    </sheetView>
  </sheetViews>
  <sheetFormatPr defaultRowHeight="15" x14ac:dyDescent="0.25"/>
  <cols>
    <col min="1" max="1" width="21.85546875" bestFit="1" customWidth="1"/>
    <col min="2" max="2" width="21.85546875" customWidth="1"/>
    <col min="4" max="6" width="11.85546875" style="76" bestFit="1" customWidth="1"/>
    <col min="7" max="7" width="15.7109375" style="76" bestFit="1" customWidth="1"/>
    <col min="8" max="8" width="10.42578125" bestFit="1" customWidth="1"/>
    <col min="12" max="12" width="150.7109375" customWidth="1"/>
  </cols>
  <sheetData>
    <row r="1" spans="1:12" s="74" customFormat="1" ht="45.75" thickBot="1" x14ac:dyDescent="0.3">
      <c r="A1" s="73" t="s">
        <v>132</v>
      </c>
      <c r="B1" s="73" t="s">
        <v>215</v>
      </c>
      <c r="C1" s="73" t="s">
        <v>134</v>
      </c>
      <c r="D1" s="77" t="s">
        <v>136</v>
      </c>
      <c r="E1" s="77" t="s">
        <v>137</v>
      </c>
      <c r="F1" s="77" t="s">
        <v>218</v>
      </c>
      <c r="G1" s="77" t="s">
        <v>201</v>
      </c>
      <c r="H1" s="73" t="s">
        <v>140</v>
      </c>
      <c r="I1" s="73" t="s">
        <v>138</v>
      </c>
      <c r="J1" s="75" t="s">
        <v>141</v>
      </c>
      <c r="K1" s="75" t="s">
        <v>139</v>
      </c>
      <c r="L1" s="75" t="s">
        <v>129</v>
      </c>
    </row>
    <row r="2" spans="1:12" ht="15.75" thickTop="1" x14ac:dyDescent="0.25">
      <c r="A2" t="s">
        <v>133</v>
      </c>
      <c r="C2" t="s">
        <v>135</v>
      </c>
      <c r="D2" s="76">
        <v>29221</v>
      </c>
      <c r="E2" s="76">
        <v>44109</v>
      </c>
      <c r="G2" s="76" t="s">
        <v>202</v>
      </c>
      <c r="H2" t="s">
        <v>220</v>
      </c>
      <c r="J2" t="s">
        <v>144</v>
      </c>
    </row>
    <row r="3" spans="1:12" x14ac:dyDescent="0.25">
      <c r="A3" t="s">
        <v>142</v>
      </c>
      <c r="C3" t="s">
        <v>135</v>
      </c>
      <c r="D3" s="76">
        <v>29221</v>
      </c>
      <c r="E3" s="76">
        <v>44109</v>
      </c>
      <c r="G3" s="76" t="s">
        <v>202</v>
      </c>
      <c r="H3" t="s">
        <v>220</v>
      </c>
      <c r="J3" t="s">
        <v>144</v>
      </c>
    </row>
    <row r="4" spans="1:12" x14ac:dyDescent="0.25">
      <c r="A4" t="s">
        <v>213</v>
      </c>
      <c r="B4">
        <v>4749</v>
      </c>
      <c r="C4" t="s">
        <v>135</v>
      </c>
      <c r="D4" s="76">
        <v>39083</v>
      </c>
      <c r="E4" s="76">
        <v>43831</v>
      </c>
      <c r="G4" s="76" t="s">
        <v>202</v>
      </c>
      <c r="H4" t="s">
        <v>220</v>
      </c>
    </row>
    <row r="5" spans="1:12" x14ac:dyDescent="0.25">
      <c r="A5" t="s">
        <v>204</v>
      </c>
      <c r="B5">
        <v>17</v>
      </c>
      <c r="C5" t="s">
        <v>203</v>
      </c>
      <c r="D5" s="76">
        <v>27760</v>
      </c>
      <c r="E5" s="76">
        <v>43101</v>
      </c>
      <c r="F5" s="76">
        <v>46023</v>
      </c>
      <c r="G5" s="76" t="s">
        <v>205</v>
      </c>
      <c r="H5" s="76" t="s">
        <v>143</v>
      </c>
      <c r="J5" t="s">
        <v>206</v>
      </c>
      <c r="L5" t="s">
        <v>207</v>
      </c>
    </row>
    <row r="6" spans="1:12" x14ac:dyDescent="0.25">
      <c r="A6" t="s">
        <v>208</v>
      </c>
      <c r="B6">
        <v>860</v>
      </c>
      <c r="C6" t="s">
        <v>203</v>
      </c>
      <c r="D6" s="76">
        <v>34335</v>
      </c>
      <c r="E6" s="76">
        <v>42736</v>
      </c>
      <c r="F6" s="76">
        <v>45658</v>
      </c>
      <c r="G6" s="76" t="s">
        <v>211</v>
      </c>
      <c r="H6" s="76" t="s">
        <v>214</v>
      </c>
      <c r="J6" t="s">
        <v>206</v>
      </c>
      <c r="L6" t="s">
        <v>210</v>
      </c>
    </row>
    <row r="7" spans="1:12" x14ac:dyDescent="0.25">
      <c r="A7" t="s">
        <v>209</v>
      </c>
      <c r="B7">
        <v>826</v>
      </c>
      <c r="C7" t="s">
        <v>203</v>
      </c>
      <c r="D7" s="76">
        <v>27760</v>
      </c>
      <c r="E7" s="76">
        <v>43951</v>
      </c>
      <c r="F7" s="76">
        <v>46023</v>
      </c>
      <c r="G7" s="76" t="s">
        <v>212</v>
      </c>
      <c r="H7" t="s">
        <v>220</v>
      </c>
      <c r="J7" t="s">
        <v>206</v>
      </c>
    </row>
    <row r="8" spans="1:12" x14ac:dyDescent="0.25">
      <c r="A8" t="s">
        <v>216</v>
      </c>
      <c r="B8">
        <v>11656</v>
      </c>
      <c r="C8" t="s">
        <v>217</v>
      </c>
      <c r="D8" s="76">
        <v>33970</v>
      </c>
      <c r="E8" s="76">
        <v>43462</v>
      </c>
      <c r="G8" s="76" t="s">
        <v>219</v>
      </c>
      <c r="H8" s="76" t="s">
        <v>143</v>
      </c>
    </row>
  </sheetData>
  <conditionalFormatting sqref="K2:K5 L5 K8:K31 K6:L7">
    <cfRule type="expression" dxfId="1" priority="1">
      <formula>IF(OR(K2="Yes",D2=""),FALSE, TRUE)</formula>
    </cfRule>
  </conditionalFormatting>
  <conditionalFormatting sqref="I2:I31">
    <cfRule type="expression" dxfId="0" priority="2">
      <formula>IF(OR(I2="Yes",A2=""),FALSE,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8" tint="0.79998168889431442"/>
  </sheetPr>
  <dimension ref="A1:H14"/>
  <sheetViews>
    <sheetView zoomScale="85" zoomScaleNormal="85" workbookViewId="0">
      <pane xSplit="1" ySplit="1" topLeftCell="B2" activePane="bottomRight" state="frozen"/>
      <selection activeCell="E6" sqref="E6"/>
      <selection pane="topRight" activeCell="E6" sqref="E6"/>
      <selection pane="bottomLeft" activeCell="E6" sqref="E6"/>
      <selection pane="bottomRight" activeCell="B7" sqref="B7"/>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129</v>
      </c>
      <c r="C1" s="10" t="s">
        <v>4</v>
      </c>
      <c r="D1" s="8" t="s">
        <v>7</v>
      </c>
      <c r="E1" s="8" t="s">
        <v>39</v>
      </c>
      <c r="F1" s="70" t="s">
        <v>112</v>
      </c>
      <c r="G1" s="70" t="s">
        <v>88</v>
      </c>
      <c r="H1" s="68" t="s">
        <v>115</v>
      </c>
    </row>
    <row r="2" spans="1:8" s="23" customFormat="1" ht="45" customHeight="1" thickTop="1" x14ac:dyDescent="0.25">
      <c r="A2" s="27" t="s">
        <v>130</v>
      </c>
      <c r="B2" s="33" t="s">
        <v>127</v>
      </c>
      <c r="C2" s="31"/>
      <c r="D2" s="32">
        <v>9</v>
      </c>
      <c r="E2" s="28" t="s">
        <v>72</v>
      </c>
      <c r="F2" s="29"/>
      <c r="G2" s="30"/>
      <c r="H2" s="33"/>
    </row>
    <row r="3" spans="1:8" ht="45" customHeight="1" x14ac:dyDescent="0.25">
      <c r="A3" s="34" t="s">
        <v>131</v>
      </c>
      <c r="B3" s="40" t="s">
        <v>145</v>
      </c>
      <c r="C3" s="38"/>
      <c r="D3" s="39">
        <v>8</v>
      </c>
      <c r="E3" s="35" t="s">
        <v>174</v>
      </c>
      <c r="F3" s="36"/>
      <c r="G3" s="37"/>
      <c r="H3" s="40"/>
    </row>
    <row r="4" spans="1:8" ht="45" customHeight="1" x14ac:dyDescent="0.25">
      <c r="A4" s="41" t="s">
        <v>171</v>
      </c>
      <c r="B4" s="47" t="s">
        <v>172</v>
      </c>
      <c r="C4" s="45"/>
      <c r="D4" s="46">
        <v>8</v>
      </c>
      <c r="E4" s="42" t="s">
        <v>173</v>
      </c>
      <c r="F4" s="43"/>
      <c r="G4" s="44"/>
      <c r="H4" s="47"/>
    </row>
    <row r="5" spans="1:8" ht="45" customHeight="1" x14ac:dyDescent="0.25">
      <c r="A5" s="41" t="s">
        <v>175</v>
      </c>
      <c r="B5" s="53"/>
      <c r="C5" s="51"/>
      <c r="D5" s="52"/>
      <c r="E5" s="48"/>
      <c r="F5" s="49"/>
      <c r="G5" s="50"/>
      <c r="H5" s="53"/>
    </row>
    <row r="6" spans="1:8" ht="45" customHeight="1" x14ac:dyDescent="0.25">
      <c r="A6" s="41" t="s">
        <v>177</v>
      </c>
      <c r="B6" s="47" t="s">
        <v>176</v>
      </c>
      <c r="C6" s="45"/>
      <c r="D6" s="46"/>
      <c r="E6" s="55"/>
      <c r="F6" s="56"/>
      <c r="G6" s="57"/>
      <c r="H6" s="47"/>
    </row>
    <row r="7" spans="1:8" ht="45" customHeight="1" x14ac:dyDescent="0.25">
      <c r="A7" s="41" t="s">
        <v>199</v>
      </c>
      <c r="B7" s="47" t="s">
        <v>200</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5" tint="0.79998168889431442"/>
  </sheetPr>
  <dimension ref="A1:D7"/>
  <sheetViews>
    <sheetView zoomScaleNormal="100" workbookViewId="0">
      <selection activeCell="C17" sqref="C17"/>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221</v>
      </c>
      <c r="C1" s="150" t="s">
        <v>129</v>
      </c>
      <c r="D1" s="150" t="s">
        <v>222</v>
      </c>
    </row>
    <row r="2" spans="1:4" ht="60.75" thickTop="1" x14ac:dyDescent="0.25">
      <c r="A2" s="154">
        <v>1</v>
      </c>
      <c r="B2" s="152" t="s">
        <v>226</v>
      </c>
      <c r="C2" s="152" t="s">
        <v>238</v>
      </c>
      <c r="D2" s="152" t="s">
        <v>227</v>
      </c>
    </row>
    <row r="3" spans="1:4" ht="45" x14ac:dyDescent="0.25">
      <c r="A3" s="154">
        <v>2</v>
      </c>
      <c r="B3" s="152" t="s">
        <v>223</v>
      </c>
      <c r="C3" s="152" t="s">
        <v>224</v>
      </c>
      <c r="D3" s="152" t="s">
        <v>235</v>
      </c>
    </row>
    <row r="4" spans="1:4" ht="30" x14ac:dyDescent="0.25">
      <c r="A4" s="154">
        <v>3</v>
      </c>
      <c r="B4" s="152" t="s">
        <v>228</v>
      </c>
      <c r="C4" s="152" t="s">
        <v>229</v>
      </c>
      <c r="D4" s="152" t="s">
        <v>236</v>
      </c>
    </row>
    <row r="5" spans="1:4" ht="30" x14ac:dyDescent="0.25">
      <c r="A5" s="154">
        <v>4</v>
      </c>
      <c r="B5" s="152" t="s">
        <v>230</v>
      </c>
      <c r="C5" s="152" t="s">
        <v>234</v>
      </c>
      <c r="D5" s="152" t="s">
        <v>233</v>
      </c>
    </row>
    <row r="6" spans="1:4" ht="30" x14ac:dyDescent="0.25">
      <c r="A6" s="154">
        <v>5</v>
      </c>
      <c r="B6" s="152" t="s">
        <v>231</v>
      </c>
      <c r="C6" s="152" t="s">
        <v>225</v>
      </c>
      <c r="D6" s="152" t="s">
        <v>232</v>
      </c>
    </row>
    <row r="7" spans="1:4" x14ac:dyDescent="0.25">
      <c r="A7" s="154">
        <v>6</v>
      </c>
      <c r="B7" s="152" t="s">
        <v>237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8" tint="0.79998168889431442"/>
  </sheetPr>
  <dimension ref="A1:B23"/>
  <sheetViews>
    <sheetView topLeftCell="A16" workbookViewId="0">
      <selection activeCell="B24" sqref="B24"/>
    </sheetView>
  </sheetViews>
  <sheetFormatPr defaultRowHeight="15" x14ac:dyDescent="0.25"/>
  <sheetData>
    <row r="1" spans="1:1" x14ac:dyDescent="0.25">
      <c r="A1">
        <v>1</v>
      </c>
    </row>
    <row r="21" spans="1:2" x14ac:dyDescent="0.25">
      <c r="A21">
        <v>2</v>
      </c>
      <c r="B21" t="s">
        <v>239</v>
      </c>
    </row>
    <row r="23" spans="1:2" x14ac:dyDescent="0.25">
      <c r="A23">
        <v>3</v>
      </c>
      <c r="B23" t="s">
        <v>240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E6B2-35C4-4A79-9D06-5BB2CD1E5FA3}">
  <sheetPr>
    <tabColor theme="8" tint="0.79998168889431442"/>
  </sheetPr>
  <dimension ref="A1:O17"/>
  <sheetViews>
    <sheetView tabSelected="1" zoomScale="115" zoomScaleNormal="115" workbookViewId="0">
      <selection activeCell="I15" sqref="I15"/>
    </sheetView>
  </sheetViews>
  <sheetFormatPr defaultRowHeight="15" x14ac:dyDescent="0.25"/>
  <cols>
    <col min="2" max="2" width="61" bestFit="1" customWidth="1"/>
    <col min="4" max="4" width="14.5703125" bestFit="1" customWidth="1"/>
    <col min="5" max="5" width="10.7109375" customWidth="1"/>
    <col min="11" max="11" width="9.140625" style="180"/>
    <col min="12" max="12" width="9.28515625" style="180" bestFit="1" customWidth="1"/>
    <col min="13" max="14" width="9.140625" style="180"/>
    <col min="15" max="15" width="9.140625" style="178"/>
  </cols>
  <sheetData>
    <row r="1" spans="1:15" s="177" customFormat="1" ht="30.75" thickBot="1" x14ac:dyDescent="0.3">
      <c r="A1" s="73" t="s">
        <v>0</v>
      </c>
      <c r="B1" s="73" t="s">
        <v>245</v>
      </c>
      <c r="C1" s="175" t="s">
        <v>246</v>
      </c>
      <c r="D1" s="176" t="s">
        <v>253</v>
      </c>
      <c r="E1" s="175" t="s">
        <v>244</v>
      </c>
      <c r="F1" s="73" t="s">
        <v>241</v>
      </c>
      <c r="G1" s="73" t="s">
        <v>242</v>
      </c>
      <c r="H1" s="73" t="s">
        <v>243</v>
      </c>
      <c r="I1" s="73" t="s">
        <v>247</v>
      </c>
      <c r="J1" s="189" t="s">
        <v>251</v>
      </c>
      <c r="K1" s="190" t="s">
        <v>252</v>
      </c>
      <c r="L1" s="183" t="s">
        <v>250</v>
      </c>
      <c r="M1" s="184" t="s">
        <v>248</v>
      </c>
      <c r="N1" s="184" t="s">
        <v>249</v>
      </c>
      <c r="O1" s="185" t="s">
        <v>254</v>
      </c>
    </row>
    <row r="2" spans="1:15" ht="15.75" thickTop="1" x14ac:dyDescent="0.25">
      <c r="A2">
        <v>1</v>
      </c>
      <c r="B2" t="s">
        <v>257</v>
      </c>
      <c r="C2" s="172">
        <v>1</v>
      </c>
      <c r="D2" s="174">
        <v>30</v>
      </c>
      <c r="E2" s="172">
        <f>365*D2/C2</f>
        <v>10950</v>
      </c>
      <c r="F2" s="173">
        <v>37</v>
      </c>
      <c r="G2" s="173">
        <v>344</v>
      </c>
      <c r="H2" s="173">
        <v>480</v>
      </c>
      <c r="I2" s="173">
        <v>4</v>
      </c>
      <c r="J2" s="186">
        <f>ROUND(I2*H2*G2*F2*E2/1024^3,0)</f>
        <v>249</v>
      </c>
      <c r="K2" s="187">
        <f>J2*4/1024</f>
        <v>0.97265625</v>
      </c>
      <c r="L2" s="179">
        <f>365*9/36</f>
        <v>91.25</v>
      </c>
      <c r="M2" s="187">
        <f>E2/L2</f>
        <v>120</v>
      </c>
      <c r="N2" s="191">
        <f>M2/24</f>
        <v>5</v>
      </c>
      <c r="O2" s="188">
        <f>N2/50</f>
        <v>0.1</v>
      </c>
    </row>
    <row r="3" spans="1:15" x14ac:dyDescent="0.25">
      <c r="A3">
        <v>2</v>
      </c>
      <c r="B3" t="s">
        <v>258</v>
      </c>
      <c r="C3" s="172">
        <v>1</v>
      </c>
      <c r="D3" s="174">
        <v>960</v>
      </c>
      <c r="E3" s="172">
        <f>365*D3/C3</f>
        <v>350400</v>
      </c>
      <c r="F3" s="173">
        <v>37</v>
      </c>
      <c r="G3" s="173">
        <v>344</v>
      </c>
      <c r="H3" s="173">
        <v>480</v>
      </c>
      <c r="I3" s="173">
        <v>4</v>
      </c>
      <c r="J3" s="186">
        <f>ROUND(I3*H3*G3*F3*E3/1024^3,0)</f>
        <v>7975</v>
      </c>
      <c r="K3" s="187">
        <f>J3*4/1024</f>
        <v>31.15234375</v>
      </c>
      <c r="L3" s="179">
        <f>L2</f>
        <v>91.25</v>
      </c>
      <c r="M3" s="187">
        <f>E3/L3</f>
        <v>3840</v>
      </c>
      <c r="N3" s="191">
        <f t="shared" ref="N3:N5" si="0">M3/24</f>
        <v>160</v>
      </c>
      <c r="O3" s="188">
        <f>N3/50</f>
        <v>3.2</v>
      </c>
    </row>
    <row r="4" spans="1:15" x14ac:dyDescent="0.25">
      <c r="A4">
        <v>3</v>
      </c>
      <c r="B4" t="s">
        <v>255</v>
      </c>
      <c r="C4" s="172">
        <v>1</v>
      </c>
      <c r="D4" s="174">
        <v>30</v>
      </c>
      <c r="E4" s="172">
        <f>E2</f>
        <v>10950</v>
      </c>
      <c r="F4" s="173">
        <f t="shared" ref="F4:I5" si="1">F2</f>
        <v>37</v>
      </c>
      <c r="G4" s="173">
        <v>1126</v>
      </c>
      <c r="H4" s="173">
        <v>1503</v>
      </c>
      <c r="I4" s="173">
        <f t="shared" si="1"/>
        <v>4</v>
      </c>
      <c r="J4" s="186">
        <f>ROUND(I4*H4*G4*F4*E4/1024^3,0)</f>
        <v>2554</v>
      </c>
      <c r="K4" s="187">
        <f>J4*4/1024</f>
        <v>9.9765625</v>
      </c>
      <c r="L4" s="179">
        <f>L2*G2*H2/G4/H4</f>
        <v>8.902975576378326</v>
      </c>
      <c r="M4" s="187">
        <f>E4/L4</f>
        <v>1229.9258720930234</v>
      </c>
      <c r="N4" s="191">
        <f t="shared" si="0"/>
        <v>51.246911337209305</v>
      </c>
      <c r="O4" s="188">
        <f>N4/50</f>
        <v>1.024938226744186</v>
      </c>
    </row>
    <row r="5" spans="1:15" x14ac:dyDescent="0.25">
      <c r="A5">
        <v>4</v>
      </c>
      <c r="B5" t="s">
        <v>256</v>
      </c>
      <c r="C5" s="172">
        <v>1</v>
      </c>
      <c r="D5" s="174">
        <v>960</v>
      </c>
      <c r="E5" s="172">
        <f>E3</f>
        <v>350400</v>
      </c>
      <c r="F5" s="173">
        <f t="shared" si="1"/>
        <v>37</v>
      </c>
      <c r="G5" s="173">
        <v>1126</v>
      </c>
      <c r="H5" s="173">
        <v>1503</v>
      </c>
      <c r="I5" s="173">
        <f t="shared" si="1"/>
        <v>4</v>
      </c>
      <c r="J5" s="186">
        <f>ROUND(I5*H5*G5*F5*E5/1024^3,0)</f>
        <v>81738</v>
      </c>
      <c r="K5" s="187">
        <f>J5*4/1024</f>
        <v>319.2890625</v>
      </c>
      <c r="L5" s="179">
        <f>L3*G3*H3/G5/H5</f>
        <v>8.902975576378326</v>
      </c>
      <c r="M5" s="187">
        <f>E5/L5</f>
        <v>39357.627906976748</v>
      </c>
      <c r="N5" s="191">
        <f t="shared" si="0"/>
        <v>1639.9011627906978</v>
      </c>
      <c r="O5" s="188">
        <f>N5/50</f>
        <v>32.798023255813952</v>
      </c>
    </row>
    <row r="6" spans="1:15" x14ac:dyDescent="0.25">
      <c r="A6">
        <v>5</v>
      </c>
      <c r="B6" t="s">
        <v>259</v>
      </c>
      <c r="C6" s="172">
        <v>1</v>
      </c>
      <c r="D6" s="174">
        <v>8</v>
      </c>
      <c r="E6" s="172">
        <f>365*D6/C6</f>
        <v>2920</v>
      </c>
      <c r="F6" s="173">
        <v>37</v>
      </c>
      <c r="G6" s="173">
        <v>344</v>
      </c>
      <c r="H6" s="173">
        <v>480</v>
      </c>
      <c r="I6" s="173">
        <v>4</v>
      </c>
      <c r="J6" s="186">
        <f>ROUND(I6*H6*G6*F6*E6/1024^3,0)</f>
        <v>66</v>
      </c>
      <c r="K6" s="187">
        <f>J6*4/1024</f>
        <v>0.2578125</v>
      </c>
      <c r="L6" s="179">
        <f>365*9/36</f>
        <v>91.25</v>
      </c>
      <c r="M6" s="187">
        <f>E6/L6</f>
        <v>32</v>
      </c>
      <c r="N6" s="191">
        <f>M6/24</f>
        <v>1.3333333333333333</v>
      </c>
      <c r="O6" s="188">
        <f>N6/50</f>
        <v>2.6666666666666665E-2</v>
      </c>
    </row>
    <row r="7" spans="1:15" x14ac:dyDescent="0.25">
      <c r="A7">
        <v>6</v>
      </c>
      <c r="C7" s="172"/>
      <c r="D7" s="174"/>
      <c r="E7" s="172"/>
      <c r="F7" s="173"/>
      <c r="G7" s="173"/>
      <c r="H7" s="173"/>
      <c r="I7" s="173"/>
      <c r="J7" s="173"/>
      <c r="K7" s="182"/>
      <c r="L7" s="179"/>
      <c r="M7" s="182"/>
      <c r="N7" s="192"/>
      <c r="O7" s="181"/>
    </row>
    <row r="8" spans="1:15" x14ac:dyDescent="0.25">
      <c r="A8">
        <v>7</v>
      </c>
      <c r="C8" s="172"/>
      <c r="D8" s="174"/>
      <c r="E8" s="172"/>
      <c r="F8" s="173"/>
      <c r="G8" s="173"/>
      <c r="H8" s="173"/>
      <c r="I8" s="173"/>
      <c r="J8" s="173"/>
      <c r="K8" s="182"/>
      <c r="L8" s="179"/>
      <c r="M8" s="182"/>
      <c r="N8" s="192"/>
      <c r="O8" s="181"/>
    </row>
    <row r="9" spans="1:15" x14ac:dyDescent="0.25">
      <c r="A9">
        <v>8</v>
      </c>
      <c r="C9" s="172"/>
      <c r="D9" s="174"/>
      <c r="E9" s="172"/>
      <c r="F9" s="173"/>
      <c r="G9" s="173"/>
      <c r="H9" s="173"/>
      <c r="I9" s="173"/>
      <c r="J9" s="173"/>
      <c r="K9" s="182"/>
      <c r="L9" s="179"/>
      <c r="M9" s="182"/>
      <c r="N9" s="192"/>
      <c r="O9" s="181"/>
    </row>
    <row r="10" spans="1:15" x14ac:dyDescent="0.25">
      <c r="A10">
        <v>9</v>
      </c>
      <c r="C10" s="172"/>
      <c r="D10" s="174"/>
      <c r="E10" s="172"/>
      <c r="F10" s="173"/>
      <c r="G10" s="173"/>
      <c r="H10" s="173"/>
      <c r="I10" s="173"/>
      <c r="J10" s="173"/>
      <c r="K10" s="182"/>
      <c r="L10" s="179"/>
      <c r="M10" s="182"/>
      <c r="N10" s="192"/>
      <c r="O10" s="181"/>
    </row>
    <row r="11" spans="1:15" x14ac:dyDescent="0.25">
      <c r="A11">
        <v>10</v>
      </c>
      <c r="C11" s="172"/>
      <c r="D11" s="174"/>
      <c r="E11" s="172"/>
      <c r="F11" s="173"/>
      <c r="G11" s="173"/>
      <c r="H11" s="173"/>
      <c r="I11" s="173"/>
      <c r="J11" s="173"/>
      <c r="K11" s="182"/>
      <c r="L11" s="179"/>
      <c r="M11" s="182"/>
      <c r="N11" s="192"/>
      <c r="O11" s="181"/>
    </row>
    <row r="13" spans="1:15" s="193" customFormat="1" x14ac:dyDescent="0.25">
      <c r="E13" s="198" t="s">
        <v>265</v>
      </c>
      <c r="F13" s="198"/>
      <c r="G13" s="198"/>
      <c r="H13" s="198"/>
      <c r="I13" s="198"/>
      <c r="J13" s="198"/>
      <c r="K13" s="194"/>
      <c r="L13" s="197" t="s">
        <v>260</v>
      </c>
      <c r="M13" s="197"/>
      <c r="N13" s="197"/>
      <c r="O13" s="197"/>
    </row>
    <row r="14" spans="1:15" s="145" customFormat="1" ht="30.75" thickBot="1" x14ac:dyDescent="0.3">
      <c r="E14" s="175" t="s">
        <v>244</v>
      </c>
      <c r="F14" s="73" t="s">
        <v>241</v>
      </c>
      <c r="G14" s="73" t="s">
        <v>242</v>
      </c>
      <c r="H14" s="73" t="s">
        <v>243</v>
      </c>
      <c r="I14" s="73" t="s">
        <v>247</v>
      </c>
      <c r="J14" s="189" t="s">
        <v>251</v>
      </c>
      <c r="K14" s="195"/>
      <c r="L14" s="73" t="s">
        <v>264</v>
      </c>
      <c r="M14" s="73" t="s">
        <v>261</v>
      </c>
      <c r="N14" s="73" t="s">
        <v>262</v>
      </c>
      <c r="O14" s="73" t="s">
        <v>263</v>
      </c>
    </row>
    <row r="15" spans="1:15" ht="15.75" thickTop="1" x14ac:dyDescent="0.25">
      <c r="E15">
        <f>9*265</f>
        <v>2385</v>
      </c>
      <c r="F15">
        <f>F2</f>
        <v>37</v>
      </c>
      <c r="G15">
        <f>G2</f>
        <v>344</v>
      </c>
      <c r="H15">
        <f>H2</f>
        <v>480</v>
      </c>
      <c r="I15">
        <v>8</v>
      </c>
      <c r="J15" s="186">
        <f>ROUND(I15*H15*G15*F15*E15/1024^3,0)</f>
        <v>109</v>
      </c>
      <c r="L15" s="196">
        <v>0.99609375</v>
      </c>
      <c r="M15" s="180">
        <v>150</v>
      </c>
      <c r="N15" s="180">
        <v>3473.1</v>
      </c>
      <c r="O15" s="178">
        <f>N15/M15/L15</f>
        <v>23.244800000000001</v>
      </c>
    </row>
    <row r="16" spans="1:15" x14ac:dyDescent="0.25">
      <c r="L16" s="196">
        <v>0.4931640625</v>
      </c>
      <c r="M16" s="180">
        <v>150</v>
      </c>
      <c r="N16" s="180">
        <v>1719.5</v>
      </c>
      <c r="O16" s="178">
        <f t="shared" ref="O16:O17" si="2">N16/M16/L16</f>
        <v>23.244462046204621</v>
      </c>
    </row>
    <row r="17" spans="12:15" x14ac:dyDescent="0.25">
      <c r="L17" s="196">
        <v>0.4931640625</v>
      </c>
      <c r="M17" s="180">
        <v>300</v>
      </c>
      <c r="N17" s="180">
        <v>3439.1</v>
      </c>
      <c r="O17" s="178">
        <f t="shared" si="2"/>
        <v>23.245137953795378</v>
      </c>
    </row>
  </sheetData>
  <mergeCells count="2">
    <mergeCell ref="L13:O13"/>
    <mergeCell ref="E13:J1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vt:lpstr>
      <vt:lpstr>NBr</vt:lpstr>
      <vt:lpstr>SFR_requirements</vt:lpstr>
      <vt:lpstr>NBr_TS_Ext</vt:lpstr>
      <vt:lpstr>NBr_minor</vt:lpstr>
      <vt:lpstr>SFR_limitations</vt:lpstr>
      <vt:lpstr>Categories</vt:lpstr>
      <vt:lpstr>iMOD_bugs</vt:lpstr>
      <vt:lpstr>RscEst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2025-05-12T09:28:26Z</dcterms:modified>
</cp:coreProperties>
</file>