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1_{78850684-AD42-4B72-8A5E-98A9DFA8D75B}" xr6:coauthVersionLast="47" xr6:coauthVersionMax="47" xr10:uidLastSave="{00000000-0000-0000-0000-000000000000}"/>
  <bookViews>
    <workbookView xWindow="-110" yWindow="-110" windowWidth="19420" windowHeight="11500" tabRatio="822" firstSheet="4" activeTab="12"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RscEstv2" sheetId="20" r:id="rId12"/>
    <sheet name="Scalling Calcs" sheetId="21" r:id="rId13"/>
    <sheet name="NBr32vsNBr30" sheetId="15" state="hidden" r:id="rId14"/>
    <sheet name="WBD_SHP_Eval_all" sheetId="16" state="hidden" r:id="rId15"/>
    <sheet name="WBD_SHP_Eval" sheetId="17" r:id="rId16"/>
    <sheet name="ErrorList" sheetId="18" r:id="rId17"/>
    <sheet name="SFR_extra_system_error" sheetId="12" state="hidden" r:id="rId18"/>
    <sheet name="SFR_extra_system_error (2)" sheetId="13" state="hidden" r:id="rId19"/>
  </sheets>
  <definedNames>
    <definedName name="_xlnm._FilterDatabase" localSheetId="1" hidden="1">NBr!$A$1:$O$15</definedName>
    <definedName name="_xlnm._FilterDatabase" localSheetId="4" hidden="1">NBr_minor!$A$1:$G$14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21" l="1"/>
  <c r="E5" i="21"/>
  <c r="D6" i="21"/>
  <c r="D5" i="21"/>
  <c r="C6" i="21"/>
  <c r="C5" i="21"/>
  <c r="B6" i="21"/>
  <c r="B7" i="21"/>
  <c r="B8" i="21"/>
  <c r="B9" i="21"/>
  <c r="B10" i="21"/>
  <c r="B5" i="21"/>
  <c r="G15" i="21"/>
  <c r="H15" i="21"/>
  <c r="H14" i="21"/>
  <c r="G14" i="21"/>
  <c r="Z15" i="21"/>
  <c r="Z14" i="21"/>
  <c r="J12" i="21"/>
  <c r="J13" i="21"/>
  <c r="K13" i="21" s="1"/>
  <c r="Z12" i="21"/>
  <c r="M3" i="21"/>
  <c r="J14" i="21" l="1"/>
  <c r="J15" i="21"/>
  <c r="W4" i="21" l="1"/>
  <c r="W3" i="21"/>
  <c r="W6" i="21"/>
  <c r="T10" i="21"/>
  <c r="E10" i="21" s="1"/>
  <c r="S10" i="21"/>
  <c r="D10" i="21" s="1"/>
  <c r="R10" i="21"/>
  <c r="C10" i="21" s="1"/>
  <c r="T9" i="21"/>
  <c r="E9" i="21" s="1"/>
  <c r="S9" i="21"/>
  <c r="D9" i="21" s="1"/>
  <c r="R9" i="21"/>
  <c r="C9" i="21" s="1"/>
  <c r="T8" i="21"/>
  <c r="E8" i="21" s="1"/>
  <c r="S8" i="21"/>
  <c r="D8" i="21" s="1"/>
  <c r="R8" i="21"/>
  <c r="C8" i="21" s="1"/>
  <c r="T7" i="21"/>
  <c r="E7" i="21" s="1"/>
  <c r="S7" i="21"/>
  <c r="D7" i="21" s="1"/>
  <c r="R7" i="21"/>
  <c r="C7" i="21" s="1"/>
  <c r="Q3" i="21"/>
  <c r="S3" i="21"/>
  <c r="R3" i="21"/>
  <c r="T3" i="21"/>
  <c r="H3" i="21"/>
  <c r="H4" i="21"/>
  <c r="G4" i="21"/>
  <c r="G3" i="21"/>
  <c r="G5" i="21" l="1"/>
  <c r="W5" i="21"/>
  <c r="W9" i="21"/>
  <c r="J3" i="21"/>
  <c r="L13" i="21" s="1"/>
  <c r="M13" i="21" s="1"/>
  <c r="N13" i="21" s="1"/>
  <c r="W10" i="21"/>
  <c r="J4" i="21"/>
  <c r="W8" i="21"/>
  <c r="W7" i="21"/>
  <c r="H9" i="21"/>
  <c r="G9" i="21"/>
  <c r="H8" i="21"/>
  <c r="H10" i="21"/>
  <c r="G10" i="21"/>
  <c r="G8" i="21"/>
  <c r="G7" i="21"/>
  <c r="H7" i="21"/>
  <c r="H6" i="21"/>
  <c r="G6" i="21"/>
  <c r="H5" i="21"/>
  <c r="L4" i="21" l="1"/>
  <c r="M4" i="21" s="1"/>
  <c r="J5" i="21"/>
  <c r="L5" i="21" s="1"/>
  <c r="M5" i="21" s="1"/>
  <c r="J7" i="21"/>
  <c r="L7" i="21" s="1"/>
  <c r="M7" i="21" s="1"/>
  <c r="L12" i="21"/>
  <c r="M12" i="21" s="1"/>
  <c r="N12" i="21" s="1"/>
  <c r="L15" i="21"/>
  <c r="M15" i="21" s="1"/>
  <c r="N15" i="21" s="1"/>
  <c r="L14" i="21"/>
  <c r="M14" i="21" s="1"/>
  <c r="N14" i="21" s="1"/>
  <c r="J8" i="21"/>
  <c r="L8" i="21" s="1"/>
  <c r="M8" i="21" s="1"/>
  <c r="J9" i="21"/>
  <c r="L9" i="21" s="1"/>
  <c r="M9" i="21" s="1"/>
  <c r="J10" i="21"/>
  <c r="L10" i="21" s="1"/>
  <c r="M10" i="21" s="1"/>
  <c r="J6" i="21"/>
  <c r="L6" i="21" s="1"/>
  <c r="M6" i="21" s="1"/>
  <c r="R11" i="20" l="1"/>
  <c r="S11" i="20" s="1"/>
  <c r="R10" i="20"/>
  <c r="S10" i="20" s="1"/>
  <c r="G4" i="20"/>
  <c r="G6" i="20" s="1"/>
  <c r="H6" i="20" s="1"/>
  <c r="H10" i="20" s="1"/>
  <c r="H11" i="20" l="1"/>
  <c r="F4" i="20"/>
  <c r="I6" i="20"/>
  <c r="B6" i="20" s="1"/>
  <c r="I32" i="12"/>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tc={9FE2F2B3-3688-4CED-BF21-5C563702296F}</author>
  </authors>
  <commentList>
    <comment ref="L2" authorId="0" shapeId="0" xr:uid="{9FE2F2B3-3688-4CED-BF21-5C563702296F}">
      <text>
        <t>[Threaded comment]
Your version of Excel allows you to read this threaded comment; however, any edits to it will get removed if the file is opened in a newer version of Excel. Learn more: https://go.microsoft.com/fwlink/?linkid=870924
Comment:
    Using RIV package.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<sst xmlns="http://schemas.openxmlformats.org/spreadsheetml/2006/main" count="4294954681" uniqueCount="561">
  <si>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</si>
  <si>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</si>
  <si>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</si>
  <si>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</si>
  <si>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</si>
  <si>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</si>
  <si>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</si>
  <si>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</si>
  <si>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</si>
  <si>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</si>
  <si>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</si>
  <si>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</si>
  <si>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</si>
  <si>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</si>
  <si>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</si>
  <si>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</si>
  <si>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</si>
  <si>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</si>
  <si>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</si>
  <si>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</si>
  <si>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</si>
  <si>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</si>
  <si>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</si>
  <si>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</si>
  <si>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</si>
  <si>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</si>
  <si>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</si>
  <si>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</si>
  <si>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</si>
  <si>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</si>
  <si>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</si>
  <si>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</si>
  <si>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</si>
  <si>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</si>
  <si>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</si>
  <si>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</si>
  <si>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</si>
  <si>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</si>
  <si>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</si>
  <si>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</si>
  <si>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</si>
  <si>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</si>
  <si>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</si>
  <si>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</si>
  <si>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</si>
  <si>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</si>
  <si>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</si>
  <si>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</si>
  <si>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</si>
  <si>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</si>
  <si>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</si>
  <si>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</si>
  <si>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</si>
  <si>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</si>
  <si>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</si>
  <si>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</si>
  <si>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</si>
  <si>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</si>
  <si>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</si>
  <si>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</si>
  <si>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</si>
  <si>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</si>
  <si>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</si>
  <si>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</si>
  <si>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</si>
  <si>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</si>
  <si>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</si>
  <si>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</si>
  <si>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</si>
  <si>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</si>
  <si>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</si>
  <si>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</si>
  <si>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</si>
  <si>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</si>
  <si>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</si>
  <si>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</si>
  <si>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</si>
  <si>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</si>
  <si>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</si>
  <si>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</si>
  <si>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</si>
  <si>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</si>
  <si>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</si>
  <si>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</si>
  <si>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</si>
  <si>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</si>
  <si>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</si>
  <si>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</si>
  <si>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</si>
  <si>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</si>
  <si>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</si>
  <si>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</si>
  <si>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</si>
  <si>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</si>
  <si>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</si>
  <si>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</si>
  <si>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</si>
  <si>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</si>
  <si>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</si>
  <si>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</si>
  <si>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</si>
  <si>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</si>
  <si>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</si>
  <si>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</si>
  <si>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</si>
  <si>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</si>
  <si>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</si>
  <si>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</si>
  <si>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</si>
  <si>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</si>
  <si>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</si>
  <si>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</si>
  <si>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</si>
  <si>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</si>
  <si>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</si>
  <si>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</si>
  <si>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</si>
  <si>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</si>
  <si>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</si>
  <si>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</si>
  <si>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</si>
  <si>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</si>
  <si>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</si>
  <si>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</si>
  <si>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</si>
  <si>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</si>
  <si>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</si>
  <si>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</si>
  <si>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</si>
  <si>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</si>
  <si>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</si>
  <si>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</si>
  <si>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</si>
  <si>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</si>
  <si>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</si>
  <si>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</si>
  <si>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</si>
  <si>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</si>
  <si>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</si>
  <si>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</si>
  <si>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</si>
  <si>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</si>
  <si>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</si>
  <si>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</si>
  <si>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</si>
  <si>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</si>
  <si>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</si>
  <si>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</si>
  <si>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</si>
  <si>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</si>
  <si>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</si>
  <si>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</si>
  <si>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</si>
  <si>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</si>
  <si>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</si>
  <si>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</si>
  <si>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</si>
  <si>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</si>
  <si>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</si>
  <si>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</si>
  <si>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</si>
  <si>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</si>
  <si>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</si>
  <si>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</si>
  <si>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</si>
  <si>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</si>
  <si>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</si>
  <si>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</si>
  <si>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</si>
  <si>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</si>
  <si>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</si>
  <si>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</si>
  <si>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</si>
  <si>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</si>
  <si>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</si>
  <si>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</si>
  <si>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</si>
  <si>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</si>
  <si>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</si>
  <si>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</si>
  <si>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</si>
  <si>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</si>
  <si>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</si>
  <si>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</si>
  <si>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</si>
  <si>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</si>
  <si>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</si>
  <si>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</si>
  <si>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</si>
  <si>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</si>
  <si>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</si>
  <si>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</si>
  <si>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</si>
  <si>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</si>
  <si>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</si>
  <si>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</si>
  <si>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</si>
  <si>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</si>
  <si>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</si>
  <si>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</si>
  <si>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</si>
  <si>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</si>
  <si>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</si>
  <si>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</si>
  <si>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</si>
  <si>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</si>
  <si>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</si>
  <si>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</si>
  <si>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</si>
  <si>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</si>
  <si>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</si>
  <si>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</si>
  <si>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</si>
  <si>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</si>
  <si>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</si>
  <si>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</si>
  <si>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</si>
  <si>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</si>
  <si>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</si>
  <si>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</si>
  <si>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</si>
  <si>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</si>
  <si>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</si>
  <si>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</si>
  <si>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</si>
  <si>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</si>
  <si>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</si>
  <si>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</si>
  <si>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</si>
  <si>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</si>
  <si>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</si>
  <si>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</si>
  <si>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</si>
  <si>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</si>
  <si>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</si>
  <si>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</si>
  <si>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</si>
  <si>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</si>
  <si>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</si>
  <si>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</si>
  <si>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</si>
  <si>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</si>
  <si>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</si>
  <si>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</si>
  <si>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</si>
  <si>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</si>
  <si>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</si>
  <si>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</si>
  <si>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</si>
  <si>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</si>
  <si>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</si>
  <si>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</si>
  <si>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</si>
  <si>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</si>
  <si>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</si>
  <si>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</si>
  <si>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</si>
  <si>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</si>
  <si>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</si>
  <si>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</si>
  <si>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</si>
  <si>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</si>
  <si>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</si>
  <si>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</si>
  <si>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</si>
  <si>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</si>
  <si>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</si>
  <si>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</si>
  <si>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</si>
  <si>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</si>
  <si>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</si>
  <si>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</si>
  <si>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</si>
  <si>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</si>
  <si>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</si>
  <si>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</si>
  <si>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</si>
  <si>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</si>
  <si>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</si>
  <si>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</si>
  <si>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</si>
  <si>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</si>
  <si>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</si>
  <si>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</si>
  <si>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</si>
  <si>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</si>
  <si>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</si>
  <si>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</si>
  <si>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</si>
  <si>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</si>
  <si>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</si>
  <si>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</si>
  <si>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</si>
  <si>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</si>
  <si>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</si>
  <si>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</si>
  <si>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</si>
  <si>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</si>
  <si>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</si>
  <si>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</si>
  <si>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</si>
  <si>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</si>
  <si>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</si>
  <si>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</si>
  <si>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</si>
  <si>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</si>
  <si>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</si>
  <si>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</si>
  <si>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</si>
  <si>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</si>
  <si>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</si>
  <si>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</si>
  <si>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</si>
  <si>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</si>
  <si>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</si>
  <si>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</si>
  <si>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</si>
  <si>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</si>
  <si>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</si>
  <si>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</si>
  <si>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</si>
  <si>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</si>
  <si>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</si>
  <si>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</si>
  <si>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</si>
  <si>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</si>
  <si>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</si>
  <si>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</si>
  <si>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</si>
  <si>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</si>
  <si>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</si>
  <si>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</si>
  <si>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</si>
  <si>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</si>
  <si>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</si>
  <si>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</si>
  <si>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</si>
  <si>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</si>
  <si>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</si>
  <si>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</si>
  <si>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</si>
  <si>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</si>
  <si>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</si>
  <si>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</si>
  <si>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</si>
  <si>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</si>
  <si>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</si>
  <si>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</si>
  <si>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</si>
  <si>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</si>
  <si>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</si>
  <si>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</si>
  <si>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</si>
  <si>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</si>
  <si>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</si>
  <si>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</si>
  <si>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</si>
  <si>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</si>
  <si>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</si>
  <si>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</si>
  <si>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</si>
  <si>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</si>
  <si>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</si>
  <si>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</si>
  <si>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</si>
  <si>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</si>
  <si>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</si>
  <si>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</si>
  <si>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</si>
  <si>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</si>
  <si>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</si>
  <si>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</si>
  <si>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</si>
  <si>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</si>
  <si>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</si>
  <si>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</si>
  <si>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</si>
  <si>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</si>
  <si>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</si>
  <si>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</si>
  <si>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</si>
  <si>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</si>
  <si>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</si>
  <si>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</si>
  <si>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</si>
  <si>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</si>
  <si>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</si>
  <si>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</si>
  <si>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</si>
  <si>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</si>
  <si>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</si>
  <si>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</si>
  <si>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</si>
  <si>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</si>
  <si>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</si>
  <si>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</si>
  <si>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</si>
  <si>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</si>
  <si>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</si>
  <si>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</si>
  <si>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</si>
  <si>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</si>
  <si>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</si>
  <si>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</si>
  <si>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</si>
  <si>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</si>
  <si>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</si>
  <si>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</si>
  <si>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</si>
  <si>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</si>
  <si>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</si>
  <si>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</si>
  <si>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</si>
  <si>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</si>
  <si>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</si>
  <si>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</si>
  <si>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</si>
  <si>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</si>
  <si>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</si>
  <si>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</si>
  <si>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</si>
  <si>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</si>
  <si>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</si>
  <si>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</si>
  <si>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</si>
  <si>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</si>
  <si>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</si>
  <si>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</si>
  <si>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</si>
  <si>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</si>
  <si>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</si>
  <si>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</si>
  <si>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</si>
  <si>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</si>
  <si>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</si>
  <si>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</si>
  <si>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</si>
  <si>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</si>
  <si>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</si>
  <si>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</si>
  <si>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</si>
  <si>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</si>
  <si>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</si>
  <si>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</si>
  <si>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</si>
  <si>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</si>
  <si>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</si>
  <si>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</si>
  <si>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</si>
  <si>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</si>
  <si>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</si>
  <si>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</si>
  <si>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</si>
  <si>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</si>
  <si>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</si>
  <si>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</si>
  <si>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</si>
  <si>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</si>
  <si>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</si>
  <si>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</si>
  <si>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</si>
  <si>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</si>
  <si>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</si>
  <si>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</si>
  <si>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</si>
  <si>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</si>
  <si>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</si>
  <si>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</si>
  <si>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</si>
  <si>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</si>
  <si>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</si>
  <si>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</si>
  <si>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</si>
  <si>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</si>
  <si>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</si>
  <si>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</si>
  <si>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</si>
  <si>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</si>
  <si>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</si>
  <si>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</si>
  <si>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</si>
  <si>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</si>
  <si>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</si>
  <si>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</si>
  <si>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</si>
  <si>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</si>
  <si>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</si>
  <si>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</si>
  <si>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</si>
  <si>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</si>
  <si>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</si>
  <si>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</si>
  <si>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</si>
  <si>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</si>
  <si>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</si>
  <si>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</si>
  <si>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</si>
  <si>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</si>
  <si>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</si>
  <si>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</si>
  <si>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</si>
  <si>
    <t>Sim</t>
  </si>
  <si>
    <t>Total size</t>
  </si>
  <si>
    <t>MF Out</t>
  </si>
  <si>
    <t>MSW Out</t>
  </si>
  <si>
    <t>CBC</t>
  </si>
  <si>
    <t>NBr118 (30 year)</t>
  </si>
  <si>
    <t>3 year CBC</t>
  </si>
  <si>
    <t>In</t>
  </si>
  <si>
    <t>NBr112 (2 year)</t>
  </si>
  <si>
    <t>CPUh</t>
  </si>
  <si>
    <t>CPUh/d</t>
  </si>
  <si>
    <t>6x Sc (2 Hi + 2 Hd + 2 Hw) -&gt; 8 core</t>
  </si>
  <si>
    <t>Storage Cost</t>
  </si>
  <si>
    <t>No CBC</t>
  </si>
  <si>
    <t>Total No CBC</t>
  </si>
  <si>
    <t>Runtime (days)</t>
  </si>
  <si>
    <t>CPU cost</t>
  </si>
  <si>
    <t>Storage Estimate (GB)</t>
  </si>
  <si>
    <t>Total</t>
  </si>
  <si>
    <t>Size (GB)</t>
  </si>
  <si>
    <t>Cost (CPUh)</t>
  </si>
  <si>
    <t>Drive #1</t>
  </si>
  <si>
    <t>Drive #2</t>
  </si>
  <si>
    <t>Drive #3</t>
  </si>
  <si>
    <t>9x Sc (3 Hi + 3 Hd + 3 Hw) -&gt; 16 core</t>
  </si>
  <si>
    <t>N R</t>
  </si>
  <si>
    <t>N C</t>
  </si>
  <si>
    <t>Runtime 1 year (h)</t>
  </si>
  <si>
    <t>Xmin</t>
  </si>
  <si>
    <t>Xmax</t>
  </si>
  <si>
    <t>Ymin</t>
  </si>
  <si>
    <t>Ymax</t>
  </si>
  <si>
    <t>Chaams Beek</t>
  </si>
  <si>
    <t>Cellsize</t>
  </si>
  <si>
    <t>W</t>
  </si>
  <si>
    <t>N</t>
  </si>
  <si>
    <t>Border Distance from Chaamse Beek (m)</t>
  </si>
  <si>
    <t>ChB + 1K</t>
  </si>
  <si>
    <t>N cells</t>
  </si>
  <si>
    <t>N L</t>
  </si>
  <si>
    <t>ChB + 1K 50x50</t>
  </si>
  <si>
    <t>ChB + 2K</t>
  </si>
  <si>
    <t>ChB + 2K 50x50</t>
  </si>
  <si>
    <t>ChB + 3K</t>
  </si>
  <si>
    <t>ChB + 3K 50x50</t>
  </si>
  <si>
    <t>window</t>
  </si>
  <si>
    <t>Run?</t>
  </si>
  <si>
    <t>NBr125-127</t>
  </si>
  <si>
    <t>Runtme 30 years (days)</t>
  </si>
  <si>
    <t>area m2</t>
  </si>
  <si>
    <t>Whole NBr 100x100</t>
  </si>
  <si>
    <t>Whole NBr 200x200</t>
  </si>
  <si>
    <t>Whole NBr 250x250</t>
  </si>
  <si>
    <t>Percentage active</t>
  </si>
  <si>
    <t>Runtme 30 years (days) percentage active</t>
  </si>
  <si>
    <t>Current extent</t>
  </si>
  <si>
    <t>Estimates</t>
  </si>
  <si>
    <t>Actual</t>
  </si>
  <si>
    <t>NBr137-139</t>
  </si>
  <si>
    <t>NBr140-142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</si>
</sst>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
      <sz val="8"/>
      <name val="Calibri"/>
      <family val="2"/>
      <scheme val="minor"/>
    </font>
    <font>
      <b/>
      <sz val="12"/>
      <color rgb="FFC00000"/>
      <name val="Calibri"/>
      <family val="2"/>
      <scheme val="minor"/>
    </font>
    <font>
      <sz val="11"/>
      <color rgb="FFFF0000"/>
      <name val="Calibri"/>
      <family val="2"/>
      <scheme val="minor"/>
    </font>
    <font>
      <b/>
      <sz val="11"/>
      <color rgb="FFFF0000"/>
      <name val="Calibri"/>
      <family val="2"/>
      <scheme val="minor"/>
    </font>
    <font>
      <b/>
      <u/>
      <sz val="11"/>
      <color theme="1"/>
      <name val="Calibri"/>
      <family val="2"/>
      <scheme val="minor"/>
    </font>
    <font>
      <u/>
      <sz val="11"/>
      <color theme="1"/>
      <name val="Calibri"/>
      <family val="2"/>
      <scheme val="minor"/>
    </font>
    <font>
      <b/>
      <u/>
      <sz val="11"/>
      <color rgb="FFFF0000"/>
      <name val="Calibri"/>
      <family val="2"/>
      <scheme val="minor"/>
    </font>
    <font>
      <u/>
      <sz val="11"/>
      <name val="Calibri"/>
      <family val="2"/>
      <scheme val="minor"/>
    </font>
    <font>
      <b/>
      <sz val="11"/>
      <color theme="8"/>
      <name val="Calibri"/>
      <family val="2"/>
      <scheme val="minor"/>
    </font>
    <font>
      <sz val="11"/>
      <color theme="8"/>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6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48">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37" xfId="0" applyFont="1" applyBorder="1" applyAlignment="1">
      <alignment horizontal="center" vertical="center" wrapText="1"/>
    </xf>
    <xf numFmtId="0" fontId="1" fillId="0" borderId="37" xfId="0" applyFont="1"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xf numFmtId="0" fontId="1" fillId="0" borderId="56" xfId="0" applyFont="1" applyBorder="1" applyAlignment="1">
      <alignment horizontal="center" vertical="center" wrapText="1"/>
    </xf>
    <xf numFmtId="0" fontId="0" fillId="0" borderId="58" xfId="0" applyBorder="1" applyAlignment="1">
      <alignment horizontal="center" vertical="center" wrapText="1"/>
    </xf>
    <xf numFmtId="0" fontId="0" fillId="0" borderId="59" xfId="0" applyBorder="1"/>
    <xf numFmtId="0" fontId="1" fillId="0" borderId="34" xfId="0" applyFont="1" applyBorder="1" applyAlignment="1">
      <alignment horizontal="center" vertical="center" wrapText="1"/>
    </xf>
    <xf numFmtId="0" fontId="1" fillId="0" borderId="54" xfId="0" applyFont="1" applyBorder="1" applyAlignment="1">
      <alignment horizontal="center" vertical="center" wrapText="1"/>
    </xf>
    <xf numFmtId="0" fontId="0" fillId="0" borderId="61" xfId="0" applyBorder="1" applyAlignment="1">
      <alignment horizontal="center" vertical="center" wrapText="1"/>
    </xf>
    <xf numFmtId="0" fontId="0" fillId="0" borderId="61" xfId="0" applyBorder="1"/>
    <xf numFmtId="0" fontId="1" fillId="0" borderId="63" xfId="0" applyFont="1" applyBorder="1" applyAlignment="1">
      <alignment horizontal="center" vertical="center" wrapText="1"/>
    </xf>
    <xf numFmtId="0" fontId="1" fillId="0" borderId="38" xfId="0" applyFont="1" applyBorder="1"/>
    <xf numFmtId="0" fontId="1" fillId="0" borderId="0" xfId="0" applyFont="1" applyBorder="1"/>
    <xf numFmtId="0" fontId="1" fillId="0" borderId="5" xfId="0" applyFont="1" applyBorder="1" applyAlignment="1">
      <alignment horizontal="center" vertical="center" wrapText="1"/>
    </xf>
    <xf numFmtId="0" fontId="1" fillId="0" borderId="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61" xfId="0" applyFont="1" applyBorder="1" applyAlignment="1">
      <alignment horizontal="center" vertical="center" wrapText="1"/>
    </xf>
    <xf numFmtId="0" fontId="0" fillId="0" borderId="0" xfId="0" applyFont="1" applyBorder="1"/>
    <xf numFmtId="0" fontId="27" fillId="0" borderId="61" xfId="0" applyFont="1" applyBorder="1"/>
    <xf numFmtId="0" fontId="1" fillId="0" borderId="65" xfId="0" applyFont="1" applyBorder="1"/>
    <xf numFmtId="0" fontId="1" fillId="0" borderId="0" xfId="0" applyFont="1" applyBorder="1" applyAlignment="1">
      <alignment horizontal="right"/>
    </xf>
    <xf numFmtId="0" fontId="27" fillId="0" borderId="62" xfId="0" applyFont="1" applyBorder="1"/>
    <xf numFmtId="0" fontId="1" fillId="0" borderId="41" xfId="0" applyFont="1" applyBorder="1"/>
    <xf numFmtId="0" fontId="0" fillId="0" borderId="5" xfId="0" applyFont="1" applyBorder="1"/>
    <xf numFmtId="0" fontId="0" fillId="0" borderId="2" xfId="0" applyFont="1" applyBorder="1"/>
    <xf numFmtId="0" fontId="29" fillId="0" borderId="0" xfId="0" applyFont="1" applyAlignment="1">
      <alignment vertical="center"/>
    </xf>
    <xf numFmtId="0" fontId="28" fillId="0" borderId="0" xfId="0" applyFont="1" applyAlignment="1">
      <alignment vertical="center"/>
    </xf>
    <xf numFmtId="164" fontId="0" fillId="0" borderId="0" xfId="0" applyNumberFormat="1" applyAlignment="1">
      <alignment vertical="center"/>
    </xf>
    <xf numFmtId="3" fontId="0" fillId="0" borderId="0" xfId="0" applyNumberFormat="1" applyAlignment="1">
      <alignment vertical="center"/>
    </xf>
    <xf numFmtId="3" fontId="1" fillId="0" borderId="0" xfId="0" applyNumberFormat="1" applyFont="1" applyAlignment="1">
      <alignment horizontal="center" vertical="center"/>
    </xf>
    <xf numFmtId="164" fontId="1" fillId="0" borderId="0" xfId="0" applyNumberFormat="1" applyFont="1" applyAlignment="1">
      <alignment horizontal="center" vertical="center"/>
    </xf>
    <xf numFmtId="3" fontId="1" fillId="0" borderId="0" xfId="0" applyNumberFormat="1" applyFont="1" applyAlignment="1">
      <alignment horizontal="center" vertical="center" wrapText="1"/>
    </xf>
    <xf numFmtId="164"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2" fontId="1" fillId="0" borderId="0" xfId="0" applyNumberFormat="1" applyFont="1" applyAlignment="1">
      <alignment horizontal="center" vertical="center" wrapText="1"/>
    </xf>
    <xf numFmtId="2" fontId="0" fillId="0" borderId="0" xfId="0" applyNumberForma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3" fontId="31" fillId="0" borderId="0" xfId="0" applyNumberFormat="1" applyFont="1" applyAlignment="1">
      <alignment vertical="center"/>
    </xf>
    <xf numFmtId="2" fontId="31" fillId="0" borderId="0" xfId="0" applyNumberFormat="1" applyFont="1" applyAlignment="1">
      <alignment vertical="center"/>
    </xf>
    <xf numFmtId="164" fontId="31" fillId="0" borderId="0" xfId="0" applyNumberFormat="1" applyFont="1" applyAlignment="1">
      <alignment vertical="center"/>
    </xf>
    <xf numFmtId="164" fontId="30" fillId="0" borderId="0" xfId="0" applyNumberFormat="1" applyFont="1" applyAlignment="1">
      <alignment vertical="center"/>
    </xf>
    <xf numFmtId="164" fontId="31" fillId="0" borderId="0" xfId="0" applyNumberFormat="1" applyFont="1"/>
    <xf numFmtId="0" fontId="21" fillId="0" borderId="0" xfId="0" applyFont="1" applyAlignment="1">
      <alignment vertical="center"/>
    </xf>
    <xf numFmtId="0" fontId="33" fillId="0" borderId="0" xfId="0" applyFont="1" applyAlignment="1">
      <alignment vertical="center"/>
    </xf>
    <xf numFmtId="0" fontId="34" fillId="0" borderId="0" xfId="0" applyFont="1" applyAlignment="1">
      <alignment vertical="center"/>
    </xf>
    <xf numFmtId="0" fontId="35" fillId="0" borderId="0" xfId="0" applyFont="1" applyAlignment="1">
      <alignment vertical="center"/>
    </xf>
    <xf numFmtId="3" fontId="35" fillId="0" borderId="0" xfId="0" applyNumberFormat="1" applyFont="1" applyAlignment="1">
      <alignment vertical="center"/>
    </xf>
    <xf numFmtId="2" fontId="35" fillId="0" borderId="0" xfId="0" applyNumberFormat="1" applyFont="1" applyAlignment="1">
      <alignment vertical="center"/>
    </xf>
    <xf numFmtId="164" fontId="35" fillId="0" borderId="0" xfId="0" applyNumberFormat="1" applyFon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1" fillId="0" borderId="54" xfId="0" applyFont="1" applyBorder="1" applyAlignment="1">
      <alignment horizontal="center" vertical="center" wrapText="1"/>
    </xf>
    <xf numFmtId="0" fontId="1" fillId="0" borderId="55" xfId="0" applyFont="1" applyBorder="1" applyAlignment="1">
      <alignment horizontal="center" vertical="center" wrapText="1"/>
    </xf>
    <xf numFmtId="0" fontId="1" fillId="0" borderId="57" xfId="0" applyFont="1" applyBorder="1" applyAlignment="1">
      <alignment horizontal="center" vertical="center" wrapText="1"/>
    </xf>
    <xf numFmtId="0" fontId="1" fillId="0" borderId="60" xfId="0" applyFont="1" applyBorder="1" applyAlignment="1">
      <alignment horizontal="center" vertical="center" wrapText="1"/>
    </xf>
    <xf numFmtId="0" fontId="1" fillId="0" borderId="66" xfId="0" applyFont="1" applyBorder="1" applyAlignment="1">
      <alignment horizontal="center" vertical="center" wrapText="1"/>
    </xf>
    <xf numFmtId="0" fontId="1" fillId="0" borderId="64" xfId="0" applyFont="1" applyBorder="1" applyAlignment="1">
      <alignment horizontal="center" vertical="center" wrapText="1"/>
    </xf>
    <xf numFmtId="0" fontId="1" fillId="0" borderId="67" xfId="0" applyFont="1" applyBorder="1" applyAlignment="1">
      <alignment horizontal="center" vertical="center" wrapText="1"/>
    </xf>
    <xf numFmtId="0" fontId="1" fillId="0" borderId="0" xfId="0" applyFont="1" applyAlignment="1">
      <alignment horizontal="center" vertical="center"/>
    </xf>
    <xf numFmtId="164" fontId="1" fillId="0" borderId="0" xfId="0" applyNumberFormat="1" applyFont="1" applyAlignment="1">
      <alignment horizontal="center" vertical="center"/>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L2" dT="2026-10-26T13:46:34.04" personId="{03CB0575-C3E6-4F90-B161-647A816C1753}" id="{9FE2F2B3-3688-4CED-BF21-5C563702296F}">
    <text>Using RIV package.</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4.5" x14ac:dyDescent="0.35"/>
  <cols>
    <col min="1" max="1" width="15.7265625" customWidth="1"/>
    <col min="2" max="2" width="7.453125" style="266" bestFit="1" customWidth="1"/>
    <col min="3" max="3" width="173.1796875" style="177" customWidth="1"/>
  </cols>
  <sheetData>
    <row r="1" spans="1:3" s="69" customFormat="1" x14ac:dyDescent="0.35">
      <c r="A1" s="265" t="s">
        <v>457</v>
      </c>
      <c r="B1" s="265" t="s">
        <v>464</v>
      </c>
      <c r="C1" s="267" t="s">
        <v>238</v>
      </c>
    </row>
    <row r="2" spans="1:3" x14ac:dyDescent="0.35">
      <c r="A2" s="69" t="s">
        <v>458</v>
      </c>
      <c r="B2" s="266" t="s">
        <v>466</v>
      </c>
      <c r="C2" s="177" t="s">
        <v>459</v>
      </c>
    </row>
    <row r="3" spans="1:3" x14ac:dyDescent="0.35">
      <c r="A3" s="69" t="s">
        <v>467</v>
      </c>
      <c r="B3" s="266" t="s">
        <v>466</v>
      </c>
      <c r="C3" s="177" t="s">
        <v>468</v>
      </c>
    </row>
    <row r="4" spans="1:3" x14ac:dyDescent="0.35">
      <c r="A4" s="69" t="s">
        <v>460</v>
      </c>
      <c r="B4" s="266" t="s">
        <v>466</v>
      </c>
      <c r="C4" s="177" t="s">
        <v>461</v>
      </c>
    </row>
    <row r="5" spans="1:3" x14ac:dyDescent="0.35">
      <c r="A5" s="69" t="s">
        <v>462</v>
      </c>
      <c r="B5" s="266" t="s">
        <v>465</v>
      </c>
      <c r="C5" s="177" t="s">
        <v>463</v>
      </c>
    </row>
    <row r="6" spans="1:3" x14ac:dyDescent="0.35">
      <c r="A6" s="69" t="s">
        <v>469</v>
      </c>
      <c r="B6" s="266" t="s">
        <v>466</v>
      </c>
      <c r="C6" s="177" t="s">
        <v>470</v>
      </c>
    </row>
    <row r="7" spans="1:3" x14ac:dyDescent="0.35">
      <c r="A7" s="69" t="s">
        <v>471</v>
      </c>
      <c r="B7" s="266" t="s">
        <v>466</v>
      </c>
      <c r="C7" s="177" t="s">
        <v>472</v>
      </c>
    </row>
    <row r="8" spans="1:3" x14ac:dyDescent="0.35">
      <c r="A8" s="69" t="s">
        <v>474</v>
      </c>
      <c r="B8" s="266" t="s">
        <v>466</v>
      </c>
      <c r="C8" s="177" t="s">
        <v>473</v>
      </c>
    </row>
    <row r="9" spans="1:3" x14ac:dyDescent="0.35">
      <c r="A9" s="69" t="s">
        <v>475</v>
      </c>
      <c r="B9" s="266" t="s">
        <v>466</v>
      </c>
      <c r="C9" s="177" t="s">
        <v>476</v>
      </c>
    </row>
    <row r="10" spans="1:3" x14ac:dyDescent="0.35">
      <c r="A10" s="69" t="s">
        <v>477</v>
      </c>
      <c r="B10" s="266" t="s">
        <v>466</v>
      </c>
      <c r="C10" s="177" t="s">
        <v>479</v>
      </c>
    </row>
    <row r="11" spans="1:3" x14ac:dyDescent="0.35">
      <c r="A11" s="69" t="s">
        <v>478</v>
      </c>
      <c r="B11" s="266" t="s">
        <v>466</v>
      </c>
      <c r="C11" s="177" t="s">
        <v>480</v>
      </c>
    </row>
    <row r="12" spans="1:3" x14ac:dyDescent="0.3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796875" defaultRowHeight="14.5" x14ac:dyDescent="0.35"/>
  <cols>
    <col min="1" max="1" width="30.1796875" style="3" bestFit="1" customWidth="1"/>
    <col min="2" max="2" width="25.7265625" style="4" hidden="1" customWidth="1"/>
    <col min="3" max="3" width="25.7265625" style="5" hidden="1" customWidth="1"/>
    <col min="4" max="4" width="50.7265625" style="11" customWidth="1"/>
    <col min="5" max="5" width="50.7265625" style="12" customWidth="1"/>
    <col min="6" max="7" width="25.7265625" style="13" customWidth="1"/>
    <col min="8" max="8" width="25.7265625" style="71" customWidth="1"/>
    <col min="9" max="9" width="50.7265625" style="90" customWidth="1"/>
    <col min="10" max="10" width="12.7265625" style="91" customWidth="1"/>
    <col min="11" max="12" width="12.7265625" style="92" customWidth="1"/>
    <col min="13" max="14" width="8.7265625" style="92" customWidth="1"/>
    <col min="15" max="15" width="60.7265625" style="67" customWidth="1"/>
    <col min="16" max="16" width="20.7265625" style="67" customWidth="1"/>
    <col min="17" max="19" width="9.1796875" style="24"/>
    <col min="20" max="20" width="12.26953125" style="24" bestFit="1" customWidth="1"/>
    <col min="21" max="21" width="9.453125" style="24" bestFit="1" customWidth="1"/>
    <col min="22" max="16384" width="9.1796875" style="24"/>
  </cols>
  <sheetData>
    <row r="1" spans="1:20" s="22" customFormat="1" ht="44" thickBot="1" x14ac:dyDescent="0.4">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3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35">
      <c r="A3" s="21" t="s">
        <v>89</v>
      </c>
      <c r="B3" s="20" t="s">
        <v>87</v>
      </c>
      <c r="C3" s="16" t="s">
        <v>75</v>
      </c>
      <c r="D3" s="19" t="s">
        <v>85</v>
      </c>
      <c r="E3" s="17" t="s">
        <v>61</v>
      </c>
      <c r="F3" s="15" t="s">
        <v>72</v>
      </c>
      <c r="G3" s="18" t="s">
        <v>82</v>
      </c>
      <c r="H3" s="122" t="s">
        <v>98</v>
      </c>
      <c r="I3" s="123" t="s">
        <v>150</v>
      </c>
      <c r="J3" s="124">
        <v>10</v>
      </c>
      <c r="K3" s="125">
        <v>8</v>
      </c>
      <c r="L3" s="126">
        <v>0.5</v>
      </c>
      <c r="M3" s="18">
        <f t="shared" ref="M3:M15" si="0">IF(J3&lt;&gt;J2,N2,M2)</f>
        <v>-2</v>
      </c>
      <c r="N3" s="18">
        <f t="shared" ref="N3:N10" si="1">IF(ISNUMBER(SEARCH("Yes", H3)),M3+SUMIFS(L:L,J:J,J3),M3)</f>
        <v>3</v>
      </c>
      <c r="O3" s="127" t="s">
        <v>259</v>
      </c>
      <c r="P3" s="127"/>
    </row>
    <row r="4" spans="1:20" s="107" customFormat="1" ht="45" customHeight="1" x14ac:dyDescent="0.3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35">
      <c r="A5" s="129" t="s">
        <v>90</v>
      </c>
      <c r="B5" s="130" t="s">
        <v>14</v>
      </c>
      <c r="C5" s="131" t="s">
        <v>24</v>
      </c>
      <c r="D5" s="132" t="s">
        <v>25</v>
      </c>
      <c r="E5" s="133" t="s">
        <v>32</v>
      </c>
      <c r="F5" s="134" t="s">
        <v>63</v>
      </c>
      <c r="G5" s="135" t="s">
        <v>64</v>
      </c>
      <c r="H5" s="136" t="s">
        <v>74</v>
      </c>
      <c r="I5" s="137" t="s">
        <v>151</v>
      </c>
      <c r="J5" s="138">
        <v>9</v>
      </c>
      <c r="K5" s="139">
        <v>4</v>
      </c>
      <c r="L5" s="140">
        <v>5</v>
      </c>
      <c r="M5" s="141">
        <f t="shared" si="0"/>
        <v>3</v>
      </c>
      <c r="N5" s="141">
        <f t="shared" si="1"/>
        <v>3</v>
      </c>
      <c r="O5" s="142" t="s">
        <v>71</v>
      </c>
      <c r="P5" s="142"/>
    </row>
    <row r="6" spans="1:20" s="107" customFormat="1" ht="45" customHeight="1" x14ac:dyDescent="0.35">
      <c r="A6" s="146" t="s">
        <v>38</v>
      </c>
      <c r="B6" s="94" t="s">
        <v>34</v>
      </c>
      <c r="C6" s="95" t="s">
        <v>21</v>
      </c>
      <c r="D6" s="96" t="s">
        <v>45</v>
      </c>
      <c r="E6" s="97" t="s">
        <v>35</v>
      </c>
      <c r="F6" s="147" t="s">
        <v>44</v>
      </c>
      <c r="G6" s="148" t="s">
        <v>65</v>
      </c>
      <c r="H6" s="149" t="s">
        <v>99</v>
      </c>
      <c r="I6" s="101" t="s">
        <v>152</v>
      </c>
      <c r="J6" s="102">
        <v>8</v>
      </c>
      <c r="K6" s="103">
        <v>7</v>
      </c>
      <c r="L6" s="104">
        <v>1.5</v>
      </c>
      <c r="M6" s="105">
        <f t="shared" si="0"/>
        <v>3</v>
      </c>
      <c r="N6" s="105">
        <f t="shared" si="1"/>
        <v>4.5</v>
      </c>
      <c r="O6" s="106" t="s">
        <v>36</v>
      </c>
      <c r="P6" s="106"/>
    </row>
    <row r="7" spans="1:20" s="107" customFormat="1" ht="45" customHeight="1" x14ac:dyDescent="0.35">
      <c r="A7" s="93" t="s">
        <v>91</v>
      </c>
      <c r="B7" s="94" t="s">
        <v>22</v>
      </c>
      <c r="C7" s="95" t="s">
        <v>13</v>
      </c>
      <c r="D7" s="96" t="s">
        <v>27</v>
      </c>
      <c r="E7" s="97" t="s">
        <v>46</v>
      </c>
      <c r="F7" s="147" t="s">
        <v>42</v>
      </c>
      <c r="G7" s="148" t="s">
        <v>43</v>
      </c>
      <c r="H7" s="149" t="s">
        <v>101</v>
      </c>
      <c r="I7" s="155" t="s">
        <v>155</v>
      </c>
      <c r="J7" s="102">
        <v>7</v>
      </c>
      <c r="K7" s="156">
        <v>6</v>
      </c>
      <c r="L7" s="157">
        <v>2</v>
      </c>
      <c r="M7" s="158">
        <f t="shared" si="0"/>
        <v>4.5</v>
      </c>
      <c r="N7" s="158">
        <f t="shared" si="1"/>
        <v>6.5</v>
      </c>
      <c r="O7" s="106" t="s">
        <v>100</v>
      </c>
      <c r="P7" s="106"/>
    </row>
    <row r="8" spans="1:20" s="107" customFormat="1" ht="45" customHeight="1" x14ac:dyDescent="0.35">
      <c r="A8" s="93" t="s">
        <v>92</v>
      </c>
      <c r="B8" s="94" t="s">
        <v>57</v>
      </c>
      <c r="C8" s="95" t="s">
        <v>24</v>
      </c>
      <c r="D8" s="96" t="s">
        <v>105</v>
      </c>
      <c r="E8" s="97" t="s">
        <v>76</v>
      </c>
      <c r="F8" s="98" t="s">
        <v>77</v>
      </c>
      <c r="G8" s="105" t="s">
        <v>78</v>
      </c>
      <c r="H8" s="100" t="s">
        <v>104</v>
      </c>
      <c r="I8" s="101" t="s">
        <v>157</v>
      </c>
      <c r="J8" s="102">
        <v>6</v>
      </c>
      <c r="K8" s="103">
        <v>10</v>
      </c>
      <c r="L8" s="104">
        <v>1.5</v>
      </c>
      <c r="M8" s="105">
        <f t="shared" si="0"/>
        <v>6.5</v>
      </c>
      <c r="N8" s="105">
        <f t="shared" si="1"/>
        <v>8</v>
      </c>
      <c r="O8" s="106" t="s">
        <v>102</v>
      </c>
      <c r="P8" s="106"/>
    </row>
    <row r="9" spans="1:20" s="25" customFormat="1" ht="90" customHeight="1" x14ac:dyDescent="0.35">
      <c r="A9" s="41" t="s">
        <v>93</v>
      </c>
      <c r="B9" s="79" t="s">
        <v>23</v>
      </c>
      <c r="C9" s="80" t="s">
        <v>20</v>
      </c>
      <c r="D9" s="81" t="s">
        <v>48</v>
      </c>
      <c r="E9" s="82" t="s">
        <v>18</v>
      </c>
      <c r="F9" s="55" t="s">
        <v>40</v>
      </c>
      <c r="G9" s="83" t="s">
        <v>41</v>
      </c>
      <c r="H9" s="56" t="s">
        <v>103</v>
      </c>
      <c r="I9" s="84" t="s">
        <v>156</v>
      </c>
      <c r="J9" s="59">
        <v>5</v>
      </c>
      <c r="K9" s="60">
        <v>10</v>
      </c>
      <c r="L9" s="87">
        <v>5</v>
      </c>
      <c r="M9" s="88">
        <f t="shared" si="0"/>
        <v>8</v>
      </c>
      <c r="N9" s="88">
        <f t="shared" si="1"/>
        <v>16</v>
      </c>
      <c r="O9" s="47" t="s">
        <v>37</v>
      </c>
      <c r="P9" s="47"/>
      <c r="T9" s="197"/>
    </row>
    <row r="10" spans="1:20" ht="45" customHeight="1" x14ac:dyDescent="0.35">
      <c r="A10" s="41" t="s">
        <v>95</v>
      </c>
      <c r="B10" s="79" t="s">
        <v>5</v>
      </c>
      <c r="C10" s="80" t="s">
        <v>21</v>
      </c>
      <c r="D10" s="81" t="s">
        <v>30</v>
      </c>
      <c r="E10" s="82" t="s">
        <v>31</v>
      </c>
      <c r="F10" s="55" t="s">
        <v>53</v>
      </c>
      <c r="G10" s="83" t="s">
        <v>52</v>
      </c>
      <c r="H10" s="56" t="s">
        <v>107</v>
      </c>
      <c r="I10" s="84" t="s">
        <v>158</v>
      </c>
      <c r="J10" s="59">
        <v>5</v>
      </c>
      <c r="K10" s="46">
        <v>7</v>
      </c>
      <c r="L10" s="85">
        <v>1</v>
      </c>
      <c r="M10" s="86">
        <f t="shared" si="0"/>
        <v>8</v>
      </c>
      <c r="N10" s="86">
        <f t="shared" si="1"/>
        <v>16</v>
      </c>
      <c r="O10" s="47" t="s">
        <v>28</v>
      </c>
      <c r="P10" s="47"/>
    </row>
    <row r="11" spans="1:20" ht="45" customHeight="1" x14ac:dyDescent="0.35">
      <c r="A11" s="41" t="s">
        <v>141</v>
      </c>
      <c r="B11" s="79" t="s">
        <v>143</v>
      </c>
      <c r="C11" s="80" t="s">
        <v>21</v>
      </c>
      <c r="D11" s="81" t="s">
        <v>142</v>
      </c>
      <c r="E11" s="82" t="s">
        <v>144</v>
      </c>
      <c r="F11" s="55" t="s">
        <v>145</v>
      </c>
      <c r="G11" s="83" t="s">
        <v>146</v>
      </c>
      <c r="H11" s="56" t="s">
        <v>147</v>
      </c>
      <c r="I11" s="84" t="s">
        <v>159</v>
      </c>
      <c r="J11" s="59">
        <v>5</v>
      </c>
      <c r="K11" s="46">
        <v>7</v>
      </c>
      <c r="L11" s="85">
        <v>2</v>
      </c>
      <c r="M11" s="86">
        <f t="shared" si="0"/>
        <v>8</v>
      </c>
      <c r="N11" s="86">
        <f>IF(ISNUMBER(SEARCH("Yes", H11)),M11+SUMIFS(L:L,J:J,J11),M11)</f>
        <v>16</v>
      </c>
      <c r="O11" s="47" t="s">
        <v>160</v>
      </c>
      <c r="P11" s="47"/>
    </row>
    <row r="12" spans="1:20" s="107" customFormat="1" ht="45" customHeight="1" x14ac:dyDescent="0.35">
      <c r="A12" s="93" t="s">
        <v>97</v>
      </c>
      <c r="B12" s="159" t="s">
        <v>6</v>
      </c>
      <c r="C12" s="160" t="s">
        <v>56</v>
      </c>
      <c r="D12" s="161" t="s">
        <v>47</v>
      </c>
      <c r="E12" s="162" t="s">
        <v>49</v>
      </c>
      <c r="F12" s="163" t="s">
        <v>66</v>
      </c>
      <c r="G12" s="164" t="s">
        <v>67</v>
      </c>
      <c r="H12" s="165" t="s">
        <v>153</v>
      </c>
      <c r="I12" s="166" t="s">
        <v>163</v>
      </c>
      <c r="J12" s="167">
        <v>4</v>
      </c>
      <c r="K12" s="168">
        <v>2</v>
      </c>
      <c r="L12" s="169">
        <v>1.5</v>
      </c>
      <c r="M12" s="170">
        <f t="shared" si="0"/>
        <v>16</v>
      </c>
      <c r="N12" s="170">
        <f>IF(ISNUMBER(SEARCH("Yes", H12)),M12+SUMIFS(L:L,J:J,J12),M12)</f>
        <v>16</v>
      </c>
      <c r="O12" s="171" t="s">
        <v>108</v>
      </c>
      <c r="P12" s="171"/>
    </row>
    <row r="13" spans="1:20" ht="45" customHeight="1" x14ac:dyDescent="0.35">
      <c r="A13" s="54" t="s">
        <v>94</v>
      </c>
      <c r="B13" s="79" t="s">
        <v>22</v>
      </c>
      <c r="C13" s="80" t="s">
        <v>13</v>
      </c>
      <c r="D13" s="81" t="s">
        <v>27</v>
      </c>
      <c r="E13" s="82" t="s">
        <v>46</v>
      </c>
      <c r="F13" s="55" t="s">
        <v>51</v>
      </c>
      <c r="G13" s="83" t="s">
        <v>50</v>
      </c>
      <c r="H13" s="56" t="s">
        <v>106</v>
      </c>
      <c r="I13" s="84" t="s">
        <v>162</v>
      </c>
      <c r="J13" s="45">
        <v>3</v>
      </c>
      <c r="K13" s="46">
        <v>9</v>
      </c>
      <c r="L13" s="85">
        <v>3</v>
      </c>
      <c r="M13" s="86">
        <f t="shared" si="0"/>
        <v>16</v>
      </c>
      <c r="N13" s="86">
        <f>IF(ISNUMBER(SEARCH("Yes", H13)),M13+SUMIFS(L:L,J:J,J13),M13)</f>
        <v>19</v>
      </c>
      <c r="O13" s="47" t="s">
        <v>29</v>
      </c>
      <c r="P13" s="47"/>
    </row>
    <row r="14" spans="1:20" ht="45" customHeight="1" x14ac:dyDescent="0.35">
      <c r="A14" s="41" t="s">
        <v>120</v>
      </c>
      <c r="B14" s="79" t="s">
        <v>5</v>
      </c>
      <c r="C14" s="80" t="s">
        <v>72</v>
      </c>
      <c r="D14" s="81" t="s">
        <v>60</v>
      </c>
      <c r="E14" s="82" t="s">
        <v>70</v>
      </c>
      <c r="F14" s="42" t="s">
        <v>72</v>
      </c>
      <c r="G14" s="86" t="s">
        <v>80</v>
      </c>
      <c r="H14" s="43" t="s">
        <v>119</v>
      </c>
      <c r="I14" s="84" t="s">
        <v>164</v>
      </c>
      <c r="J14" s="45">
        <v>2</v>
      </c>
      <c r="K14" s="46">
        <v>8</v>
      </c>
      <c r="L14" s="85">
        <v>2</v>
      </c>
      <c r="M14" s="86">
        <f t="shared" si="0"/>
        <v>19</v>
      </c>
      <c r="N14" s="86">
        <f>IF(ISNUMBER(SEARCH("Yes", H14)),M14+SUMIFS(L:L,J:J,J14),M14)</f>
        <v>21</v>
      </c>
      <c r="O14" s="47" t="s">
        <v>83</v>
      </c>
      <c r="P14" s="47"/>
    </row>
    <row r="15" spans="1:20" ht="45" customHeight="1" x14ac:dyDescent="0.35">
      <c r="A15" s="41" t="s">
        <v>96</v>
      </c>
      <c r="B15" s="79" t="s">
        <v>5</v>
      </c>
      <c r="C15" s="80" t="s">
        <v>13</v>
      </c>
      <c r="D15" s="81" t="s">
        <v>59</v>
      </c>
      <c r="E15" s="82" t="s">
        <v>62</v>
      </c>
      <c r="F15" s="42" t="s">
        <v>68</v>
      </c>
      <c r="G15" s="86" t="s">
        <v>69</v>
      </c>
      <c r="H15" s="43" t="s">
        <v>161</v>
      </c>
      <c r="I15" s="84" t="s">
        <v>165</v>
      </c>
      <c r="J15" s="45">
        <v>1</v>
      </c>
      <c r="K15" s="46">
        <v>5</v>
      </c>
      <c r="L15" s="85">
        <v>1</v>
      </c>
      <c r="M15" s="86">
        <f t="shared" si="0"/>
        <v>21</v>
      </c>
      <c r="N15" s="86">
        <f>IF(ISNUMBER(SEARCH("Yes", H15)),M15+SUMIFS(L:L,J:J,J15),M15)</f>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ColWidth="9.1796875" defaultRowHeight="14.5" x14ac:dyDescent="0.35"/>
  <cols>
    <col min="1" max="1" width="9.1796875" style="144"/>
    <col min="2" max="2" width="16.1796875" style="144" bestFit="1" customWidth="1"/>
    <col min="3" max="3" width="120.7265625" style="144" customWidth="1"/>
    <col min="4" max="6" width="20.7265625" style="144" customWidth="1"/>
    <col min="7" max="16384" width="9.1796875" style="144"/>
  </cols>
  <sheetData>
    <row r="1" spans="1:6" s="145" customFormat="1" ht="15" thickBot="1" x14ac:dyDescent="0.4">
      <c r="A1" s="73" t="s">
        <v>0</v>
      </c>
      <c r="B1" s="73" t="s">
        <v>127</v>
      </c>
      <c r="C1" s="73" t="s">
        <v>124</v>
      </c>
      <c r="D1" s="73" t="s">
        <v>189</v>
      </c>
      <c r="E1" s="73" t="s">
        <v>186</v>
      </c>
      <c r="F1" s="73" t="s">
        <v>173</v>
      </c>
    </row>
    <row r="2" spans="1:6" ht="15" thickTop="1" x14ac:dyDescent="0.35">
      <c r="B2" s="144" t="s">
        <v>174</v>
      </c>
      <c r="D2" s="144" t="s">
        <v>193</v>
      </c>
      <c r="E2" s="144">
        <v>1</v>
      </c>
    </row>
    <row r="3" spans="1:6" x14ac:dyDescent="0.35">
      <c r="B3" s="144" t="s">
        <v>175</v>
      </c>
      <c r="D3" s="144" t="s">
        <v>193</v>
      </c>
      <c r="E3" s="144">
        <v>1</v>
      </c>
    </row>
    <row r="4" spans="1:6" x14ac:dyDescent="0.35">
      <c r="B4" s="144" t="s">
        <v>176</v>
      </c>
      <c r="D4" s="144" t="s">
        <v>193</v>
      </c>
      <c r="E4" s="144">
        <v>1</v>
      </c>
    </row>
    <row r="5" spans="1:6" x14ac:dyDescent="0.35">
      <c r="B5" s="144" t="s">
        <v>177</v>
      </c>
      <c r="D5" s="144" t="s">
        <v>193</v>
      </c>
      <c r="E5" s="144">
        <v>1</v>
      </c>
    </row>
    <row r="6" spans="1:6" x14ac:dyDescent="0.35">
      <c r="B6" s="144" t="s">
        <v>178</v>
      </c>
      <c r="D6" s="144" t="s">
        <v>193</v>
      </c>
      <c r="E6" s="144">
        <v>1</v>
      </c>
    </row>
    <row r="7" spans="1:6" x14ac:dyDescent="0.35">
      <c r="B7" s="144" t="s">
        <v>179</v>
      </c>
      <c r="D7" s="144" t="s">
        <v>193</v>
      </c>
      <c r="E7" s="144">
        <v>1</v>
      </c>
    </row>
    <row r="8" spans="1:6" x14ac:dyDescent="0.35">
      <c r="B8" s="144" t="s">
        <v>180</v>
      </c>
      <c r="D8" s="144" t="s">
        <v>193</v>
      </c>
      <c r="E8" s="144">
        <v>1</v>
      </c>
    </row>
    <row r="9" spans="1:6" x14ac:dyDescent="0.35">
      <c r="B9" s="144" t="s">
        <v>181</v>
      </c>
      <c r="D9" s="144" t="s">
        <v>193</v>
      </c>
      <c r="E9" s="144">
        <v>1</v>
      </c>
    </row>
    <row r="10" spans="1:6" x14ac:dyDescent="0.35">
      <c r="B10" s="144" t="s">
        <v>182</v>
      </c>
      <c r="D10" s="144" t="s">
        <v>193</v>
      </c>
      <c r="E10" s="144">
        <v>1</v>
      </c>
    </row>
    <row r="11" spans="1:6" x14ac:dyDescent="0.35">
      <c r="B11" s="144" t="s">
        <v>183</v>
      </c>
      <c r="D11" s="144" t="s">
        <v>193</v>
      </c>
      <c r="E11" s="144">
        <v>1</v>
      </c>
    </row>
    <row r="12" spans="1:6" x14ac:dyDescent="0.35">
      <c r="B12" s="144" t="s">
        <v>184</v>
      </c>
      <c r="C12" s="144" t="s">
        <v>185</v>
      </c>
      <c r="D12" s="144" t="s">
        <v>190</v>
      </c>
      <c r="E12" s="144">
        <v>1</v>
      </c>
      <c r="F12" s="144">
        <v>0</v>
      </c>
    </row>
    <row r="13" spans="1:6" x14ac:dyDescent="0.35">
      <c r="B13" s="144" t="s">
        <v>187</v>
      </c>
      <c r="D13" s="144" t="s">
        <v>191</v>
      </c>
    </row>
    <row r="14" spans="1:6" x14ac:dyDescent="0.3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zoomScaleNormal="100" workbookViewId="0">
      <pane ySplit="1" topLeftCell="A2" activePane="bottomLeft" state="frozen"/>
      <selection activeCell="H9" sqref="H9"/>
      <selection pane="bottomLeft" activeCell="F2" sqref="F2"/>
    </sheetView>
  </sheetViews>
  <sheetFormatPr defaultRowHeight="14.5" x14ac:dyDescent="0.35"/>
  <cols>
    <col min="1" max="1" width="21.81640625" bestFit="1" customWidth="1"/>
    <col min="2" max="3" width="12.7265625" customWidth="1"/>
    <col min="5" max="7" width="11.81640625" style="76" bestFit="1" customWidth="1"/>
    <col min="8" max="8" width="15.7265625" style="76" bestFit="1" customWidth="1"/>
    <col min="9" max="9" width="10.453125" bestFit="1" customWidth="1"/>
    <col min="13" max="13" width="120.7265625" customWidth="1"/>
  </cols>
  <sheetData>
    <row r="1" spans="1:13" s="74" customFormat="1" ht="44" thickBot="1" x14ac:dyDescent="0.4">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 thickTop="1" x14ac:dyDescent="0.35">
      <c r="A2" t="s">
        <v>128</v>
      </c>
      <c r="B2" t="s">
        <v>327</v>
      </c>
      <c r="D2" t="s">
        <v>130</v>
      </c>
      <c r="E2" s="76">
        <v>29221</v>
      </c>
      <c r="F2" s="76">
        <v>44109</v>
      </c>
      <c r="H2" s="76" t="s">
        <v>197</v>
      </c>
      <c r="I2" t="s">
        <v>215</v>
      </c>
      <c r="K2" t="s">
        <v>139</v>
      </c>
    </row>
    <row r="3" spans="1:13" x14ac:dyDescent="0.35">
      <c r="A3" t="s">
        <v>137</v>
      </c>
      <c r="B3" t="s">
        <v>327</v>
      </c>
      <c r="D3" t="s">
        <v>130</v>
      </c>
      <c r="E3" s="76">
        <v>29221</v>
      </c>
      <c r="F3" s="76">
        <v>44109</v>
      </c>
      <c r="H3" s="76" t="s">
        <v>197</v>
      </c>
      <c r="I3" t="s">
        <v>215</v>
      </c>
      <c r="K3" t="s">
        <v>139</v>
      </c>
    </row>
    <row r="4" spans="1:13" x14ac:dyDescent="0.35">
      <c r="A4" t="s">
        <v>208</v>
      </c>
      <c r="C4">
        <v>4749</v>
      </c>
      <c r="D4" t="s">
        <v>130</v>
      </c>
      <c r="E4" s="76">
        <v>39083</v>
      </c>
      <c r="F4" s="76">
        <v>43831</v>
      </c>
      <c r="H4" s="76" t="s">
        <v>197</v>
      </c>
      <c r="I4" t="s">
        <v>215</v>
      </c>
    </row>
    <row r="5" spans="1:13" x14ac:dyDescent="0.35">
      <c r="A5" t="s">
        <v>199</v>
      </c>
      <c r="B5" t="s">
        <v>327</v>
      </c>
      <c r="C5">
        <v>17</v>
      </c>
      <c r="D5" t="s">
        <v>198</v>
      </c>
      <c r="E5" s="76">
        <v>27760</v>
      </c>
      <c r="F5" s="76">
        <v>43101</v>
      </c>
      <c r="G5" s="76">
        <v>46023</v>
      </c>
      <c r="H5" s="76" t="s">
        <v>200</v>
      </c>
      <c r="I5" s="76" t="s">
        <v>138</v>
      </c>
      <c r="K5" t="s">
        <v>201</v>
      </c>
      <c r="M5" t="s">
        <v>202</v>
      </c>
    </row>
    <row r="6" spans="1:13" x14ac:dyDescent="0.35">
      <c r="A6" t="s">
        <v>203</v>
      </c>
      <c r="B6" t="s">
        <v>327</v>
      </c>
      <c r="C6">
        <v>860</v>
      </c>
      <c r="D6" t="s">
        <v>198</v>
      </c>
      <c r="E6" s="76">
        <v>34335</v>
      </c>
      <c r="F6" s="76">
        <v>42736</v>
      </c>
      <c r="G6" s="76">
        <v>45658</v>
      </c>
      <c r="H6" s="76" t="s">
        <v>206</v>
      </c>
      <c r="I6" s="76" t="s">
        <v>209</v>
      </c>
      <c r="K6" t="s">
        <v>201</v>
      </c>
      <c r="M6" t="s">
        <v>205</v>
      </c>
    </row>
    <row r="7" spans="1:13" x14ac:dyDescent="0.35">
      <c r="A7" t="s">
        <v>204</v>
      </c>
      <c r="B7" t="s">
        <v>327</v>
      </c>
      <c r="C7">
        <v>826</v>
      </c>
      <c r="D7" t="s">
        <v>198</v>
      </c>
      <c r="E7" s="76">
        <v>27760</v>
      </c>
      <c r="F7" s="76">
        <v>43951</v>
      </c>
      <c r="G7" s="76">
        <v>46023</v>
      </c>
      <c r="H7" s="76" t="s">
        <v>207</v>
      </c>
      <c r="I7" t="s">
        <v>215</v>
      </c>
      <c r="K7" t="s">
        <v>201</v>
      </c>
    </row>
    <row r="8" spans="1:13" x14ac:dyDescent="0.35">
      <c r="A8" t="s">
        <v>211</v>
      </c>
      <c r="B8" t="s">
        <v>492</v>
      </c>
      <c r="C8">
        <v>11656</v>
      </c>
      <c r="D8" t="s">
        <v>212</v>
      </c>
      <c r="E8" s="76">
        <v>33970</v>
      </c>
      <c r="F8" s="76">
        <v>43462</v>
      </c>
      <c r="H8" s="76" t="s">
        <v>214</v>
      </c>
      <c r="I8" s="76" t="s">
        <v>138</v>
      </c>
      <c r="M8" t="s">
        <v>493</v>
      </c>
    </row>
    <row r="9" spans="1:13" x14ac:dyDescent="0.35">
      <c r="A9" t="s">
        <v>494</v>
      </c>
      <c r="B9" t="s">
        <v>495</v>
      </c>
      <c r="C9">
        <v>6912</v>
      </c>
      <c r="D9" t="s">
        <v>212</v>
      </c>
      <c r="E9" s="76">
        <v>32887</v>
      </c>
      <c r="F9" s="76">
        <v>46019</v>
      </c>
      <c r="H9" s="76" t="s">
        <v>214</v>
      </c>
      <c r="I9" s="76" t="s">
        <v>201</v>
      </c>
      <c r="M9" t="s">
        <v>496</v>
      </c>
    </row>
    <row r="10" spans="1:13" x14ac:dyDescent="0.35">
      <c r="A10" t="s">
        <v>488</v>
      </c>
      <c r="B10" t="s">
        <v>327</v>
      </c>
      <c r="C10">
        <v>1</v>
      </c>
      <c r="D10" t="s">
        <v>489</v>
      </c>
      <c r="E10" s="76">
        <v>30805</v>
      </c>
      <c r="F10" s="76">
        <v>37925</v>
      </c>
      <c r="G10" s="76" t="s">
        <v>491</v>
      </c>
      <c r="I10" s="76" t="s">
        <v>201</v>
      </c>
      <c r="K10" t="s">
        <v>201</v>
      </c>
      <c r="M10" t="s">
        <v>490</v>
      </c>
    </row>
    <row r="11" spans="1:13" x14ac:dyDescent="0.35">
      <c r="A11" t="s">
        <v>497</v>
      </c>
      <c r="B11" t="s">
        <v>498</v>
      </c>
      <c r="C11">
        <v>150</v>
      </c>
      <c r="D11" t="s">
        <v>499</v>
      </c>
      <c r="E11" s="76">
        <v>36538</v>
      </c>
      <c r="F11" s="76">
        <v>43173</v>
      </c>
      <c r="I11" s="76"/>
      <c r="M11" t="s">
        <v>500</v>
      </c>
    </row>
    <row r="12" spans="1:13" x14ac:dyDescent="0.3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796875" defaultRowHeight="14.5" x14ac:dyDescent="0.35"/>
  <cols>
    <col min="1" max="1" width="30.1796875" style="3" bestFit="1" customWidth="1"/>
    <col min="2" max="2" width="60.7265625" style="14" customWidth="1"/>
    <col min="3" max="3" width="12.7265625" style="6" customWidth="1"/>
    <col min="4" max="4" width="12.7265625" style="7" customWidth="1"/>
    <col min="5" max="5" width="25.7265625" style="13" customWidth="1"/>
    <col min="6" max="6" width="25.7265625" style="71" customWidth="1"/>
    <col min="7" max="7" width="25.7265625" style="72" customWidth="1"/>
    <col min="8" max="8" width="60.7265625" style="67" customWidth="1"/>
    <col min="9" max="16384" width="9.1796875" style="24"/>
  </cols>
  <sheetData>
    <row r="1" spans="1:8" s="22" customFormat="1" ht="29.5" thickBot="1" x14ac:dyDescent="0.4">
      <c r="A1" s="8" t="s">
        <v>1</v>
      </c>
      <c r="B1" s="26" t="s">
        <v>124</v>
      </c>
      <c r="C1" s="10" t="s">
        <v>4</v>
      </c>
      <c r="D1" s="8" t="s">
        <v>7</v>
      </c>
      <c r="E1" s="8" t="s">
        <v>39</v>
      </c>
      <c r="F1" s="70" t="s">
        <v>111</v>
      </c>
      <c r="G1" s="70" t="s">
        <v>88</v>
      </c>
      <c r="H1" s="68" t="s">
        <v>113</v>
      </c>
    </row>
    <row r="2" spans="1:8" s="23" customFormat="1" ht="45" customHeight="1" thickTop="1" x14ac:dyDescent="0.35">
      <c r="A2" s="27" t="s">
        <v>125</v>
      </c>
      <c r="B2" s="33" t="s">
        <v>123</v>
      </c>
      <c r="C2" s="31"/>
      <c r="D2" s="32">
        <v>9</v>
      </c>
      <c r="E2" s="28" t="s">
        <v>72</v>
      </c>
      <c r="F2" s="29"/>
      <c r="G2" s="30"/>
      <c r="H2" s="33"/>
    </row>
    <row r="3" spans="1:8" ht="45" customHeight="1" x14ac:dyDescent="0.35">
      <c r="A3" s="34" t="s">
        <v>126</v>
      </c>
      <c r="B3" s="40" t="s">
        <v>140</v>
      </c>
      <c r="C3" s="38"/>
      <c r="D3" s="39">
        <v>8</v>
      </c>
      <c r="E3" s="35" t="s">
        <v>169</v>
      </c>
      <c r="F3" s="36"/>
      <c r="G3" s="37"/>
      <c r="H3" s="40"/>
    </row>
    <row r="4" spans="1:8" ht="45" customHeight="1" x14ac:dyDescent="0.35">
      <c r="A4" s="41" t="s">
        <v>166</v>
      </c>
      <c r="B4" s="47" t="s">
        <v>167</v>
      </c>
      <c r="C4" s="45"/>
      <c r="D4" s="46">
        <v>8</v>
      </c>
      <c r="E4" s="42" t="s">
        <v>168</v>
      </c>
      <c r="F4" s="43"/>
      <c r="G4" s="44"/>
      <c r="H4" s="47"/>
    </row>
    <row r="5" spans="1:8" ht="45" customHeight="1" x14ac:dyDescent="0.35">
      <c r="A5" s="41" t="s">
        <v>170</v>
      </c>
      <c r="B5" s="53"/>
      <c r="C5" s="51"/>
      <c r="D5" s="52"/>
      <c r="E5" s="48"/>
      <c r="F5" s="49"/>
      <c r="G5" s="50"/>
      <c r="H5" s="53"/>
    </row>
    <row r="6" spans="1:8" ht="45" customHeight="1" x14ac:dyDescent="0.35">
      <c r="A6" s="41" t="s">
        <v>172</v>
      </c>
      <c r="B6" s="47" t="s">
        <v>171</v>
      </c>
      <c r="C6" s="45"/>
      <c r="D6" s="46"/>
      <c r="E6" s="55"/>
      <c r="F6" s="56"/>
      <c r="G6" s="57"/>
      <c r="H6" s="47"/>
    </row>
    <row r="7" spans="1:8" ht="45" customHeight="1" x14ac:dyDescent="0.35">
      <c r="A7" s="41" t="s">
        <v>194</v>
      </c>
      <c r="B7" s="47" t="s">
        <v>195</v>
      </c>
      <c r="C7" s="45"/>
      <c r="D7" s="58"/>
      <c r="E7" s="55"/>
      <c r="F7" s="56"/>
      <c r="G7" s="57"/>
      <c r="H7" s="47"/>
    </row>
    <row r="8" spans="1:8" ht="45" customHeight="1" x14ac:dyDescent="0.35">
      <c r="A8" s="41"/>
      <c r="B8" s="47"/>
      <c r="C8" s="45"/>
      <c r="D8" s="46"/>
      <c r="E8" s="42"/>
      <c r="F8" s="43"/>
      <c r="G8" s="44"/>
      <c r="H8" s="47"/>
    </row>
    <row r="9" spans="1:8" s="25" customFormat="1" ht="90" customHeight="1" x14ac:dyDescent="0.35">
      <c r="A9" s="41"/>
      <c r="B9" s="47"/>
      <c r="C9" s="59"/>
      <c r="D9" s="60"/>
      <c r="E9" s="55"/>
      <c r="F9" s="56"/>
      <c r="G9" s="57"/>
      <c r="H9" s="47"/>
    </row>
    <row r="10" spans="1:8" ht="45" customHeight="1" x14ac:dyDescent="0.35">
      <c r="A10" s="41"/>
      <c r="B10" s="47"/>
      <c r="C10" s="59"/>
      <c r="D10" s="46"/>
      <c r="E10" s="55"/>
      <c r="F10" s="56"/>
      <c r="G10" s="57"/>
      <c r="H10" s="47"/>
    </row>
    <row r="11" spans="1:8" ht="45" customHeight="1" x14ac:dyDescent="0.35">
      <c r="A11" s="41"/>
      <c r="B11" s="66"/>
      <c r="C11" s="64"/>
      <c r="D11" s="65"/>
      <c r="E11" s="61"/>
      <c r="F11" s="62"/>
      <c r="G11" s="63"/>
      <c r="H11" s="66"/>
    </row>
    <row r="12" spans="1:8" ht="45" customHeight="1" x14ac:dyDescent="0.35">
      <c r="A12" s="54"/>
      <c r="B12" s="47"/>
      <c r="C12" s="45"/>
      <c r="D12" s="46"/>
      <c r="E12" s="55"/>
      <c r="F12" s="56"/>
      <c r="G12" s="57"/>
      <c r="H12" s="47"/>
    </row>
    <row r="13" spans="1:8" ht="45" customHeight="1" x14ac:dyDescent="0.35">
      <c r="A13" s="41"/>
      <c r="B13" s="47"/>
      <c r="C13" s="45"/>
      <c r="D13" s="46"/>
      <c r="E13" s="42"/>
      <c r="F13" s="43"/>
      <c r="G13" s="44"/>
      <c r="H13" s="47"/>
    </row>
    <row r="14" spans="1:8" ht="45" customHeight="1" x14ac:dyDescent="0.3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4.5" x14ac:dyDescent="0.35"/>
  <cols>
    <col min="2" max="3" width="100.7265625" customWidth="1"/>
  </cols>
  <sheetData>
    <row r="1" spans="1:3" ht="15" thickBot="1" x14ac:dyDescent="0.4">
      <c r="A1" s="73" t="s">
        <v>0</v>
      </c>
      <c r="B1" s="150" t="s">
        <v>310</v>
      </c>
      <c r="C1" s="150" t="s">
        <v>485</v>
      </c>
    </row>
    <row r="2" spans="1:3" ht="15" thickTop="1" x14ac:dyDescent="0.3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4.5" x14ac:dyDescent="0.35"/>
  <cols>
    <col min="2" max="2" width="30.7265625" customWidth="1"/>
  </cols>
  <sheetData>
    <row r="1" spans="1:2" s="2" customFormat="1" ht="15" thickBot="1" x14ac:dyDescent="0.4">
      <c r="A1" s="1" t="s">
        <v>0</v>
      </c>
      <c r="B1" s="1" t="s">
        <v>9</v>
      </c>
    </row>
    <row r="2" spans="1:2" ht="15" thickTop="1" x14ac:dyDescent="0.35">
      <c r="A2">
        <v>1</v>
      </c>
      <c r="B2" t="s">
        <v>10</v>
      </c>
    </row>
    <row r="3" spans="1:2" x14ac:dyDescent="0.35">
      <c r="A3">
        <v>2</v>
      </c>
      <c r="B3" t="s">
        <v>11</v>
      </c>
    </row>
    <row r="4" spans="1:2" x14ac:dyDescent="0.35">
      <c r="A4">
        <v>3</v>
      </c>
      <c r="B4" t="s">
        <v>12</v>
      </c>
    </row>
    <row r="5" spans="1:2" x14ac:dyDescent="0.35">
      <c r="A5">
        <v>4</v>
      </c>
      <c r="B5" t="s">
        <v>13</v>
      </c>
    </row>
    <row r="6" spans="1:2" x14ac:dyDescent="0.35">
      <c r="A6">
        <v>5</v>
      </c>
      <c r="B6" t="s">
        <v>14</v>
      </c>
    </row>
    <row r="7" spans="1:2" x14ac:dyDescent="0.35">
      <c r="A7">
        <v>6</v>
      </c>
      <c r="B7" t="s">
        <v>15</v>
      </c>
    </row>
    <row r="8" spans="1:2" x14ac:dyDescent="0.35">
      <c r="A8">
        <v>7</v>
      </c>
      <c r="B8" t="s">
        <v>16</v>
      </c>
    </row>
    <row r="9" spans="1:2" x14ac:dyDescent="0.35">
      <c r="A9">
        <v>8</v>
      </c>
      <c r="B9" t="s">
        <v>6</v>
      </c>
    </row>
    <row r="10" spans="1:2" x14ac:dyDescent="0.35">
      <c r="A10">
        <v>9</v>
      </c>
      <c r="B10" t="s">
        <v>17</v>
      </c>
    </row>
    <row r="11" spans="1:2" x14ac:dyDescent="0.35">
      <c r="A11">
        <v>10</v>
      </c>
      <c r="B11" t="s">
        <v>21</v>
      </c>
    </row>
    <row r="12" spans="1:2" x14ac:dyDescent="0.35">
      <c r="A12">
        <v>11</v>
      </c>
      <c r="B12" t="s">
        <v>33</v>
      </c>
    </row>
    <row r="13" spans="1:2" x14ac:dyDescent="0.35">
      <c r="A13">
        <v>12</v>
      </c>
      <c r="B13" t="s">
        <v>55</v>
      </c>
    </row>
    <row r="14" spans="1:2" x14ac:dyDescent="0.35">
      <c r="A14">
        <v>13</v>
      </c>
      <c r="B14" t="s">
        <v>57</v>
      </c>
    </row>
    <row r="15" spans="1:2" x14ac:dyDescent="0.35">
      <c r="A15">
        <v>14</v>
      </c>
      <c r="B15" t="s">
        <v>75</v>
      </c>
    </row>
    <row r="16" spans="1:2" x14ac:dyDescent="0.35">
      <c r="A16">
        <v>15</v>
      </c>
      <c r="B16" t="s">
        <v>86</v>
      </c>
    </row>
    <row r="21" spans="10:10" x14ac:dyDescent="0.3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ColWidth="9.1796875" defaultRowHeight="14.5" x14ac:dyDescent="0.35"/>
  <cols>
    <col min="1" max="1" width="4.7265625" style="154" customWidth="1"/>
    <col min="2" max="2" width="40.7265625" style="152" customWidth="1"/>
    <col min="3" max="3" width="100.7265625" style="152" customWidth="1"/>
    <col min="4" max="4" width="120.7265625" style="152" customWidth="1"/>
    <col min="5" max="16384" width="9.1796875" style="153"/>
  </cols>
  <sheetData>
    <row r="1" spans="1:4" s="151" customFormat="1" ht="15" thickBot="1" x14ac:dyDescent="0.4">
      <c r="A1" s="73" t="s">
        <v>0</v>
      </c>
      <c r="B1" s="150" t="s">
        <v>216</v>
      </c>
      <c r="C1" s="150" t="s">
        <v>124</v>
      </c>
      <c r="D1" s="150" t="s">
        <v>217</v>
      </c>
    </row>
    <row r="2" spans="1:4" ht="44" thickTop="1" x14ac:dyDescent="0.35">
      <c r="A2" s="154">
        <v>1</v>
      </c>
      <c r="B2" s="152" t="s">
        <v>221</v>
      </c>
      <c r="C2" s="152" t="s">
        <v>233</v>
      </c>
      <c r="D2" s="152" t="s">
        <v>222</v>
      </c>
    </row>
    <row r="3" spans="1:4" ht="43.5" x14ac:dyDescent="0.35">
      <c r="A3" s="154">
        <v>2</v>
      </c>
      <c r="B3" s="152" t="s">
        <v>218</v>
      </c>
      <c r="C3" s="152" t="s">
        <v>219</v>
      </c>
      <c r="D3" s="152" t="s">
        <v>230</v>
      </c>
    </row>
    <row r="4" spans="1:4" ht="29" x14ac:dyDescent="0.35">
      <c r="A4" s="154">
        <v>3</v>
      </c>
      <c r="B4" s="152" t="s">
        <v>223</v>
      </c>
      <c r="C4" s="152" t="s">
        <v>224</v>
      </c>
      <c r="D4" s="152" t="s">
        <v>231</v>
      </c>
    </row>
    <row r="5" spans="1:4" ht="29" x14ac:dyDescent="0.35">
      <c r="A5" s="154">
        <v>4</v>
      </c>
      <c r="B5" s="152" t="s">
        <v>225</v>
      </c>
      <c r="C5" s="152" t="s">
        <v>229</v>
      </c>
      <c r="D5" s="152" t="s">
        <v>228</v>
      </c>
    </row>
    <row r="6" spans="1:4" ht="29" x14ac:dyDescent="0.35">
      <c r="A6" s="154">
        <v>5</v>
      </c>
      <c r="B6" s="152" t="s">
        <v>226</v>
      </c>
      <c r="C6" s="152" t="s">
        <v>220</v>
      </c>
      <c r="D6" s="152" t="s">
        <v>227</v>
      </c>
    </row>
    <row r="7" spans="1:4" x14ac:dyDescent="0.3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4.5" x14ac:dyDescent="0.35"/>
  <cols>
    <col min="2" max="2" width="11.81640625" customWidth="1"/>
    <col min="3" max="3" width="15.7265625" bestFit="1" customWidth="1"/>
    <col min="4" max="4" width="159.81640625" bestFit="1" customWidth="1"/>
  </cols>
  <sheetData>
    <row r="1" spans="1:4" x14ac:dyDescent="0.35">
      <c r="A1" t="s">
        <v>289</v>
      </c>
    </row>
    <row r="2" spans="1:4" ht="15" thickBot="1" x14ac:dyDescent="0.4"/>
    <row r="3" spans="1:4" s="69" customFormat="1" ht="15" thickBot="1" x14ac:dyDescent="0.4">
      <c r="A3" s="244" t="s">
        <v>0</v>
      </c>
      <c r="B3" s="245" t="s">
        <v>127</v>
      </c>
      <c r="C3" s="245" t="s">
        <v>294</v>
      </c>
      <c r="D3" s="246" t="s">
        <v>124</v>
      </c>
    </row>
    <row r="4" spans="1:4" ht="15" thickTop="1" x14ac:dyDescent="0.35">
      <c r="A4" s="239">
        <v>1</v>
      </c>
      <c r="B4" s="173" t="s">
        <v>290</v>
      </c>
      <c r="C4" s="173" t="s">
        <v>295</v>
      </c>
      <c r="D4" s="240"/>
    </row>
    <row r="5" spans="1:4" x14ac:dyDescent="0.35">
      <c r="A5" s="239">
        <v>2</v>
      </c>
      <c r="B5" s="173" t="s">
        <v>291</v>
      </c>
      <c r="C5" s="173" t="s">
        <v>295</v>
      </c>
      <c r="D5" s="240"/>
    </row>
    <row r="6" spans="1:4" x14ac:dyDescent="0.35">
      <c r="A6" s="239">
        <v>3</v>
      </c>
      <c r="B6" s="173" t="s">
        <v>292</v>
      </c>
      <c r="C6" s="173" t="s">
        <v>295</v>
      </c>
      <c r="D6" s="240"/>
    </row>
    <row r="7" spans="1:4" x14ac:dyDescent="0.35">
      <c r="A7" s="239">
        <v>4</v>
      </c>
      <c r="B7" s="173" t="s">
        <v>293</v>
      </c>
      <c r="C7" s="173" t="s">
        <v>295</v>
      </c>
      <c r="D7" s="240"/>
    </row>
    <row r="8" spans="1:4" x14ac:dyDescent="0.35">
      <c r="A8" s="239">
        <v>5</v>
      </c>
      <c r="B8" s="173" t="s">
        <v>174</v>
      </c>
      <c r="C8" s="173" t="s">
        <v>296</v>
      </c>
      <c r="D8" s="240" t="s">
        <v>298</v>
      </c>
    </row>
    <row r="9" spans="1:4" x14ac:dyDescent="0.35">
      <c r="A9" s="239">
        <v>6</v>
      </c>
      <c r="B9" s="173" t="s">
        <v>175</v>
      </c>
      <c r="C9" s="247" t="s">
        <v>296</v>
      </c>
      <c r="D9" s="240" t="s">
        <v>299</v>
      </c>
    </row>
    <row r="10" spans="1:4" x14ac:dyDescent="0.35">
      <c r="A10" s="239">
        <v>7</v>
      </c>
      <c r="B10" s="173" t="s">
        <v>176</v>
      </c>
      <c r="C10" s="247" t="s">
        <v>296</v>
      </c>
      <c r="D10" s="240" t="s">
        <v>297</v>
      </c>
    </row>
    <row r="11" spans="1:4" x14ac:dyDescent="0.35">
      <c r="A11" s="239">
        <v>8</v>
      </c>
      <c r="B11" s="173" t="s">
        <v>177</v>
      </c>
      <c r="C11" s="247" t="s">
        <v>296</v>
      </c>
      <c r="D11" s="240" t="s">
        <v>300</v>
      </c>
    </row>
    <row r="12" spans="1:4" x14ac:dyDescent="0.35">
      <c r="A12" s="239">
        <v>9</v>
      </c>
      <c r="B12" s="173" t="s">
        <v>178</v>
      </c>
      <c r="C12" s="247" t="s">
        <v>301</v>
      </c>
      <c r="D12" s="240" t="s">
        <v>302</v>
      </c>
    </row>
    <row r="13" spans="1:4" x14ac:dyDescent="0.35">
      <c r="A13" s="239">
        <v>10</v>
      </c>
      <c r="B13" s="173" t="s">
        <v>179</v>
      </c>
      <c r="C13" s="247" t="s">
        <v>301</v>
      </c>
      <c r="D13" s="240" t="s">
        <v>304</v>
      </c>
    </row>
    <row r="14" spans="1:4" x14ac:dyDescent="0.35">
      <c r="A14" s="239">
        <v>11</v>
      </c>
      <c r="B14" s="173" t="s">
        <v>180</v>
      </c>
      <c r="C14" s="247" t="s">
        <v>301</v>
      </c>
      <c r="D14" s="240" t="s">
        <v>303</v>
      </c>
    </row>
    <row r="15" spans="1:4" x14ac:dyDescent="0.35">
      <c r="A15" s="239">
        <v>12</v>
      </c>
      <c r="B15" s="173" t="s">
        <v>181</v>
      </c>
      <c r="C15" s="247" t="s">
        <v>295</v>
      </c>
      <c r="D15" s="240"/>
    </row>
    <row r="16" spans="1:4" x14ac:dyDescent="0.35">
      <c r="A16" s="239">
        <v>13</v>
      </c>
      <c r="B16" s="173" t="s">
        <v>182</v>
      </c>
      <c r="C16" s="247" t="s">
        <v>295</v>
      </c>
      <c r="D16" s="240"/>
    </row>
    <row r="17" spans="1:4" ht="15" thickBot="1" x14ac:dyDescent="0.4">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ColWidth="9.1796875" defaultRowHeight="14.5" x14ac:dyDescent="0.35"/>
  <cols>
    <col min="1" max="1" width="5.7265625" style="249" customWidth="1"/>
    <col min="2" max="2" width="7.81640625" style="249" customWidth="1"/>
    <col min="3" max="3" width="10.7265625" style="263" bestFit="1" customWidth="1"/>
    <col min="4" max="4" width="25.7265625" style="249" customWidth="1"/>
    <col min="5" max="5" width="37.1796875" style="249" customWidth="1"/>
    <col min="6" max="6" width="76.54296875" style="144" customWidth="1"/>
    <col min="7" max="8" width="9.1796875" style="249"/>
    <col min="9" max="9" width="10.81640625" style="249" bestFit="1" customWidth="1"/>
    <col min="10" max="16384" width="9.1796875" style="249"/>
  </cols>
  <sheetData>
    <row r="1" spans="1:9" ht="29" x14ac:dyDescent="0.35">
      <c r="A1" s="252"/>
      <c r="B1" s="252"/>
      <c r="C1" s="268"/>
      <c r="D1" s="252"/>
      <c r="E1" s="253" t="s">
        <v>306</v>
      </c>
      <c r="F1" s="254"/>
      <c r="H1" s="249" t="s">
        <v>313</v>
      </c>
    </row>
    <row r="2" spans="1:9" s="144" customFormat="1" ht="29.5" thickBot="1" x14ac:dyDescent="0.4">
      <c r="A2" s="255" t="s">
        <v>0</v>
      </c>
      <c r="B2" s="255" t="s">
        <v>315</v>
      </c>
      <c r="C2" s="269" t="s">
        <v>329</v>
      </c>
      <c r="D2" s="255" t="s">
        <v>330</v>
      </c>
      <c r="E2" s="256" t="s">
        <v>310</v>
      </c>
      <c r="F2" s="256" t="s">
        <v>124</v>
      </c>
      <c r="H2" s="144" t="s">
        <v>315</v>
      </c>
      <c r="I2" s="144" t="s">
        <v>314</v>
      </c>
    </row>
    <row r="3" spans="1:9" ht="29.5" thickTop="1" x14ac:dyDescent="0.35">
      <c r="A3" s="250">
        <v>1</v>
      </c>
      <c r="B3" s="250"/>
      <c r="C3" s="270"/>
      <c r="D3" s="250"/>
      <c r="E3" s="250" t="s">
        <v>305</v>
      </c>
      <c r="F3" s="251" t="s">
        <v>309</v>
      </c>
      <c r="H3" s="249">
        <v>1</v>
      </c>
    </row>
    <row r="4" spans="1:9" ht="29" x14ac:dyDescent="0.35">
      <c r="A4" s="250">
        <v>2</v>
      </c>
      <c r="B4" s="250"/>
      <c r="C4" s="270"/>
      <c r="D4" s="250"/>
      <c r="E4" s="250" t="s">
        <v>307</v>
      </c>
      <c r="F4" s="251" t="s">
        <v>308</v>
      </c>
    </row>
    <row r="5" spans="1:9" x14ac:dyDescent="0.35">
      <c r="A5" s="249">
        <v>3</v>
      </c>
      <c r="B5" s="249">
        <v>1</v>
      </c>
      <c r="E5" s="249" t="s">
        <v>311</v>
      </c>
      <c r="F5" s="144" t="s">
        <v>312</v>
      </c>
    </row>
    <row r="6" spans="1:9" x14ac:dyDescent="0.35">
      <c r="A6" s="249">
        <v>4</v>
      </c>
      <c r="B6" s="249">
        <v>2</v>
      </c>
      <c r="E6" s="249" t="s">
        <v>316</v>
      </c>
      <c r="F6" s="144" t="s">
        <v>317</v>
      </c>
    </row>
    <row r="7" spans="1:9" x14ac:dyDescent="0.35">
      <c r="A7" s="249">
        <v>5</v>
      </c>
      <c r="E7" s="249" t="s">
        <v>319</v>
      </c>
      <c r="F7" s="144" t="s">
        <v>318</v>
      </c>
    </row>
    <row r="8" spans="1:9" x14ac:dyDescent="0.35">
      <c r="A8" s="249">
        <v>6</v>
      </c>
      <c r="E8" s="249" t="s">
        <v>320</v>
      </c>
      <c r="F8" s="144" t="s">
        <v>321</v>
      </c>
    </row>
    <row r="9" spans="1:9" ht="72.5" x14ac:dyDescent="0.35">
      <c r="A9" s="249">
        <v>7</v>
      </c>
      <c r="B9" s="249">
        <v>3</v>
      </c>
      <c r="E9" s="144" t="s">
        <v>322</v>
      </c>
      <c r="F9" s="144" t="s">
        <v>323</v>
      </c>
    </row>
    <row r="10" spans="1:9" ht="58" x14ac:dyDescent="0.35">
      <c r="A10" s="249">
        <v>8</v>
      </c>
      <c r="B10" s="249">
        <v>4</v>
      </c>
      <c r="E10" s="257" t="s">
        <v>324</v>
      </c>
      <c r="F10" s="257" t="s">
        <v>325</v>
      </c>
    </row>
    <row r="11" spans="1:9" ht="72.5" x14ac:dyDescent="0.35">
      <c r="A11" s="249">
        <v>9</v>
      </c>
      <c r="B11" s="249">
        <v>5</v>
      </c>
      <c r="C11" s="263">
        <v>45903</v>
      </c>
      <c r="D11" s="258" t="s">
        <v>331</v>
      </c>
      <c r="E11" s="249" t="s">
        <v>328</v>
      </c>
      <c r="F11" s="144" t="s">
        <v>332</v>
      </c>
    </row>
    <row r="12" spans="1:9" ht="116.25" customHeight="1" x14ac:dyDescent="0.35">
      <c r="A12" s="249">
        <v>10</v>
      </c>
      <c r="C12" s="263">
        <v>46097</v>
      </c>
      <c r="D12" s="249" t="s">
        <v>482</v>
      </c>
      <c r="E12" s="144" t="s">
        <v>483</v>
      </c>
      <c r="F12" s="144" t="s">
        <v>484</v>
      </c>
    </row>
    <row r="19" spans="8:8" x14ac:dyDescent="0.35">
      <c r="H19" s="249">
        <v>2</v>
      </c>
    </row>
    <row r="59" spans="8:8" x14ac:dyDescent="0.35">
      <c r="H59" s="249">
        <v>3</v>
      </c>
    </row>
    <row r="79" spans="8:8" x14ac:dyDescent="0.35">
      <c r="H79" s="249">
        <v>4</v>
      </c>
    </row>
    <row r="119" spans="8:8" x14ac:dyDescent="0.3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zoomScale="115" zoomScaleNormal="115" workbookViewId="0">
      <selection activeCell="N2" sqref="N2"/>
    </sheetView>
  </sheetViews>
  <sheetFormatPr defaultRowHeight="14.5" x14ac:dyDescent="0.35"/>
  <cols>
    <col min="2" max="2" width="61" bestFit="1" customWidth="1"/>
    <col min="4" max="4" width="14.54296875" bestFit="1" customWidth="1"/>
    <col min="5" max="5" width="10.7265625" customWidth="1"/>
    <col min="11" max="11" width="9.1796875" style="180"/>
    <col min="12" max="12" width="9.26953125" style="180" bestFit="1" customWidth="1"/>
    <col min="13" max="14" width="9.1796875" style="180"/>
    <col min="15" max="15" width="9.1796875" style="178"/>
  </cols>
  <sheetData>
    <row r="1" spans="1:15" s="177" customFormat="1" ht="29.5" thickBot="1" x14ac:dyDescent="0.4">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 thickTop="1" x14ac:dyDescent="0.3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3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M3/24</f>
        <v>160</v>
      </c>
      <c r="O3" s="188">
        <f>N3/50</f>
        <v>3.2</v>
      </c>
    </row>
    <row r="4" spans="1:15" x14ac:dyDescent="0.35">
      <c r="A4">
        <v>3</v>
      </c>
      <c r="B4" t="s">
        <v>248</v>
      </c>
      <c r="C4" s="172">
        <v>1</v>
      </c>
      <c r="D4" s="174">
        <v>30</v>
      </c>
      <c r="E4" s="172">
        <f>E2</f>
        <v>10950</v>
      </c>
      <c r="F4" s="173">
        <f t="shared" ref="F4:I5" si="0">F2</f>
        <v>37</v>
      </c>
      <c r="G4" s="173">
        <v>1126</v>
      </c>
      <c r="H4" s="173">
        <v>1503</v>
      </c>
      <c r="I4" s="173">
        <f t="shared" si="0"/>
        <v>4</v>
      </c>
      <c r="J4" s="186">
        <f>ROUND(I4*H4*G4*F4*E4/1024^3,0)</f>
        <v>2554</v>
      </c>
      <c r="K4" s="187">
        <f>J4*4/1024</f>
        <v>9.9765625</v>
      </c>
      <c r="L4" s="179">
        <f>L2*G2*H2/G4/H4</f>
        <v>8.902975576378326</v>
      </c>
      <c r="M4" s="187">
        <f>E4/L4</f>
        <v>1229.9258720930234</v>
      </c>
      <c r="N4" s="191">
        <f>M4/24</f>
        <v>51.246911337209305</v>
      </c>
      <c r="O4" s="188">
        <f>N4/50</f>
        <v>1.024938226744186</v>
      </c>
    </row>
    <row r="5" spans="1:15" x14ac:dyDescent="0.35">
      <c r="A5">
        <v>4</v>
      </c>
      <c r="B5" t="s">
        <v>249</v>
      </c>
      <c r="C5" s="172">
        <v>1</v>
      </c>
      <c r="D5" s="174">
        <v>960</v>
      </c>
      <c r="E5" s="172">
        <f>E3</f>
        <v>350400</v>
      </c>
      <c r="F5" s="173">
        <f t="shared" si="0"/>
        <v>37</v>
      </c>
      <c r="G5" s="173">
        <v>1126</v>
      </c>
      <c r="H5" s="173">
        <v>1503</v>
      </c>
      <c r="I5" s="173">
        <f t="shared" si="0"/>
        <v>4</v>
      </c>
      <c r="J5" s="186">
        <f>ROUND(I5*H5*G5*F5*E5/1024^3,0)</f>
        <v>81738</v>
      </c>
      <c r="K5" s="187">
        <f>J5*4/1024</f>
        <v>319.2890625</v>
      </c>
      <c r="L5" s="179">
        <f>L3*G3*H3/G5/H5</f>
        <v>8.902975576378326</v>
      </c>
      <c r="M5" s="187">
        <f>E5/L5</f>
        <v>39357.627906976748</v>
      </c>
      <c r="N5" s="191">
        <f>M5/24</f>
        <v>1639.9011627906978</v>
      </c>
      <c r="O5" s="188">
        <f>N5/50</f>
        <v>32.798023255813952</v>
      </c>
    </row>
    <row r="6" spans="1:15" x14ac:dyDescent="0.3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35">
      <c r="A7">
        <v>6</v>
      </c>
      <c r="C7" s="172"/>
      <c r="D7" s="174"/>
      <c r="E7" s="172"/>
      <c r="F7" s="173"/>
      <c r="G7" s="173"/>
      <c r="H7" s="173"/>
      <c r="I7" s="173"/>
      <c r="J7" s="173"/>
      <c r="K7" s="182"/>
      <c r="L7" s="179"/>
      <c r="M7" s="182"/>
      <c r="N7" s="192"/>
      <c r="O7" s="181"/>
    </row>
    <row r="8" spans="1:15" x14ac:dyDescent="0.35">
      <c r="A8">
        <v>7</v>
      </c>
      <c r="C8" s="172"/>
      <c r="D8" s="174"/>
      <c r="E8" s="172"/>
      <c r="F8" s="173"/>
      <c r="G8" s="173"/>
      <c r="H8" s="173"/>
      <c r="I8" s="173"/>
      <c r="J8" s="173"/>
      <c r="K8" s="182"/>
      <c r="L8" s="179"/>
      <c r="M8" s="182"/>
      <c r="N8" s="192"/>
      <c r="O8" s="181"/>
    </row>
    <row r="9" spans="1:15" x14ac:dyDescent="0.35">
      <c r="A9">
        <v>8</v>
      </c>
      <c r="C9" s="172"/>
      <c r="D9" s="174"/>
      <c r="E9" s="172"/>
      <c r="F9" s="173"/>
      <c r="G9" s="173"/>
      <c r="H9" s="173"/>
      <c r="I9" s="173"/>
      <c r="J9" s="173"/>
      <c r="K9" s="182"/>
      <c r="L9" s="179"/>
      <c r="M9" s="182"/>
      <c r="N9" s="192"/>
      <c r="O9" s="181"/>
    </row>
    <row r="10" spans="1:15" x14ac:dyDescent="0.35">
      <c r="A10">
        <v>9</v>
      </c>
      <c r="C10" s="172"/>
      <c r="D10" s="174"/>
      <c r="E10" s="172"/>
      <c r="F10" s="173"/>
      <c r="G10" s="173"/>
      <c r="H10" s="173"/>
      <c r="I10" s="173"/>
      <c r="J10" s="173"/>
      <c r="K10" s="182"/>
      <c r="L10" s="179"/>
      <c r="M10" s="182"/>
      <c r="N10" s="192"/>
      <c r="O10" s="181"/>
    </row>
    <row r="11" spans="1:15" x14ac:dyDescent="0.35">
      <c r="A11">
        <v>10</v>
      </c>
      <c r="C11" s="172"/>
      <c r="D11" s="174"/>
      <c r="E11" s="172"/>
      <c r="F11" s="173"/>
      <c r="G11" s="173"/>
      <c r="H11" s="173"/>
      <c r="I11" s="173"/>
      <c r="J11" s="173"/>
      <c r="K11" s="182"/>
      <c r="L11" s="179"/>
      <c r="M11" s="182"/>
      <c r="N11" s="192"/>
      <c r="O11" s="181"/>
    </row>
    <row r="13" spans="1:15" s="193" customFormat="1" x14ac:dyDescent="0.35">
      <c r="E13" s="327" t="s">
        <v>258</v>
      </c>
      <c r="F13" s="327"/>
      <c r="G13" s="327"/>
      <c r="H13" s="327"/>
      <c r="I13" s="327"/>
      <c r="J13" s="327"/>
      <c r="K13" s="194"/>
      <c r="L13" s="326" t="s">
        <v>253</v>
      </c>
      <c r="M13" s="326"/>
      <c r="N13" s="326"/>
      <c r="O13" s="326"/>
    </row>
    <row r="14" spans="1:15" s="145" customFormat="1" ht="29.5" thickBot="1" x14ac:dyDescent="0.4">
      <c r="E14" s="175" t="s">
        <v>237</v>
      </c>
      <c r="F14" s="73" t="s">
        <v>234</v>
      </c>
      <c r="G14" s="73" t="s">
        <v>235</v>
      </c>
      <c r="H14" s="73" t="s">
        <v>236</v>
      </c>
      <c r="I14" s="73" t="s">
        <v>240</v>
      </c>
      <c r="J14" s="189" t="s">
        <v>244</v>
      </c>
      <c r="K14" s="195"/>
      <c r="L14" s="73" t="s">
        <v>257</v>
      </c>
      <c r="M14" s="73" t="s">
        <v>254</v>
      </c>
      <c r="N14" s="73" t="s">
        <v>255</v>
      </c>
      <c r="O14" s="73" t="s">
        <v>256</v>
      </c>
    </row>
    <row r="15" spans="1:15" ht="15" thickTop="1" x14ac:dyDescent="0.3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35">
      <c r="L16" s="196">
        <v>0.4931640625</v>
      </c>
      <c r="M16" s="180">
        <v>150</v>
      </c>
      <c r="N16" s="180">
        <v>1719.5</v>
      </c>
      <c r="O16" s="178">
        <f>N16/M16/L16</f>
        <v>23.244462046204621</v>
      </c>
    </row>
    <row r="17" spans="12:15" x14ac:dyDescent="0.35">
      <c r="L17" s="196">
        <v>0.4931640625</v>
      </c>
      <c r="M17" s="180">
        <v>300</v>
      </c>
      <c r="N17" s="180">
        <v>3439.1</v>
      </c>
      <c r="O17" s="178">
        <f>N17/M17/L17</f>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60D2E-9F9C-4900-963C-FF653A6C5938}">
  <dimension ref="A1:S11"/>
  <sheetViews>
    <sheetView workbookViewId="0">
      <selection activeCell="J11" sqref="J11"/>
    </sheetView>
  </sheetViews>
  <sheetFormatPr defaultRowHeight="14.5" x14ac:dyDescent="0.35"/>
  <cols>
    <col min="1" max="1" width="30.81640625" style="69" bestFit="1" customWidth="1"/>
    <col min="2" max="18" width="10.7265625" customWidth="1"/>
  </cols>
  <sheetData>
    <row r="1" spans="1:19" s="145" customFormat="1" x14ac:dyDescent="0.35">
      <c r="A1" s="280"/>
      <c r="B1" s="328" t="s">
        <v>518</v>
      </c>
      <c r="C1" s="329"/>
      <c r="D1" s="329"/>
      <c r="E1" s="329"/>
      <c r="F1" s="329"/>
      <c r="G1" s="329"/>
      <c r="H1" s="329"/>
      <c r="I1" s="330"/>
      <c r="J1" s="281"/>
      <c r="K1" s="329" t="s">
        <v>513</v>
      </c>
      <c r="L1" s="329"/>
      <c r="M1" s="329"/>
      <c r="N1" s="329"/>
      <c r="O1" s="329"/>
      <c r="P1" s="329"/>
      <c r="Q1" s="328" t="s">
        <v>517</v>
      </c>
      <c r="R1" s="331"/>
      <c r="S1" s="284" t="s">
        <v>519</v>
      </c>
    </row>
    <row r="2" spans="1:19" s="145" customFormat="1" x14ac:dyDescent="0.35">
      <c r="A2" s="271"/>
      <c r="B2" s="287"/>
      <c r="C2" s="288"/>
      <c r="D2" s="288"/>
      <c r="E2" s="288"/>
      <c r="F2" s="288"/>
      <c r="G2" s="288"/>
      <c r="H2" s="288"/>
      <c r="I2" s="289"/>
      <c r="J2" s="288"/>
      <c r="K2" s="332" t="s">
        <v>520</v>
      </c>
      <c r="L2" s="333"/>
      <c r="M2" s="334"/>
      <c r="N2" s="333" t="s">
        <v>521</v>
      </c>
      <c r="O2" s="333"/>
      <c r="P2" s="333"/>
      <c r="Q2" s="287"/>
      <c r="R2" s="290"/>
      <c r="S2" s="291"/>
    </row>
    <row r="3" spans="1:19" s="74" customFormat="1" ht="29" x14ac:dyDescent="0.35">
      <c r="A3" s="277" t="s">
        <v>501</v>
      </c>
      <c r="B3" s="275" t="s">
        <v>502</v>
      </c>
      <c r="C3" s="273" t="s">
        <v>503</v>
      </c>
      <c r="D3" s="273" t="s">
        <v>505</v>
      </c>
      <c r="E3" s="273" t="s">
        <v>504</v>
      </c>
      <c r="F3" s="273" t="s">
        <v>508</v>
      </c>
      <c r="G3" s="273" t="s">
        <v>514</v>
      </c>
      <c r="H3" s="273" t="s">
        <v>515</v>
      </c>
      <c r="I3" s="278" t="s">
        <v>507</v>
      </c>
      <c r="J3" s="273" t="s">
        <v>516</v>
      </c>
      <c r="K3" s="275" t="s">
        <v>522</v>
      </c>
      <c r="L3" s="273" t="s">
        <v>523</v>
      </c>
      <c r="M3" s="278" t="s">
        <v>524</v>
      </c>
      <c r="N3" s="273" t="s">
        <v>522</v>
      </c>
      <c r="O3" s="273" t="s">
        <v>523</v>
      </c>
      <c r="P3" s="273" t="s">
        <v>524</v>
      </c>
      <c r="Q3" s="275" t="s">
        <v>511</v>
      </c>
      <c r="R3" s="274" t="s">
        <v>510</v>
      </c>
      <c r="S3" s="282"/>
    </row>
    <row r="4" spans="1:19" x14ac:dyDescent="0.35">
      <c r="A4" s="272" t="s">
        <v>509</v>
      </c>
      <c r="B4" s="172">
        <v>195</v>
      </c>
      <c r="C4" s="173">
        <v>184</v>
      </c>
      <c r="D4" s="173">
        <v>175</v>
      </c>
      <c r="E4" s="173">
        <v>5</v>
      </c>
      <c r="F4" s="173">
        <f>B4-C4-E4</f>
        <v>6</v>
      </c>
      <c r="G4" s="173">
        <f>C4-D4+E4</f>
        <v>14</v>
      </c>
      <c r="H4" s="173"/>
      <c r="I4" s="174"/>
      <c r="J4" s="173"/>
      <c r="K4" s="172"/>
      <c r="L4" s="173"/>
      <c r="M4" s="174"/>
      <c r="N4" s="173"/>
      <c r="O4" s="173"/>
      <c r="P4" s="173"/>
      <c r="Q4" s="172"/>
      <c r="R4" s="240"/>
      <c r="S4" s="283"/>
    </row>
    <row r="5" spans="1:19" x14ac:dyDescent="0.35">
      <c r="A5" s="272"/>
      <c r="B5" s="172"/>
      <c r="C5" s="173"/>
      <c r="D5" s="173"/>
      <c r="E5" s="173"/>
      <c r="F5" s="173"/>
      <c r="G5" s="173"/>
      <c r="H5" s="173"/>
      <c r="I5" s="174"/>
      <c r="J5" s="173"/>
      <c r="K5" s="172"/>
      <c r="L5" s="173"/>
      <c r="M5" s="174"/>
      <c r="N5" s="173"/>
      <c r="O5" s="173"/>
      <c r="P5" s="173"/>
      <c r="Q5" s="172"/>
      <c r="R5" s="240"/>
      <c r="S5" s="283"/>
    </row>
    <row r="6" spans="1:19" x14ac:dyDescent="0.35">
      <c r="A6" s="272" t="s">
        <v>506</v>
      </c>
      <c r="B6" s="172">
        <f>SUM(C6:I6)</f>
        <v>694.5</v>
      </c>
      <c r="C6" s="173"/>
      <c r="D6" s="173"/>
      <c r="E6" s="173"/>
      <c r="F6" s="173">
        <v>6</v>
      </c>
      <c r="G6" s="173">
        <f>G4*15</f>
        <v>210</v>
      </c>
      <c r="H6" s="173">
        <f>F6+G6</f>
        <v>216</v>
      </c>
      <c r="I6" s="174">
        <f>D4/2*3</f>
        <v>262.5</v>
      </c>
      <c r="J6" s="173"/>
      <c r="K6" s="172"/>
      <c r="L6" s="173"/>
      <c r="M6" s="174"/>
      <c r="N6" s="173"/>
      <c r="O6" s="173"/>
      <c r="P6" s="173"/>
      <c r="Q6" s="172"/>
      <c r="R6" s="240"/>
      <c r="S6" s="283"/>
    </row>
    <row r="7" spans="1:19" x14ac:dyDescent="0.35">
      <c r="A7" s="272"/>
      <c r="B7" s="172"/>
      <c r="C7" s="173"/>
      <c r="D7" s="173"/>
      <c r="E7" s="173"/>
      <c r="F7" s="173"/>
      <c r="G7" s="173"/>
      <c r="H7" s="173"/>
      <c r="I7" s="174"/>
      <c r="J7" s="173"/>
      <c r="K7" s="172"/>
      <c r="L7" s="173"/>
      <c r="M7" s="174"/>
      <c r="N7" s="173"/>
      <c r="O7" s="173"/>
      <c r="P7" s="173"/>
      <c r="Q7" s="172"/>
      <c r="R7" s="240"/>
      <c r="S7" s="283"/>
    </row>
    <row r="8" spans="1:19" x14ac:dyDescent="0.35">
      <c r="A8" s="272"/>
      <c r="B8" s="172"/>
      <c r="C8" s="173"/>
      <c r="D8" s="173"/>
      <c r="E8" s="173"/>
      <c r="F8" s="173"/>
      <c r="G8" s="173"/>
      <c r="H8" s="173"/>
      <c r="I8" s="174"/>
      <c r="J8" s="173"/>
      <c r="K8" s="172"/>
      <c r="L8" s="173"/>
      <c r="M8" s="174"/>
      <c r="N8" s="173"/>
      <c r="O8" s="173"/>
      <c r="P8" s="173"/>
      <c r="Q8" s="172"/>
      <c r="R8" s="240"/>
      <c r="S8" s="283"/>
    </row>
    <row r="9" spans="1:19" x14ac:dyDescent="0.35">
      <c r="A9" s="272"/>
      <c r="B9" s="172"/>
      <c r="C9" s="173"/>
      <c r="D9" s="173"/>
      <c r="E9" s="173"/>
      <c r="F9" s="173"/>
      <c r="G9" s="173"/>
      <c r="H9" s="173"/>
      <c r="I9" s="174"/>
      <c r="J9" s="173"/>
      <c r="K9" s="172"/>
      <c r="L9" s="173"/>
      <c r="M9" s="174"/>
      <c r="N9" s="173"/>
      <c r="O9" s="173"/>
      <c r="P9" s="173"/>
      <c r="Q9" s="172"/>
      <c r="R9" s="240"/>
      <c r="S9" s="283"/>
    </row>
    <row r="10" spans="1:19" ht="15.5" x14ac:dyDescent="0.35">
      <c r="A10" s="272" t="s">
        <v>512</v>
      </c>
      <c r="B10" s="172"/>
      <c r="C10" s="173"/>
      <c r="D10" s="173"/>
      <c r="E10" s="173"/>
      <c r="F10" s="173"/>
      <c r="G10" s="173"/>
      <c r="H10" s="173">
        <f>H6*6</f>
        <v>1296</v>
      </c>
      <c r="I10" s="174"/>
      <c r="J10" s="173">
        <v>14</v>
      </c>
      <c r="K10" s="298">
        <v>1500</v>
      </c>
      <c r="L10" s="292"/>
      <c r="M10" s="299"/>
      <c r="N10" s="295">
        <v>476.7</v>
      </c>
      <c r="O10" s="286"/>
      <c r="P10" s="286"/>
      <c r="Q10" s="172">
        <v>197.1</v>
      </c>
      <c r="R10" s="285">
        <f>Q10*J10</f>
        <v>2759.4</v>
      </c>
      <c r="S10" s="293">
        <f>SUM(N10:P10)+R10</f>
        <v>3236.1</v>
      </c>
    </row>
    <row r="11" spans="1:19" ht="16" thickBot="1" x14ac:dyDescent="0.4">
      <c r="A11" s="294" t="s">
        <v>525</v>
      </c>
      <c r="B11" s="276"/>
      <c r="C11" s="242"/>
      <c r="D11" s="242"/>
      <c r="E11" s="242"/>
      <c r="F11" s="242"/>
      <c r="G11" s="242"/>
      <c r="H11" s="242">
        <f>H6*9</f>
        <v>1944</v>
      </c>
      <c r="I11" s="279"/>
      <c r="J11" s="242">
        <v>14</v>
      </c>
      <c r="K11" s="276">
        <v>1000</v>
      </c>
      <c r="L11" s="242">
        <v>1000</v>
      </c>
      <c r="M11" s="279">
        <v>1000</v>
      </c>
      <c r="N11" s="242">
        <v>317.8</v>
      </c>
      <c r="O11" s="242">
        <v>317.8</v>
      </c>
      <c r="P11" s="242">
        <v>317.8</v>
      </c>
      <c r="Q11" s="276">
        <v>389.1</v>
      </c>
      <c r="R11" s="297">
        <f>Q11*J11</f>
        <v>5447.4000000000005</v>
      </c>
      <c r="S11" s="296">
        <f>SUM(N11:P11)+R11</f>
        <v>6400.8000000000011</v>
      </c>
    </row>
  </sheetData>
  <mergeCells count="5">
    <mergeCell ref="B1:I1"/>
    <mergeCell ref="K1:P1"/>
    <mergeCell ref="Q1:R1"/>
    <mergeCell ref="K2:M2"/>
    <mergeCell ref="N2:P2"/>
  </mergeCells>
  <phoneticPr fontId="2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40563-61CD-43CF-BAC6-9CE4961B3439}">
  <dimension ref="A1:Z15"/>
  <sheetViews>
    <sheetView tabSelected="1" zoomScale="85" zoomScaleNormal="85" workbookViewId="0">
      <pane xSplit="1" ySplit="2" topLeftCell="D3" activePane="bottomRight" state="frozen"/>
      <selection pane="topRight" activeCell="B1" sqref="B1"/>
      <selection pane="bottomLeft" activeCell="A3" sqref="A3"/>
      <selection pane="bottomRight" activeCell="W8" sqref="W8"/>
    </sheetView>
  </sheetViews>
  <sheetFormatPr defaultColWidth="9.1796875" defaultRowHeight="14.5" x14ac:dyDescent="0.35"/>
  <cols>
    <col min="1" max="1" width="18.453125" style="264" customWidth="1"/>
    <col min="2" max="5" width="8.6328125" style="249" customWidth="1"/>
    <col min="6" max="6" width="6.6328125" style="264" customWidth="1"/>
    <col min="7" max="9" width="6.6328125" style="249" customWidth="1"/>
    <col min="10" max="10" width="10.7265625" style="303" customWidth="1"/>
    <col min="11" max="11" width="10.7265625" style="310" customWidth="1"/>
    <col min="12" max="13" width="10.7265625" style="302" customWidth="1"/>
    <col min="14" max="15" width="9.1796875" style="178"/>
    <col min="16" max="16" width="2.7265625" style="178" customWidth="1"/>
    <col min="17" max="20" width="7.6328125" style="249" customWidth="1"/>
    <col min="21" max="21" width="1.54296875" style="249" customWidth="1"/>
    <col min="22" max="22" width="10.7265625" style="249" customWidth="1"/>
    <col min="23" max="23" width="27.26953125" style="249" bestFit="1" customWidth="1"/>
    <col min="24" max="24" width="9.1796875" style="249"/>
    <col min="25" max="25" width="18.7265625" style="303" bestFit="1" customWidth="1"/>
    <col min="26" max="16384" width="9.1796875" style="249"/>
  </cols>
  <sheetData>
    <row r="1" spans="1:26" s="193" customFormat="1" x14ac:dyDescent="0.35">
      <c r="J1" s="304"/>
      <c r="K1" s="308"/>
      <c r="L1" s="305"/>
      <c r="M1" s="336" t="s">
        <v>557</v>
      </c>
      <c r="N1" s="336"/>
      <c r="O1" s="305" t="s">
        <v>558</v>
      </c>
      <c r="P1" s="305"/>
      <c r="Q1" s="335" t="s">
        <v>537</v>
      </c>
      <c r="R1" s="335"/>
      <c r="S1" s="335"/>
      <c r="T1" s="335"/>
      <c r="Y1" s="304"/>
    </row>
    <row r="2" spans="1:26" s="145" customFormat="1" ht="72.5" x14ac:dyDescent="0.35">
      <c r="B2" s="145" t="s">
        <v>529</v>
      </c>
      <c r="C2" s="145" t="s">
        <v>530</v>
      </c>
      <c r="D2" s="145" t="s">
        <v>531</v>
      </c>
      <c r="E2" s="145" t="s">
        <v>532</v>
      </c>
      <c r="F2" s="145" t="s">
        <v>534</v>
      </c>
      <c r="G2" s="145" t="s">
        <v>526</v>
      </c>
      <c r="H2" s="145" t="s">
        <v>527</v>
      </c>
      <c r="I2" s="145" t="s">
        <v>540</v>
      </c>
      <c r="J2" s="306" t="s">
        <v>539</v>
      </c>
      <c r="K2" s="309" t="s">
        <v>554</v>
      </c>
      <c r="L2" s="307" t="s">
        <v>528</v>
      </c>
      <c r="M2" s="307" t="s">
        <v>549</v>
      </c>
      <c r="N2" s="307" t="s">
        <v>555</v>
      </c>
      <c r="O2" s="307" t="s">
        <v>549</v>
      </c>
      <c r="P2" s="307"/>
      <c r="Q2" s="145" t="s">
        <v>535</v>
      </c>
      <c r="R2" s="145" t="s">
        <v>378</v>
      </c>
      <c r="S2" s="145" t="s">
        <v>358</v>
      </c>
      <c r="T2" s="145" t="s">
        <v>536</v>
      </c>
      <c r="V2" s="193" t="s">
        <v>547</v>
      </c>
      <c r="W2" s="193" t="s">
        <v>546</v>
      </c>
      <c r="X2" s="193"/>
      <c r="Y2" s="304" t="s">
        <v>550</v>
      </c>
    </row>
    <row r="3" spans="1:26" s="322" customFormat="1" x14ac:dyDescent="0.35">
      <c r="A3" s="321" t="s">
        <v>556</v>
      </c>
      <c r="B3" s="322">
        <v>113100</v>
      </c>
      <c r="C3" s="322">
        <v>125100</v>
      </c>
      <c r="D3" s="322">
        <v>387600</v>
      </c>
      <c r="E3" s="322">
        <v>396200</v>
      </c>
      <c r="F3" s="321">
        <v>25</v>
      </c>
      <c r="G3" s="322">
        <f t="shared" ref="G3:G10" si="0">ROUNDUP((E3-D3)/F3,0)</f>
        <v>344</v>
      </c>
      <c r="H3" s="322">
        <f t="shared" ref="H3:H10" si="1">ROUNDUP((C3-B3)/F3,0)</f>
        <v>480</v>
      </c>
      <c r="I3" s="322">
        <v>37</v>
      </c>
      <c r="J3" s="323">
        <f t="shared" ref="J3:J10" si="2">I3*H3*G3</f>
        <v>6109440</v>
      </c>
      <c r="K3" s="324"/>
      <c r="L3" s="325">
        <v>8</v>
      </c>
      <c r="M3" s="325">
        <f>L3*30/24</f>
        <v>10</v>
      </c>
      <c r="N3" s="325"/>
      <c r="O3" s="325">
        <v>10</v>
      </c>
      <c r="P3" s="325"/>
      <c r="Q3" s="322">
        <f>$B$4-B3</f>
        <v>335</v>
      </c>
      <c r="R3" s="322">
        <f>C3-$C$4</f>
        <v>339</v>
      </c>
      <c r="S3" s="322">
        <f>$D$4-D3</f>
        <v>338</v>
      </c>
      <c r="T3" s="322">
        <f>E3-$E$4</f>
        <v>332</v>
      </c>
      <c r="W3" s="322" t="str">
        <f t="shared" ref="W3:W10" si="3">_xlfn.CONCAT(B3, ",", D3,  ",", C3, ",", E3)</f>
        <v>113100,387600,125100,396200</v>
      </c>
      <c r="Y3" s="323">
        <v>102785953</v>
      </c>
    </row>
    <row r="4" spans="1:26" x14ac:dyDescent="0.35">
      <c r="A4" s="264" t="s">
        <v>533</v>
      </c>
      <c r="B4" s="249">
        <v>113435</v>
      </c>
      <c r="C4" s="249">
        <v>124761</v>
      </c>
      <c r="D4" s="249">
        <v>387938</v>
      </c>
      <c r="E4" s="249">
        <v>395868</v>
      </c>
      <c r="F4" s="264">
        <v>25</v>
      </c>
      <c r="G4" s="249">
        <f t="shared" si="0"/>
        <v>318</v>
      </c>
      <c r="H4" s="249">
        <f t="shared" si="1"/>
        <v>454</v>
      </c>
      <c r="I4" s="249">
        <v>37</v>
      </c>
      <c r="J4" s="303">
        <f t="shared" si="2"/>
        <v>5341764</v>
      </c>
      <c r="L4" s="302">
        <f>$L$3*J4/$J$3</f>
        <v>6.9947674418604651</v>
      </c>
      <c r="M4" s="302">
        <f t="shared" ref="M4:M15" si="4">L4*30/24</f>
        <v>8.7434593023255811</v>
      </c>
      <c r="N4" s="302"/>
      <c r="O4" s="302"/>
      <c r="P4" s="302"/>
      <c r="W4" s="249" t="str">
        <f t="shared" si="3"/>
        <v>113435,387938,124761,395868</v>
      </c>
    </row>
    <row r="5" spans="1:26" x14ac:dyDescent="0.35">
      <c r="A5" s="264" t="s">
        <v>538</v>
      </c>
      <c r="B5" s="249">
        <f t="shared" ref="B5:B10" si="5">_xlfn.FLOOR.MATH(B$4-Q5,F5)</f>
        <v>112425</v>
      </c>
      <c r="C5" s="249">
        <f t="shared" ref="C5:C10" si="6">_xlfn.CEILING.MATH(C$4+R5,F5)</f>
        <v>125775</v>
      </c>
      <c r="D5" s="249">
        <f t="shared" ref="D5:D10" si="7">_xlfn.FLOOR.MATH(D$4-S5,F5)</f>
        <v>386925</v>
      </c>
      <c r="E5" s="249">
        <f t="shared" ref="E5:E10" si="8">_xlfn.CEILING.MATH(E$4+T5,F5)</f>
        <v>396875</v>
      </c>
      <c r="F5" s="264">
        <v>25</v>
      </c>
      <c r="G5" s="249">
        <f t="shared" si="0"/>
        <v>398</v>
      </c>
      <c r="H5" s="249">
        <f t="shared" si="1"/>
        <v>534</v>
      </c>
      <c r="I5" s="249">
        <v>37</v>
      </c>
      <c r="J5" s="303">
        <f t="shared" si="2"/>
        <v>7863684</v>
      </c>
      <c r="L5" s="302">
        <f>$L$3*J5/$J$3</f>
        <v>10.297093023255814</v>
      </c>
      <c r="M5" s="302">
        <f t="shared" si="4"/>
        <v>12.871366279069766</v>
      </c>
      <c r="Q5" s="301">
        <v>1000</v>
      </c>
      <c r="R5" s="301">
        <v>1000</v>
      </c>
      <c r="S5" s="301">
        <v>1000</v>
      </c>
      <c r="T5" s="301">
        <v>1000</v>
      </c>
      <c r="W5" s="249" t="str">
        <f t="shared" si="3"/>
        <v>112425,386925,125775,396875</v>
      </c>
    </row>
    <row r="6" spans="1:26" s="312" customFormat="1" x14ac:dyDescent="0.35">
      <c r="A6" s="311" t="s">
        <v>541</v>
      </c>
      <c r="B6" s="312">
        <f t="shared" si="5"/>
        <v>112400</v>
      </c>
      <c r="C6" s="312">
        <f t="shared" si="6"/>
        <v>125800</v>
      </c>
      <c r="D6" s="312">
        <f t="shared" si="7"/>
        <v>386900</v>
      </c>
      <c r="E6" s="312">
        <f t="shared" si="8"/>
        <v>396900</v>
      </c>
      <c r="F6" s="313">
        <v>50</v>
      </c>
      <c r="G6" s="312">
        <f t="shared" si="0"/>
        <v>200</v>
      </c>
      <c r="H6" s="312">
        <f t="shared" si="1"/>
        <v>268</v>
      </c>
      <c r="I6" s="312">
        <v>37</v>
      </c>
      <c r="J6" s="314">
        <f t="shared" si="2"/>
        <v>1983200</v>
      </c>
      <c r="K6" s="315"/>
      <c r="L6" s="316">
        <f>$L$3*J6/$J$3</f>
        <v>2.5968992248062017</v>
      </c>
      <c r="M6" s="317">
        <f t="shared" si="4"/>
        <v>3.2461240310077524</v>
      </c>
      <c r="N6" s="318"/>
      <c r="O6" s="318"/>
      <c r="P6" s="318"/>
      <c r="Q6" s="320">
        <v>1000</v>
      </c>
      <c r="R6" s="320">
        <v>1000</v>
      </c>
      <c r="S6" s="320">
        <v>1000</v>
      </c>
      <c r="T6" s="320">
        <v>1000</v>
      </c>
      <c r="V6" s="312" t="s">
        <v>548</v>
      </c>
      <c r="W6" s="312" t="str">
        <f t="shared" si="3"/>
        <v>112400,386900,125800,396900</v>
      </c>
      <c r="Y6" s="314"/>
    </row>
    <row r="7" spans="1:26" x14ac:dyDescent="0.35">
      <c r="A7" s="264" t="s">
        <v>542</v>
      </c>
      <c r="B7" s="249">
        <f t="shared" si="5"/>
        <v>111425</v>
      </c>
      <c r="C7" s="249">
        <f t="shared" si="6"/>
        <v>126775</v>
      </c>
      <c r="D7" s="249">
        <f t="shared" si="7"/>
        <v>385925</v>
      </c>
      <c r="E7" s="249">
        <f t="shared" si="8"/>
        <v>397875</v>
      </c>
      <c r="F7" s="264">
        <v>25</v>
      </c>
      <c r="G7" s="249">
        <f t="shared" si="0"/>
        <v>478</v>
      </c>
      <c r="H7" s="249">
        <f t="shared" si="1"/>
        <v>614</v>
      </c>
      <c r="I7" s="249">
        <v>37</v>
      </c>
      <c r="J7" s="303">
        <f t="shared" si="2"/>
        <v>10859204</v>
      </c>
      <c r="L7" s="302">
        <f t="shared" ref="L7:L13" si="9">$L$3*J7/$J$3</f>
        <v>14.219573643410852</v>
      </c>
      <c r="M7" s="302">
        <f t="shared" si="4"/>
        <v>17.774467054263564</v>
      </c>
      <c r="Q7" s="301">
        <v>2000</v>
      </c>
      <c r="R7" s="301">
        <f>$Q7</f>
        <v>2000</v>
      </c>
      <c r="S7" s="301">
        <f t="shared" ref="S7:T10" si="10">$Q7</f>
        <v>2000</v>
      </c>
      <c r="T7" s="301">
        <f t="shared" si="10"/>
        <v>2000</v>
      </c>
      <c r="W7" s="249" t="str">
        <f t="shared" si="3"/>
        <v>111425,385925,126775,397875</v>
      </c>
    </row>
    <row r="8" spans="1:26" x14ac:dyDescent="0.35">
      <c r="A8" s="264" t="s">
        <v>543</v>
      </c>
      <c r="B8" s="249">
        <f t="shared" si="5"/>
        <v>111400</v>
      </c>
      <c r="C8" s="249">
        <f t="shared" si="6"/>
        <v>126800</v>
      </c>
      <c r="D8" s="249">
        <f t="shared" si="7"/>
        <v>385900</v>
      </c>
      <c r="E8" s="249">
        <f t="shared" si="8"/>
        <v>397900</v>
      </c>
      <c r="F8" s="300">
        <v>50</v>
      </c>
      <c r="G8" s="249">
        <f t="shared" si="0"/>
        <v>240</v>
      </c>
      <c r="H8" s="249">
        <f t="shared" si="1"/>
        <v>308</v>
      </c>
      <c r="I8" s="249">
        <v>37</v>
      </c>
      <c r="J8" s="303">
        <f t="shared" si="2"/>
        <v>2735040</v>
      </c>
      <c r="L8" s="302">
        <f t="shared" si="9"/>
        <v>3.5813953488372094</v>
      </c>
      <c r="M8" s="302">
        <f t="shared" si="4"/>
        <v>4.4767441860465116</v>
      </c>
      <c r="Q8" s="319">
        <v>2000</v>
      </c>
      <c r="R8" s="319">
        <f>$Q8</f>
        <v>2000</v>
      </c>
      <c r="S8" s="319">
        <f t="shared" si="10"/>
        <v>2000</v>
      </c>
      <c r="T8" s="319">
        <f t="shared" si="10"/>
        <v>2000</v>
      </c>
      <c r="V8" s="249" t="s">
        <v>559</v>
      </c>
      <c r="W8" s="249" t="str">
        <f t="shared" si="3"/>
        <v>111400,385900,126800,397900</v>
      </c>
    </row>
    <row r="9" spans="1:26" x14ac:dyDescent="0.35">
      <c r="A9" s="264" t="s">
        <v>544</v>
      </c>
      <c r="B9" s="249">
        <f t="shared" si="5"/>
        <v>110425</v>
      </c>
      <c r="C9" s="249">
        <f t="shared" si="6"/>
        <v>127775</v>
      </c>
      <c r="D9" s="249">
        <f t="shared" si="7"/>
        <v>384925</v>
      </c>
      <c r="E9" s="249">
        <f t="shared" si="8"/>
        <v>398875</v>
      </c>
      <c r="F9" s="264">
        <v>25</v>
      </c>
      <c r="G9" s="249">
        <f t="shared" si="0"/>
        <v>558</v>
      </c>
      <c r="H9" s="249">
        <f t="shared" si="1"/>
        <v>694</v>
      </c>
      <c r="I9" s="249">
        <v>37</v>
      </c>
      <c r="J9" s="303">
        <f t="shared" si="2"/>
        <v>14328324</v>
      </c>
      <c r="L9" s="302">
        <f t="shared" si="9"/>
        <v>18.76220930232558</v>
      </c>
      <c r="M9" s="302">
        <f t="shared" si="4"/>
        <v>23.452761627906977</v>
      </c>
      <c r="Q9" s="301">
        <v>3000</v>
      </c>
      <c r="R9" s="301">
        <f>$Q9</f>
        <v>3000</v>
      </c>
      <c r="S9" s="301">
        <f t="shared" si="10"/>
        <v>3000</v>
      </c>
      <c r="T9" s="301">
        <f t="shared" si="10"/>
        <v>3000</v>
      </c>
      <c r="W9" s="249" t="str">
        <f t="shared" si="3"/>
        <v>110425,384925,127775,398875</v>
      </c>
    </row>
    <row r="10" spans="1:26" x14ac:dyDescent="0.35">
      <c r="A10" s="264" t="s">
        <v>545</v>
      </c>
      <c r="B10" s="249">
        <f t="shared" si="5"/>
        <v>110400</v>
      </c>
      <c r="C10" s="249">
        <f t="shared" si="6"/>
        <v>127800</v>
      </c>
      <c r="D10" s="249">
        <f t="shared" si="7"/>
        <v>384900</v>
      </c>
      <c r="E10" s="249">
        <f t="shared" si="8"/>
        <v>398900</v>
      </c>
      <c r="F10" s="300">
        <v>50</v>
      </c>
      <c r="G10" s="249">
        <f t="shared" si="0"/>
        <v>280</v>
      </c>
      <c r="H10" s="249">
        <f t="shared" si="1"/>
        <v>348</v>
      </c>
      <c r="I10" s="249">
        <v>37</v>
      </c>
      <c r="J10" s="303">
        <f t="shared" si="2"/>
        <v>3605280</v>
      </c>
      <c r="L10" s="302">
        <f t="shared" si="9"/>
        <v>4.7209302325581399</v>
      </c>
      <c r="M10" s="302">
        <f t="shared" si="4"/>
        <v>5.9011627906976747</v>
      </c>
      <c r="Q10" s="319">
        <v>3000</v>
      </c>
      <c r="R10" s="319">
        <f>$Q10</f>
        <v>3000</v>
      </c>
      <c r="S10" s="319">
        <f t="shared" si="10"/>
        <v>3000</v>
      </c>
      <c r="T10" s="319">
        <f t="shared" si="10"/>
        <v>3000</v>
      </c>
      <c r="U10" s="319"/>
      <c r="V10" s="249" t="s">
        <v>560</v>
      </c>
      <c r="W10" s="249" t="str">
        <f t="shared" si="3"/>
        <v>110400,384900,127800,398900</v>
      </c>
    </row>
    <row r="12" spans="1:26" x14ac:dyDescent="0.35">
      <c r="A12" s="264" t="s">
        <v>551</v>
      </c>
      <c r="F12" s="300">
        <v>100</v>
      </c>
      <c r="J12" s="303">
        <f>35000*37</f>
        <v>1295000</v>
      </c>
      <c r="K12" s="310">
        <v>0.66726227828534757</v>
      </c>
      <c r="L12" s="302">
        <f t="shared" si="9"/>
        <v>1.695736434108527</v>
      </c>
      <c r="M12" s="302">
        <f t="shared" si="4"/>
        <v>2.1196705426356588</v>
      </c>
      <c r="N12" s="178">
        <f>M12*K12</f>
        <v>1.4143761954934086</v>
      </c>
      <c r="Y12" s="303">
        <v>11387013201</v>
      </c>
      <c r="Z12" s="249">
        <f>Y12/Y3</f>
        <v>110.78374883579666</v>
      </c>
    </row>
    <row r="13" spans="1:26" x14ac:dyDescent="0.35">
      <c r="F13" s="300"/>
      <c r="G13" s="249">
        <v>1126</v>
      </c>
      <c r="H13" s="249">
        <v>1503</v>
      </c>
      <c r="I13" s="249">
        <v>37</v>
      </c>
      <c r="J13" s="303">
        <f>H13*G13*I13</f>
        <v>62617986</v>
      </c>
      <c r="K13" s="310">
        <f>(1123896+5364)*I13/J13</f>
        <v>0.66726227828534757</v>
      </c>
      <c r="L13" s="302">
        <f t="shared" si="9"/>
        <v>81.995058139534891</v>
      </c>
      <c r="M13" s="302">
        <f t="shared" si="4"/>
        <v>102.49382267441861</v>
      </c>
      <c r="N13" s="178">
        <f>M13*K13</f>
        <v>68.39026162790698</v>
      </c>
    </row>
    <row r="14" spans="1:26" x14ac:dyDescent="0.35">
      <c r="A14" s="264" t="s">
        <v>552</v>
      </c>
      <c r="F14" s="300">
        <v>200</v>
      </c>
      <c r="G14" s="249">
        <f>ROUNDUP(G$13*$F$12/$F14,0)</f>
        <v>563</v>
      </c>
      <c r="H14" s="249">
        <f>ROUNDUP(H$13*$F$12/$F14,0)</f>
        <v>752</v>
      </c>
      <c r="I14" s="249">
        <v>37</v>
      </c>
      <c r="J14" s="303">
        <f>I14*H14*G14</f>
        <v>15664912</v>
      </c>
      <c r="K14" s="310">
        <v>0.66726227828534757</v>
      </c>
      <c r="L14" s="302">
        <f>$L$3*J14/$J$3</f>
        <v>20.512403100775195</v>
      </c>
      <c r="M14" s="302">
        <f t="shared" si="4"/>
        <v>25.640503875968992</v>
      </c>
      <c r="N14" s="178">
        <f>M14*K14</f>
        <v>17.108941032663356</v>
      </c>
      <c r="Y14" s="303">
        <v>11387013201</v>
      </c>
      <c r="Z14" s="249" t="e">
        <f>Y14/Y5</f>
        <v>#DIV/0!</v>
      </c>
    </row>
    <row r="15" spans="1:26" x14ac:dyDescent="0.35">
      <c r="A15" s="264" t="s">
        <v>553</v>
      </c>
      <c r="F15" s="300">
        <v>250</v>
      </c>
      <c r="G15" s="249">
        <f>ROUNDUP(G$13*$F$12/$F15,0)</f>
        <v>451</v>
      </c>
      <c r="H15" s="249">
        <f>ROUNDUP(H$13*$F$12/$F15,0)</f>
        <v>602</v>
      </c>
      <c r="I15" s="249">
        <v>37</v>
      </c>
      <c r="J15" s="303">
        <f>I15*H15*G15</f>
        <v>10045574</v>
      </c>
      <c r="K15" s="310">
        <v>0.66726227828534757</v>
      </c>
      <c r="L15" s="302">
        <f>$L$3*J15/$J$3</f>
        <v>13.154166666666667</v>
      </c>
      <c r="M15" s="302">
        <f t="shared" si="4"/>
        <v>16.442708333333332</v>
      </c>
      <c r="N15" s="178">
        <f>M15*K15</f>
        <v>10.971599023681469</v>
      </c>
      <c r="Y15" s="303">
        <v>11387013201</v>
      </c>
      <c r="Z15" s="249" t="e">
        <f>Y15/Y6</f>
        <v>#DIV/0!</v>
      </c>
    </row>
  </sheetData>
  <mergeCells count="2">
    <mergeCell ref="Q1:T1"/>
    <mergeCell ref="M1:N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4.5" x14ac:dyDescent="0.35"/>
  <cols>
    <col min="3" max="3" width="30.7265625" customWidth="1"/>
    <col min="4" max="4" width="80.7265625" customWidth="1"/>
    <col min="5" max="5" width="13.54296875" bestFit="1" customWidth="1"/>
  </cols>
  <sheetData>
    <row r="1" spans="1:5" s="2" customFormat="1" ht="15" thickBot="1" x14ac:dyDescent="0.4">
      <c r="A1" s="73" t="s">
        <v>0</v>
      </c>
      <c r="B1" s="73" t="s">
        <v>337</v>
      </c>
      <c r="C1" s="73" t="s">
        <v>333</v>
      </c>
      <c r="D1" s="73" t="s">
        <v>124</v>
      </c>
      <c r="E1" s="73" t="s">
        <v>356</v>
      </c>
    </row>
    <row r="2" spans="1:5" ht="15" thickTop="1" x14ac:dyDescent="0.35">
      <c r="A2" s="144">
        <v>1</v>
      </c>
      <c r="B2" s="144" t="s">
        <v>338</v>
      </c>
      <c r="C2" s="144" t="s">
        <v>334</v>
      </c>
      <c r="D2" s="144"/>
      <c r="E2" s="144" t="s">
        <v>357</v>
      </c>
    </row>
    <row r="3" spans="1:5" x14ac:dyDescent="0.35">
      <c r="A3" s="144">
        <v>2</v>
      </c>
      <c r="B3" s="144" t="s">
        <v>338</v>
      </c>
      <c r="C3" s="144" t="s">
        <v>335</v>
      </c>
      <c r="D3" s="144"/>
      <c r="E3" s="144">
        <v>0</v>
      </c>
    </row>
    <row r="4" spans="1:5" ht="29" x14ac:dyDescent="0.35">
      <c r="A4" s="144">
        <v>3</v>
      </c>
      <c r="B4" s="144" t="s">
        <v>338</v>
      </c>
      <c r="C4" s="144" t="s">
        <v>336</v>
      </c>
      <c r="D4" s="144"/>
      <c r="E4" s="144">
        <v>0</v>
      </c>
    </row>
    <row r="5" spans="1:5" x14ac:dyDescent="0.35">
      <c r="A5" s="144">
        <v>4</v>
      </c>
      <c r="B5" s="144" t="s">
        <v>338</v>
      </c>
      <c r="C5" s="144" t="s">
        <v>339</v>
      </c>
      <c r="D5" s="144"/>
      <c r="E5" s="144">
        <v>0</v>
      </c>
    </row>
    <row r="6" spans="1:5" x14ac:dyDescent="0.35">
      <c r="A6" s="144">
        <v>5</v>
      </c>
      <c r="B6" s="144" t="s">
        <v>338</v>
      </c>
      <c r="C6" s="144" t="s">
        <v>340</v>
      </c>
      <c r="D6" s="144"/>
      <c r="E6" s="144" t="s">
        <v>341</v>
      </c>
    </row>
    <row r="7" spans="1:5" ht="29" x14ac:dyDescent="0.35">
      <c r="A7" s="144">
        <v>6</v>
      </c>
      <c r="B7" s="144" t="s">
        <v>338</v>
      </c>
      <c r="C7" s="144" t="s">
        <v>342</v>
      </c>
      <c r="D7" s="144" t="s">
        <v>343</v>
      </c>
      <c r="E7" s="144">
        <v>0</v>
      </c>
    </row>
    <row r="8" spans="1:5" x14ac:dyDescent="0.35">
      <c r="A8" s="144">
        <v>7</v>
      </c>
      <c r="B8" s="144" t="s">
        <v>338</v>
      </c>
      <c r="C8" s="144" t="s">
        <v>344</v>
      </c>
      <c r="D8" s="144" t="s">
        <v>345</v>
      </c>
      <c r="E8" s="144" t="s">
        <v>358</v>
      </c>
    </row>
    <row r="9" spans="1:5" ht="43.5" x14ac:dyDescent="0.35">
      <c r="A9" s="259">
        <v>8</v>
      </c>
      <c r="B9" s="259" t="s">
        <v>338</v>
      </c>
      <c r="C9" s="259" t="s">
        <v>346</v>
      </c>
      <c r="D9" s="259" t="s">
        <v>347</v>
      </c>
      <c r="E9" s="259" t="s">
        <v>358</v>
      </c>
    </row>
    <row r="10" spans="1:5" x14ac:dyDescent="0.35">
      <c r="A10" s="144">
        <v>9</v>
      </c>
      <c r="B10" s="144" t="s">
        <v>348</v>
      </c>
      <c r="C10" s="144" t="s">
        <v>349</v>
      </c>
      <c r="D10" s="144" t="s">
        <v>350</v>
      </c>
      <c r="E10" s="144" t="s">
        <v>358</v>
      </c>
    </row>
    <row r="11" spans="1:5" ht="29" x14ac:dyDescent="0.35">
      <c r="A11" s="144">
        <v>10</v>
      </c>
      <c r="B11" s="144" t="s">
        <v>348</v>
      </c>
      <c r="C11" s="144" t="s">
        <v>351</v>
      </c>
      <c r="D11" s="144" t="s">
        <v>352</v>
      </c>
      <c r="E11" s="144" t="s">
        <v>341</v>
      </c>
    </row>
    <row r="12" spans="1:5" x14ac:dyDescent="0.35">
      <c r="A12" s="144">
        <v>11</v>
      </c>
      <c r="B12" s="144" t="s">
        <v>348</v>
      </c>
      <c r="C12" s="144" t="s">
        <v>354</v>
      </c>
      <c r="D12" s="144" t="s">
        <v>353</v>
      </c>
      <c r="E12" s="144" t="s">
        <v>341</v>
      </c>
    </row>
    <row r="13" spans="1:5" x14ac:dyDescent="0.35">
      <c r="A13" s="144">
        <v>12</v>
      </c>
      <c r="B13" s="144" t="s">
        <v>348</v>
      </c>
      <c r="C13" s="144" t="s">
        <v>355</v>
      </c>
      <c r="D13" s="144"/>
      <c r="E13" s="144">
        <v>0</v>
      </c>
    </row>
    <row r="14" spans="1:5" x14ac:dyDescent="0.35">
      <c r="A14" s="144">
        <v>13</v>
      </c>
      <c r="B14" s="144" t="s">
        <v>348</v>
      </c>
      <c r="C14" s="144" t="s">
        <v>359</v>
      </c>
      <c r="D14" s="144" t="s">
        <v>360</v>
      </c>
      <c r="E14" s="144" t="s">
        <v>357</v>
      </c>
    </row>
    <row r="15" spans="1:5" x14ac:dyDescent="0.35">
      <c r="A15" s="144">
        <v>14</v>
      </c>
      <c r="B15" s="144" t="s">
        <v>348</v>
      </c>
      <c r="C15" s="144" t="s">
        <v>361</v>
      </c>
      <c r="D15" s="144" t="s">
        <v>362</v>
      </c>
      <c r="E15" s="144">
        <v>0</v>
      </c>
    </row>
    <row r="16" spans="1:5" x14ac:dyDescent="0.35">
      <c r="A16" s="259">
        <v>15</v>
      </c>
      <c r="B16" s="259" t="s">
        <v>348</v>
      </c>
      <c r="C16" s="259" t="s">
        <v>363</v>
      </c>
      <c r="D16" s="259"/>
      <c r="E16" s="259" t="s">
        <v>358</v>
      </c>
    </row>
    <row r="17" spans="1:1" x14ac:dyDescent="0.35">
      <c r="A17" s="144">
        <v>16</v>
      </c>
    </row>
    <row r="18" spans="1:1" x14ac:dyDescent="0.35">
      <c r="A18" s="144">
        <v>17</v>
      </c>
    </row>
    <row r="19" spans="1:1" x14ac:dyDescent="0.35">
      <c r="A19" s="144">
        <v>18</v>
      </c>
    </row>
    <row r="20" spans="1:1" x14ac:dyDescent="0.35">
      <c r="A20" s="144">
        <v>19</v>
      </c>
    </row>
    <row r="21" spans="1:1" x14ac:dyDescent="0.35">
      <c r="A21" s="144">
        <v>20</v>
      </c>
    </row>
    <row r="22" spans="1:1" x14ac:dyDescent="0.35">
      <c r="A22" s="144">
        <v>21</v>
      </c>
    </row>
    <row r="23" spans="1:1" x14ac:dyDescent="0.35">
      <c r="A23" s="144">
        <v>22</v>
      </c>
    </row>
    <row r="24" spans="1:1" x14ac:dyDescent="0.35">
      <c r="A24" s="144">
        <v>23</v>
      </c>
    </row>
    <row r="25" spans="1:1" x14ac:dyDescent="0.35">
      <c r="A25" s="144">
        <v>24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4.5" x14ac:dyDescent="0.35"/>
  <cols>
    <col min="1" max="1" width="71.54296875" style="177" customWidth="1"/>
    <col min="2" max="2" width="64" style="198" bestFit="1" customWidth="1"/>
    <col min="3" max="3" width="33.54296875" style="198" bestFit="1" customWidth="1"/>
  </cols>
  <sheetData>
    <row r="1" spans="1:3" ht="43.5" x14ac:dyDescent="0.35">
      <c r="A1" s="177" t="s">
        <v>364</v>
      </c>
    </row>
    <row r="2" spans="1:3" ht="29" x14ac:dyDescent="0.35">
      <c r="A2" s="177" t="s">
        <v>366</v>
      </c>
    </row>
    <row r="3" spans="1:3" x14ac:dyDescent="0.35">
      <c r="A3" s="177" t="s">
        <v>365</v>
      </c>
    </row>
    <row r="6" spans="1:3" x14ac:dyDescent="0.35">
      <c r="B6" s="198" t="s">
        <v>367</v>
      </c>
    </row>
    <row r="7" spans="1:3" x14ac:dyDescent="0.35">
      <c r="A7" s="177" t="s">
        <v>375</v>
      </c>
      <c r="B7" s="198" t="s">
        <v>368</v>
      </c>
      <c r="C7" s="260" t="s">
        <v>381</v>
      </c>
    </row>
    <row r="8" spans="1:3" x14ac:dyDescent="0.35">
      <c r="A8" s="177" t="s">
        <v>376</v>
      </c>
      <c r="B8" s="198" t="s">
        <v>369</v>
      </c>
      <c r="C8" s="260" t="s">
        <v>382</v>
      </c>
    </row>
    <row r="9" spans="1:3" x14ac:dyDescent="0.35">
      <c r="A9" s="177" t="s">
        <v>293</v>
      </c>
      <c r="B9" s="198" t="s">
        <v>370</v>
      </c>
      <c r="C9" s="260" t="s">
        <v>383</v>
      </c>
    </row>
    <row r="10" spans="1:3" x14ac:dyDescent="0.35">
      <c r="A10" s="177" t="s">
        <v>377</v>
      </c>
      <c r="B10" s="198" t="s">
        <v>371</v>
      </c>
      <c r="C10" s="260" t="s">
        <v>384</v>
      </c>
    </row>
    <row r="11" spans="1:3" x14ac:dyDescent="0.35">
      <c r="A11" s="177" t="s">
        <v>378</v>
      </c>
      <c r="B11" s="198" t="s">
        <v>372</v>
      </c>
      <c r="C11" s="260" t="s">
        <v>385</v>
      </c>
    </row>
    <row r="12" spans="1:3" x14ac:dyDescent="0.35">
      <c r="A12" s="177" t="s">
        <v>379</v>
      </c>
      <c r="B12" s="198" t="s">
        <v>373</v>
      </c>
      <c r="C12" s="260" t="s">
        <v>386</v>
      </c>
    </row>
    <row r="13" spans="1:3" x14ac:dyDescent="0.35">
      <c r="A13" s="177" t="s">
        <v>380</v>
      </c>
      <c r="B13" s="198" t="s">
        <v>374</v>
      </c>
      <c r="C13" s="260" t="s">
        <v>387</v>
      </c>
    </row>
    <row r="17" spans="1:1" ht="21" x14ac:dyDescent="0.5">
      <c r="A17" s="261" t="s">
        <v>375</v>
      </c>
    </row>
    <row r="58" spans="1:1" ht="21" x14ac:dyDescent="0.5">
      <c r="A58" s="261" t="s">
        <v>376</v>
      </c>
    </row>
    <row r="98" spans="1:1" ht="21" x14ac:dyDescent="0.5">
      <c r="A98" s="261" t="s">
        <v>293</v>
      </c>
    </row>
    <row r="137" spans="1:1" ht="21" x14ac:dyDescent="0.5">
      <c r="A137" s="261" t="s">
        <v>377</v>
      </c>
    </row>
    <row r="177" spans="1:1" ht="21" x14ac:dyDescent="0.5">
      <c r="A177" s="261" t="s">
        <v>378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4.5" x14ac:dyDescent="0.35"/>
  <cols>
    <col min="1" max="1" width="71.54296875" style="177" customWidth="1"/>
    <col min="2" max="2" width="81.26953125" style="198" bestFit="1" customWidth="1"/>
    <col min="3" max="3" width="19.54296875" style="198" bestFit="1" customWidth="1"/>
    <col min="4" max="6" width="20" bestFit="1" customWidth="1"/>
  </cols>
  <sheetData>
    <row r="1" spans="1:39" ht="43.5" x14ac:dyDescent="0.35">
      <c r="A1" s="177" t="s">
        <v>364</v>
      </c>
    </row>
    <row r="2" spans="1:39" ht="29" x14ac:dyDescent="0.35">
      <c r="A2" s="177" t="s">
        <v>366</v>
      </c>
    </row>
    <row r="3" spans="1:39" x14ac:dyDescent="0.35">
      <c r="A3" s="177" t="s">
        <v>365</v>
      </c>
    </row>
    <row r="6" spans="1:39" x14ac:dyDescent="0.35">
      <c r="B6" s="198" t="s">
        <v>395</v>
      </c>
    </row>
    <row r="7" spans="1:39" x14ac:dyDescent="0.3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35">
      <c r="A8" s="177" t="s">
        <v>376</v>
      </c>
      <c r="B8" s="198" t="s">
        <v>446</v>
      </c>
      <c r="C8" s="198" t="s">
        <v>391</v>
      </c>
      <c r="D8" s="198" t="s">
        <v>392</v>
      </c>
      <c r="E8" s="69" t="s">
        <v>393</v>
      </c>
      <c r="F8" t="s">
        <v>434</v>
      </c>
    </row>
    <row r="9" spans="1:39" x14ac:dyDescent="0.35">
      <c r="A9" s="177" t="s">
        <v>293</v>
      </c>
      <c r="B9" s="198" t="s">
        <v>447</v>
      </c>
      <c r="C9" s="262" t="s">
        <v>388</v>
      </c>
      <c r="D9" s="198"/>
    </row>
    <row r="10" spans="1:39" x14ac:dyDescent="0.35">
      <c r="A10" s="177" t="s">
        <v>377</v>
      </c>
      <c r="B10" s="198" t="s">
        <v>448</v>
      </c>
      <c r="D10" s="198"/>
    </row>
    <row r="11" spans="1:39" x14ac:dyDescent="0.35">
      <c r="A11" s="177" t="s">
        <v>378</v>
      </c>
      <c r="B11" s="198" t="s">
        <v>449</v>
      </c>
      <c r="C11" s="262" t="s">
        <v>394</v>
      </c>
      <c r="D11" s="262" t="s">
        <v>435</v>
      </c>
      <c r="E11" t="s">
        <v>400</v>
      </c>
      <c r="F11" t="s">
        <v>397</v>
      </c>
      <c r="G11" t="s">
        <v>436</v>
      </c>
    </row>
    <row r="12" spans="1:39" x14ac:dyDescent="0.35">
      <c r="A12" s="177" t="s">
        <v>379</v>
      </c>
      <c r="B12" s="198" t="s">
        <v>450</v>
      </c>
      <c r="C12" s="198" t="s">
        <v>444</v>
      </c>
      <c r="D12" s="198" t="s">
        <v>437</v>
      </c>
      <c r="E12" t="s">
        <v>438</v>
      </c>
      <c r="F12" t="s">
        <v>398</v>
      </c>
      <c r="G12" t="s">
        <v>439</v>
      </c>
      <c r="H12" t="s">
        <v>440</v>
      </c>
      <c r="I12" t="s">
        <v>441</v>
      </c>
      <c r="J12" t="s">
        <v>442</v>
      </c>
      <c r="K12" t="s">
        <v>401</v>
      </c>
    </row>
    <row r="13" spans="1:39" x14ac:dyDescent="0.35">
      <c r="A13" s="177" t="s">
        <v>380</v>
      </c>
      <c r="B13" s="198" t="s">
        <v>451</v>
      </c>
    </row>
    <row r="15" spans="1:39" ht="21" x14ac:dyDescent="0.5">
      <c r="A15" s="261" t="s">
        <v>375</v>
      </c>
    </row>
    <row r="50" spans="1:1" ht="21" x14ac:dyDescent="0.5">
      <c r="A50" s="261" t="s">
        <v>376</v>
      </c>
    </row>
    <row r="57" spans="1:1" ht="21" x14ac:dyDescent="0.5">
      <c r="A57" s="261"/>
    </row>
    <row r="84" spans="1:1" ht="21" x14ac:dyDescent="0.5">
      <c r="A84" s="261"/>
    </row>
    <row r="85" spans="1:1" ht="21" x14ac:dyDescent="0.5">
      <c r="A85" s="261" t="s">
        <v>293</v>
      </c>
    </row>
    <row r="97" spans="1:5" s="198" customFormat="1" ht="21" x14ac:dyDescent="0.5">
      <c r="A97" s="261"/>
      <c r="D97"/>
      <c r="E97"/>
    </row>
    <row r="119" spans="1:1" ht="21" x14ac:dyDescent="0.5">
      <c r="A119" s="261" t="s">
        <v>377</v>
      </c>
    </row>
    <row r="120" spans="1:1" x14ac:dyDescent="0.35">
      <c r="A120" s="177" t="s">
        <v>72</v>
      </c>
    </row>
    <row r="122" spans="1:1" ht="21" x14ac:dyDescent="0.5">
      <c r="A122" s="261" t="s">
        <v>378</v>
      </c>
    </row>
    <row r="136" spans="1:5" s="198" customFormat="1" ht="21" x14ac:dyDescent="0.5">
      <c r="A136" s="261"/>
      <c r="D136"/>
      <c r="E136"/>
    </row>
    <row r="176" spans="1:5" s="198" customFormat="1" ht="21" x14ac:dyDescent="0.5">
      <c r="A176" s="261"/>
      <c r="D176"/>
      <c r="E17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ColWidth="9.1796875" defaultRowHeight="14.5" x14ac:dyDescent="0.35"/>
  <cols>
    <col min="1" max="1" width="10.7265625" style="249" bestFit="1" customWidth="1"/>
    <col min="2" max="2" width="183.26953125" style="249" customWidth="1"/>
    <col min="3" max="3" width="70.81640625" style="249" customWidth="1"/>
    <col min="4" max="16384" width="9.1796875" style="249"/>
  </cols>
  <sheetData>
    <row r="1" spans="1:3" s="264" customFormat="1" x14ac:dyDescent="0.35">
      <c r="A1" s="264" t="s">
        <v>452</v>
      </c>
      <c r="B1" s="264" t="s">
        <v>453</v>
      </c>
      <c r="C1" s="264" t="s">
        <v>455</v>
      </c>
    </row>
    <row r="2" spans="1:3" ht="246.5" x14ac:dyDescent="0.35">
      <c r="A2" s="263">
        <v>45939</v>
      </c>
      <c r="B2" s="144" t="s">
        <v>454</v>
      </c>
      <c r="C2" s="249" t="s">
        <v>456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ColWidth="9.1796875" defaultRowHeight="14.5" x14ac:dyDescent="0.35"/>
  <cols>
    <col min="1" max="1" width="25.81640625" style="177" customWidth="1"/>
    <col min="2" max="2" width="11.453125" style="177" customWidth="1"/>
    <col min="3" max="3" width="9.1796875" style="177"/>
    <col min="4" max="4" width="10.54296875" style="224" bestFit="1" customWidth="1"/>
    <col min="5" max="5" width="9.1796875" style="177"/>
    <col min="6" max="6" width="11.7265625" style="213" customWidth="1"/>
    <col min="7" max="7" width="13.81640625" style="213" customWidth="1"/>
    <col min="8" max="8" width="11.54296875" style="231" bestFit="1" customWidth="1"/>
    <col min="9" max="9" width="11.54296875" style="231" customWidth="1"/>
    <col min="10" max="10" width="11.54296875" style="217" customWidth="1"/>
    <col min="11" max="16384" width="9.1796875" style="177"/>
  </cols>
  <sheetData>
    <row r="1" spans="1:11" s="198" customFormat="1" x14ac:dyDescent="0.35">
      <c r="A1" s="198" t="s">
        <v>261</v>
      </c>
      <c r="D1" s="223"/>
      <c r="F1" s="212"/>
      <c r="G1" s="212"/>
      <c r="H1" s="230"/>
      <c r="I1" s="230"/>
      <c r="J1" s="216"/>
    </row>
    <row r="2" spans="1:11" s="198" customFormat="1" x14ac:dyDescent="0.35">
      <c r="A2" s="198" t="s">
        <v>280</v>
      </c>
      <c r="D2" s="223"/>
      <c r="F2" s="212"/>
      <c r="G2" s="212"/>
      <c r="H2" s="230"/>
      <c r="I2" s="230"/>
      <c r="J2" s="216"/>
    </row>
    <row r="4" spans="1:11" s="198" customFormat="1" x14ac:dyDescent="0.35">
      <c r="B4" s="198" t="s">
        <v>283</v>
      </c>
      <c r="D4" s="223"/>
      <c r="F4" s="212"/>
      <c r="G4" s="212"/>
      <c r="H4" s="230"/>
      <c r="I4" s="230"/>
      <c r="J4" s="216"/>
    </row>
    <row r="5" spans="1:11" ht="15" thickBot="1" x14ac:dyDescent="0.4">
      <c r="B5" s="198" t="s">
        <v>284</v>
      </c>
    </row>
    <row r="6" spans="1:11" x14ac:dyDescent="0.35">
      <c r="B6" s="343" t="s">
        <v>281</v>
      </c>
      <c r="C6" s="344"/>
      <c r="D6" s="344"/>
      <c r="E6" s="211"/>
      <c r="F6" s="345" t="s">
        <v>282</v>
      </c>
      <c r="G6" s="345"/>
      <c r="H6" s="345"/>
      <c r="I6" s="345"/>
      <c r="J6" s="345"/>
      <c r="K6" s="208"/>
    </row>
    <row r="7" spans="1:11" x14ac:dyDescent="0.35">
      <c r="B7" s="341" t="s">
        <v>269</v>
      </c>
      <c r="C7" s="342"/>
      <c r="D7" s="342"/>
      <c r="E7" s="209"/>
      <c r="F7" s="340" t="s">
        <v>269</v>
      </c>
      <c r="G7" s="340"/>
      <c r="H7" s="340"/>
      <c r="I7" s="340"/>
      <c r="J7" s="340"/>
      <c r="K7" s="201"/>
    </row>
    <row r="8" spans="1:11" s="144" customFormat="1" ht="15" thickBot="1" x14ac:dyDescent="0.4">
      <c r="B8" s="337" t="s">
        <v>285</v>
      </c>
      <c r="C8" s="338"/>
      <c r="D8" s="225" t="s">
        <v>272</v>
      </c>
      <c r="E8" s="210"/>
      <c r="F8" s="339" t="s">
        <v>285</v>
      </c>
      <c r="G8" s="339"/>
      <c r="H8" s="232" t="s">
        <v>272</v>
      </c>
      <c r="I8" s="232" t="s">
        <v>287</v>
      </c>
      <c r="J8" s="218" t="s">
        <v>279</v>
      </c>
      <c r="K8" s="237"/>
    </row>
    <row r="9" spans="1:11" ht="15" customHeight="1" thickTop="1" x14ac:dyDescent="0.35">
      <c r="B9" s="199" t="s">
        <v>270</v>
      </c>
      <c r="C9" s="200"/>
      <c r="D9" s="226"/>
      <c r="E9" s="201" t="s">
        <v>270</v>
      </c>
      <c r="F9" s="214"/>
      <c r="G9" s="214"/>
      <c r="H9" s="233" t="s">
        <v>270</v>
      </c>
      <c r="I9" s="233"/>
      <c r="J9" s="219"/>
      <c r="K9" s="201"/>
    </row>
    <row r="10" spans="1:11" ht="15" customHeight="1" x14ac:dyDescent="0.35">
      <c r="B10" s="199" t="s">
        <v>271</v>
      </c>
      <c r="C10" s="200"/>
      <c r="D10" s="226"/>
      <c r="E10" s="201" t="s">
        <v>271</v>
      </c>
      <c r="F10" s="214"/>
      <c r="G10" s="214"/>
      <c r="H10" s="233" t="s">
        <v>271</v>
      </c>
      <c r="I10" s="233"/>
      <c r="J10" s="219"/>
      <c r="K10" s="201"/>
    </row>
    <row r="11" spans="1:11" ht="15" customHeight="1" x14ac:dyDescent="0.35">
      <c r="B11" s="199" t="s">
        <v>262</v>
      </c>
      <c r="C11" s="200" t="s">
        <v>263</v>
      </c>
      <c r="D11" s="226">
        <v>85372.449299999993</v>
      </c>
      <c r="E11" s="201"/>
      <c r="F11" s="214" t="s">
        <v>262</v>
      </c>
      <c r="G11" s="214" t="s">
        <v>263</v>
      </c>
      <c r="H11" s="233">
        <v>85372.449299999993</v>
      </c>
      <c r="I11" s="233">
        <f>(H11-D11)</f>
        <v>0</v>
      </c>
      <c r="J11" s="219">
        <f>I11/D11*100</f>
        <v>0</v>
      </c>
      <c r="K11" s="201"/>
    </row>
    <row r="12" spans="1:11" x14ac:dyDescent="0.3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35">
      <c r="B13" s="199" t="s">
        <v>264</v>
      </c>
      <c r="C13" s="200" t="s">
        <v>263</v>
      </c>
      <c r="D13" s="226">
        <v>0</v>
      </c>
      <c r="E13" s="201"/>
      <c r="F13" s="214" t="s">
        <v>264</v>
      </c>
      <c r="G13" s="214" t="s">
        <v>263</v>
      </c>
      <c r="H13" s="233">
        <v>0</v>
      </c>
      <c r="I13" s="233">
        <f t="shared" si="0"/>
        <v>0</v>
      </c>
      <c r="J13" s="219" t="e">
        <f t="shared" si="1"/>
        <v>#DIV/0!</v>
      </c>
      <c r="K13" s="201"/>
    </row>
    <row r="14" spans="1:11" x14ac:dyDescent="0.35">
      <c r="B14" s="199" t="s">
        <v>265</v>
      </c>
      <c r="C14" s="200" t="s">
        <v>263</v>
      </c>
      <c r="D14" s="226">
        <v>0</v>
      </c>
      <c r="E14" s="201"/>
      <c r="F14" s="214" t="s">
        <v>265</v>
      </c>
      <c r="G14" s="214" t="s">
        <v>263</v>
      </c>
      <c r="H14" s="233">
        <v>0</v>
      </c>
      <c r="I14" s="233">
        <f t="shared" si="0"/>
        <v>0</v>
      </c>
      <c r="J14" s="219" t="e">
        <f t="shared" si="1"/>
        <v>#DIV/0!</v>
      </c>
      <c r="K14" s="201"/>
    </row>
    <row r="15" spans="1:11" ht="15" customHeight="1" x14ac:dyDescent="0.3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3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3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35">
      <c r="B18" s="199"/>
      <c r="C18" s="200"/>
      <c r="D18" s="226"/>
      <c r="E18" s="201"/>
      <c r="F18" s="214" t="s">
        <v>268</v>
      </c>
      <c r="G18" s="214" t="s">
        <v>263</v>
      </c>
      <c r="H18" s="233">
        <v>0</v>
      </c>
      <c r="I18" s="233"/>
      <c r="J18" s="219"/>
      <c r="K18" s="201"/>
    </row>
    <row r="19" spans="2:11" ht="15" customHeight="1" x14ac:dyDescent="0.35">
      <c r="B19" s="199"/>
      <c r="C19" s="200"/>
      <c r="D19" s="226"/>
      <c r="E19" s="201"/>
      <c r="F19" s="214"/>
      <c r="G19" s="214"/>
      <c r="H19" s="233"/>
      <c r="I19" s="233"/>
      <c r="J19" s="219"/>
      <c r="K19" s="201"/>
    </row>
    <row r="20" spans="2:11" x14ac:dyDescent="0.3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35">
      <c r="B21" s="199" t="s">
        <v>273</v>
      </c>
      <c r="C21" s="200" t="s">
        <v>273</v>
      </c>
      <c r="D21" s="226"/>
      <c r="E21" s="201"/>
      <c r="F21" s="214" t="s">
        <v>273</v>
      </c>
      <c r="G21" s="214" t="s">
        <v>273</v>
      </c>
      <c r="H21" s="233"/>
      <c r="I21" s="233"/>
      <c r="J21" s="219"/>
      <c r="K21" s="201"/>
    </row>
    <row r="22" spans="2:11" x14ac:dyDescent="0.35">
      <c r="B22" s="199" t="s">
        <v>274</v>
      </c>
      <c r="C22" s="200" t="s">
        <v>274</v>
      </c>
      <c r="D22" s="226"/>
      <c r="E22" s="201"/>
      <c r="F22" s="214" t="s">
        <v>274</v>
      </c>
      <c r="G22" s="214" t="s">
        <v>274</v>
      </c>
      <c r="H22" s="233"/>
      <c r="I22" s="233"/>
      <c r="J22" s="219"/>
      <c r="K22" s="201"/>
    </row>
    <row r="23" spans="2:11" x14ac:dyDescent="0.3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3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35">
      <c r="B25" s="199" t="s">
        <v>264</v>
      </c>
      <c r="C25" s="200" t="s">
        <v>263</v>
      </c>
      <c r="D25" s="226">
        <v>3355.8359</v>
      </c>
      <c r="E25" s="201"/>
      <c r="F25" s="214" t="s">
        <v>264</v>
      </c>
      <c r="G25" s="214" t="s">
        <v>263</v>
      </c>
      <c r="H25" s="233">
        <v>3355.8359</v>
      </c>
      <c r="I25" s="233">
        <f t="shared" si="0"/>
        <v>0</v>
      </c>
      <c r="J25" s="219">
        <f t="shared" si="1"/>
        <v>0</v>
      </c>
      <c r="K25" s="201"/>
    </row>
    <row r="26" spans="2:11" x14ac:dyDescent="0.3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3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3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35">
      <c r="B29" s="199" t="s">
        <v>211</v>
      </c>
      <c r="C29" s="200" t="s">
        <v>263</v>
      </c>
      <c r="D29" s="226">
        <v>69409.986699999994</v>
      </c>
      <c r="E29" s="201"/>
      <c r="F29" s="214" t="s">
        <v>211</v>
      </c>
      <c r="G29" s="214" t="s">
        <v>263</v>
      </c>
      <c r="H29" s="233">
        <v>69409.986699999994</v>
      </c>
      <c r="I29" s="233"/>
      <c r="J29" s="219"/>
      <c r="K29" s="201"/>
    </row>
    <row r="30" spans="2:11" x14ac:dyDescent="0.35">
      <c r="B30" s="199"/>
      <c r="C30" s="200"/>
      <c r="D30" s="226"/>
      <c r="E30" s="201"/>
      <c r="F30" s="214" t="s">
        <v>268</v>
      </c>
      <c r="G30" s="214" t="s">
        <v>263</v>
      </c>
      <c r="H30" s="233">
        <v>0</v>
      </c>
      <c r="I30" s="233"/>
      <c r="J30" s="219"/>
      <c r="K30" s="201"/>
    </row>
    <row r="31" spans="2:11" x14ac:dyDescent="0.35">
      <c r="B31" s="199"/>
      <c r="C31" s="200"/>
      <c r="D31" s="226"/>
      <c r="E31" s="201"/>
      <c r="F31" s="214"/>
      <c r="G31" s="214"/>
      <c r="H31" s="233"/>
      <c r="I31" s="233"/>
      <c r="J31" s="219"/>
      <c r="K31" s="201"/>
    </row>
    <row r="32" spans="2:11" ht="15" thickBot="1" x14ac:dyDescent="0.4">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35">
      <c r="B33" s="200"/>
      <c r="C33" s="200"/>
      <c r="D33" s="226"/>
      <c r="E33" s="200"/>
      <c r="F33" s="214"/>
      <c r="G33" s="214"/>
      <c r="H33" s="233"/>
      <c r="I33" s="233"/>
      <c r="J33" s="219"/>
    </row>
    <row r="34" spans="1:10" x14ac:dyDescent="0.35">
      <c r="B34" s="200"/>
      <c r="C34" s="200"/>
      <c r="D34" s="226"/>
      <c r="E34" s="200"/>
      <c r="F34" s="214"/>
      <c r="G34" s="214"/>
      <c r="H34" s="233"/>
      <c r="I34" s="233"/>
      <c r="J34" s="219"/>
    </row>
    <row r="35" spans="1:10" ht="21" x14ac:dyDescent="0.5">
      <c r="A35" s="238" t="s">
        <v>288</v>
      </c>
      <c r="B35" s="200"/>
      <c r="C35" s="200"/>
      <c r="D35" s="226"/>
      <c r="E35" s="200"/>
      <c r="F35" s="214"/>
      <c r="G35" s="214"/>
      <c r="H35" s="233"/>
      <c r="I35" s="233"/>
      <c r="J35" s="219"/>
    </row>
    <row r="36" spans="1:10" x14ac:dyDescent="0.35">
      <c r="B36" s="200"/>
      <c r="C36" s="200"/>
      <c r="D36" s="226"/>
      <c r="E36" s="200"/>
      <c r="F36" s="214"/>
      <c r="G36" s="214"/>
      <c r="H36" s="233"/>
      <c r="I36" s="233"/>
      <c r="J36" s="219"/>
    </row>
    <row r="37" spans="1:10" x14ac:dyDescent="0.35">
      <c r="B37" s="200"/>
      <c r="C37" s="200"/>
      <c r="D37" s="226"/>
      <c r="E37" s="200"/>
      <c r="F37" s="214"/>
      <c r="G37" s="214"/>
      <c r="H37" s="233"/>
      <c r="I37" s="233"/>
      <c r="J37" s="219"/>
    </row>
    <row r="38" spans="1:10" x14ac:dyDescent="0.35">
      <c r="B38" s="200"/>
      <c r="C38" s="200"/>
      <c r="D38" s="226"/>
      <c r="E38" s="200"/>
      <c r="F38" s="214"/>
      <c r="G38" s="214"/>
      <c r="H38" s="233"/>
      <c r="I38" s="233"/>
      <c r="J38" s="219"/>
    </row>
    <row r="39" spans="1:10" x14ac:dyDescent="0.35">
      <c r="B39" s="200"/>
      <c r="C39" s="200"/>
      <c r="D39" s="226"/>
      <c r="E39" s="200"/>
      <c r="F39" s="214"/>
      <c r="G39" s="214"/>
      <c r="H39" s="233"/>
      <c r="I39" s="233"/>
      <c r="J39" s="219"/>
    </row>
    <row r="40" spans="1:10" x14ac:dyDescent="0.35">
      <c r="B40" s="200"/>
      <c r="C40" s="200"/>
      <c r="D40" s="226"/>
      <c r="E40" s="200"/>
      <c r="F40" s="214"/>
      <c r="G40" s="214"/>
      <c r="H40" s="233"/>
      <c r="I40" s="233"/>
      <c r="J40" s="219"/>
    </row>
    <row r="41" spans="1:10" x14ac:dyDescent="0.35">
      <c r="B41" s="200"/>
      <c r="C41" s="200"/>
      <c r="D41" s="226"/>
      <c r="E41" s="200"/>
      <c r="F41" s="214"/>
      <c r="G41" s="214"/>
      <c r="H41" s="233"/>
      <c r="I41" s="233"/>
      <c r="J41" s="219"/>
    </row>
    <row r="42" spans="1:10" x14ac:dyDescent="0.35">
      <c r="B42" s="200"/>
      <c r="C42" s="200"/>
      <c r="D42" s="226"/>
      <c r="E42" s="200"/>
      <c r="F42" s="214"/>
      <c r="G42" s="214"/>
      <c r="H42" s="233"/>
      <c r="I42" s="233"/>
      <c r="J42" s="219"/>
    </row>
    <row r="43" spans="1:10" x14ac:dyDescent="0.35">
      <c r="B43" s="200"/>
      <c r="C43" s="200"/>
      <c r="D43" s="226"/>
      <c r="E43" s="200"/>
      <c r="F43" s="214"/>
      <c r="G43" s="214"/>
      <c r="H43" s="233"/>
      <c r="I43" s="233"/>
      <c r="J43" s="219"/>
    </row>
    <row r="44" spans="1:10" x14ac:dyDescent="0.35">
      <c r="B44" s="200"/>
      <c r="C44" s="200"/>
      <c r="D44" s="226"/>
      <c r="E44" s="200"/>
      <c r="F44" s="214"/>
      <c r="G44" s="214"/>
      <c r="H44" s="233"/>
      <c r="I44" s="233"/>
      <c r="J44" s="219"/>
    </row>
    <row r="45" spans="1:10" x14ac:dyDescent="0.35">
      <c r="B45" s="200"/>
      <c r="C45" s="200"/>
      <c r="D45" s="226"/>
      <c r="E45" s="200"/>
      <c r="F45" s="214"/>
      <c r="G45" s="214"/>
      <c r="H45" s="233"/>
      <c r="I45" s="233"/>
      <c r="J45" s="219"/>
    </row>
    <row r="46" spans="1:10" x14ac:dyDescent="0.35">
      <c r="B46" s="200"/>
      <c r="C46" s="200"/>
      <c r="D46" s="226"/>
      <c r="E46" s="200"/>
      <c r="F46" s="214"/>
      <c r="G46" s="214"/>
      <c r="H46" s="233"/>
      <c r="I46" s="233"/>
      <c r="J46" s="219"/>
    </row>
    <row r="47" spans="1:10" x14ac:dyDescent="0.35">
      <c r="B47" s="200"/>
      <c r="C47" s="200"/>
      <c r="D47" s="226"/>
      <c r="E47" s="200"/>
      <c r="F47" s="214"/>
      <c r="G47" s="214"/>
      <c r="H47" s="233"/>
      <c r="I47" s="233"/>
      <c r="J47" s="219"/>
    </row>
    <row r="48" spans="1:10" x14ac:dyDescent="0.35">
      <c r="B48" s="200"/>
      <c r="C48" s="200"/>
      <c r="D48" s="226"/>
      <c r="E48" s="200"/>
      <c r="F48" s="214"/>
      <c r="G48" s="214"/>
      <c r="H48" s="233"/>
      <c r="I48" s="233"/>
      <c r="J48" s="219"/>
    </row>
    <row r="49" spans="2:10" x14ac:dyDescent="0.35">
      <c r="B49" s="200"/>
      <c r="C49" s="200"/>
      <c r="D49" s="226"/>
      <c r="E49" s="200"/>
      <c r="F49" s="214"/>
      <c r="G49" s="214"/>
      <c r="H49" s="233"/>
      <c r="I49" s="233"/>
      <c r="J49" s="219"/>
    </row>
    <row r="50" spans="2:10" x14ac:dyDescent="0.35">
      <c r="B50" s="200"/>
      <c r="C50" s="200"/>
      <c r="D50" s="226"/>
      <c r="E50" s="200"/>
      <c r="F50" s="214"/>
      <c r="G50" s="214"/>
      <c r="H50" s="233"/>
      <c r="I50" s="233"/>
      <c r="J50" s="219"/>
    </row>
    <row r="51" spans="2:10" x14ac:dyDescent="0.35">
      <c r="B51" s="200"/>
      <c r="C51" s="200"/>
      <c r="D51" s="226"/>
      <c r="E51" s="200"/>
      <c r="F51" s="214"/>
      <c r="G51" s="214"/>
      <c r="H51" s="233"/>
      <c r="I51" s="233"/>
      <c r="J51" s="219"/>
    </row>
    <row r="52" spans="2:10" x14ac:dyDescent="0.35">
      <c r="B52" s="200"/>
      <c r="C52" s="200"/>
      <c r="D52" s="226"/>
      <c r="E52" s="200"/>
      <c r="F52" s="214"/>
      <c r="G52" s="214"/>
      <c r="H52" s="233"/>
      <c r="I52" s="233"/>
      <c r="J52" s="219"/>
    </row>
    <row r="53" spans="2:10" x14ac:dyDescent="0.35">
      <c r="B53" s="200"/>
      <c r="C53" s="200"/>
      <c r="D53" s="226"/>
      <c r="E53" s="200"/>
      <c r="F53" s="214"/>
      <c r="G53" s="214"/>
      <c r="H53" s="233"/>
      <c r="I53" s="233"/>
      <c r="J53" s="219"/>
    </row>
    <row r="54" spans="2:10" x14ac:dyDescent="0.35">
      <c r="B54" s="200"/>
      <c r="C54" s="200"/>
      <c r="D54" s="226"/>
      <c r="E54" s="200"/>
      <c r="F54" s="214"/>
      <c r="G54" s="214"/>
      <c r="H54" s="233"/>
      <c r="I54" s="233"/>
      <c r="J54" s="219"/>
    </row>
    <row r="55" spans="2:10" x14ac:dyDescent="0.35">
      <c r="B55" s="200"/>
      <c r="C55" s="200"/>
      <c r="D55" s="226"/>
      <c r="E55" s="200"/>
      <c r="F55" s="214"/>
      <c r="G55" s="214"/>
      <c r="H55" s="233"/>
      <c r="I55" s="233"/>
      <c r="J55" s="219"/>
    </row>
    <row r="56" spans="2:10" x14ac:dyDescent="0.35">
      <c r="B56" s="200"/>
      <c r="C56" s="200"/>
      <c r="D56" s="226"/>
      <c r="E56" s="200"/>
      <c r="F56" s="214"/>
      <c r="G56" s="214"/>
      <c r="H56" s="233"/>
      <c r="I56" s="233"/>
      <c r="J56" s="219"/>
    </row>
    <row r="57" spans="2:10" x14ac:dyDescent="0.35">
      <c r="B57" s="200"/>
      <c r="C57" s="200"/>
      <c r="D57" s="226"/>
      <c r="E57" s="200"/>
      <c r="F57" s="214"/>
      <c r="G57" s="214"/>
      <c r="H57" s="233"/>
      <c r="I57" s="233"/>
      <c r="J57" s="219"/>
    </row>
    <row r="58" spans="2:10" x14ac:dyDescent="0.35">
      <c r="B58" s="200"/>
      <c r="C58" s="200"/>
      <c r="D58" s="226"/>
      <c r="E58" s="200"/>
      <c r="F58" s="214"/>
      <c r="G58" s="214"/>
      <c r="H58" s="233"/>
      <c r="I58" s="233"/>
      <c r="J58" s="219"/>
    </row>
    <row r="59" spans="2:10" x14ac:dyDescent="0.35">
      <c r="B59" s="200"/>
      <c r="C59" s="200"/>
      <c r="D59" s="226"/>
    </row>
    <row r="60" spans="2:10" x14ac:dyDescent="0.35">
      <c r="B60" s="200"/>
      <c r="C60" s="200"/>
      <c r="D60" s="226"/>
    </row>
    <row r="61" spans="2:10" x14ac:dyDescent="0.35">
      <c r="B61" s="200"/>
      <c r="C61" s="200"/>
      <c r="D61" s="226"/>
    </row>
    <row r="62" spans="2:10" x14ac:dyDescent="0.35">
      <c r="B62" s="200"/>
      <c r="C62" s="200"/>
      <c r="D62" s="226"/>
    </row>
    <row r="63" spans="2:10" x14ac:dyDescent="0.35">
      <c r="B63" s="200"/>
      <c r="C63" s="200"/>
      <c r="D63" s="226"/>
    </row>
    <row r="64" spans="2:10" x14ac:dyDescent="0.35">
      <c r="B64" s="200"/>
      <c r="C64" s="200"/>
      <c r="D64" s="226"/>
    </row>
    <row r="65" spans="2:4" x14ac:dyDescent="0.35">
      <c r="B65" s="200"/>
      <c r="C65" s="200"/>
      <c r="D65" s="226"/>
    </row>
    <row r="66" spans="2:4" x14ac:dyDescent="0.35">
      <c r="B66" s="200"/>
      <c r="C66" s="200"/>
      <c r="D66" s="226"/>
    </row>
    <row r="67" spans="2:4" x14ac:dyDescent="0.35">
      <c r="B67" s="200"/>
      <c r="C67" s="200"/>
      <c r="D67" s="226"/>
    </row>
    <row r="68" spans="2:4" x14ac:dyDescent="0.35">
      <c r="B68" s="200"/>
      <c r="C68" s="200"/>
      <c r="D68" s="226"/>
    </row>
    <row r="69" spans="2:4" x14ac:dyDescent="0.35">
      <c r="B69" s="200"/>
      <c r="C69" s="200"/>
      <c r="D69" s="226"/>
    </row>
    <row r="70" spans="2:4" x14ac:dyDescent="0.35">
      <c r="B70" s="200"/>
      <c r="C70" s="200"/>
      <c r="D70" s="226"/>
    </row>
    <row r="71" spans="2:4" x14ac:dyDescent="0.35">
      <c r="B71" s="200"/>
      <c r="C71" s="200"/>
      <c r="D71" s="226"/>
    </row>
    <row r="72" spans="2:4" x14ac:dyDescent="0.35">
      <c r="B72" s="200"/>
      <c r="C72" s="200"/>
      <c r="D72" s="226"/>
    </row>
    <row r="73" spans="2:4" x14ac:dyDescent="0.35">
      <c r="B73" s="200"/>
      <c r="C73" s="200"/>
      <c r="D73" s="226"/>
    </row>
    <row r="74" spans="2:4" x14ac:dyDescent="0.35">
      <c r="B74" s="200"/>
      <c r="C74" s="200"/>
      <c r="D74" s="226"/>
    </row>
    <row r="75" spans="2:4" x14ac:dyDescent="0.35">
      <c r="B75" s="200"/>
      <c r="C75" s="200"/>
      <c r="D75" s="226"/>
    </row>
    <row r="76" spans="2:4" x14ac:dyDescent="0.35">
      <c r="B76" s="200"/>
      <c r="C76" s="200"/>
      <c r="D76" s="226"/>
    </row>
    <row r="77" spans="2:4" x14ac:dyDescent="0.35">
      <c r="B77" s="200"/>
      <c r="C77" s="200"/>
      <c r="D77" s="226"/>
    </row>
    <row r="78" spans="2:4" x14ac:dyDescent="0.35">
      <c r="B78" s="200"/>
      <c r="C78" s="200"/>
      <c r="D78" s="226"/>
    </row>
    <row r="79" spans="2:4" x14ac:dyDescent="0.35">
      <c r="B79" s="200"/>
      <c r="C79" s="200"/>
      <c r="D79" s="226"/>
    </row>
    <row r="80" spans="2:4" x14ac:dyDescent="0.35">
      <c r="B80" s="200"/>
      <c r="C80" s="200"/>
      <c r="D80" s="226"/>
    </row>
    <row r="81" spans="2:4" x14ac:dyDescent="0.35">
      <c r="B81" s="200"/>
      <c r="C81" s="200"/>
      <c r="D81" s="226"/>
    </row>
    <row r="82" spans="2:4" x14ac:dyDescent="0.35">
      <c r="B82" s="200"/>
      <c r="C82" s="200"/>
      <c r="D82" s="226"/>
    </row>
    <row r="83" spans="2:4" x14ac:dyDescent="0.35">
      <c r="B83" s="200"/>
      <c r="C83" s="200"/>
      <c r="D83" s="226"/>
    </row>
    <row r="84" spans="2:4" x14ac:dyDescent="0.35">
      <c r="B84" s="200"/>
      <c r="C84" s="200"/>
      <c r="D84" s="226"/>
    </row>
    <row r="85" spans="2:4" x14ac:dyDescent="0.35">
      <c r="B85" s="200"/>
      <c r="C85" s="200"/>
      <c r="D85" s="226"/>
    </row>
    <row r="86" spans="2:4" x14ac:dyDescent="0.35">
      <c r="B86" s="200"/>
      <c r="C86" s="200"/>
      <c r="D86" s="226"/>
    </row>
    <row r="87" spans="2:4" x14ac:dyDescent="0.35">
      <c r="B87" s="200"/>
      <c r="C87" s="200"/>
      <c r="D87" s="226"/>
    </row>
    <row r="88" spans="2:4" x14ac:dyDescent="0.35">
      <c r="B88" s="200"/>
      <c r="C88" s="200"/>
      <c r="D88" s="226"/>
    </row>
    <row r="89" spans="2:4" x14ac:dyDescent="0.35">
      <c r="B89" s="200"/>
      <c r="C89" s="200"/>
      <c r="D89" s="226"/>
    </row>
    <row r="90" spans="2:4" x14ac:dyDescent="0.35">
      <c r="B90" s="200"/>
      <c r="C90" s="200"/>
      <c r="D90" s="226"/>
    </row>
    <row r="91" spans="2:4" x14ac:dyDescent="0.35">
      <c r="B91" s="200"/>
      <c r="C91" s="200"/>
      <c r="D91" s="226"/>
    </row>
    <row r="92" spans="2:4" x14ac:dyDescent="0.35">
      <c r="B92" s="200"/>
      <c r="C92" s="200"/>
      <c r="D92" s="226"/>
    </row>
    <row r="93" spans="2:4" x14ac:dyDescent="0.35">
      <c r="B93" s="200"/>
      <c r="C93" s="200"/>
      <c r="D93" s="226"/>
    </row>
    <row r="94" spans="2:4" x14ac:dyDescent="0.35">
      <c r="B94" s="200"/>
      <c r="C94" s="200"/>
      <c r="D94" s="226"/>
    </row>
    <row r="95" spans="2:4" x14ac:dyDescent="0.35">
      <c r="B95" s="200"/>
      <c r="C95" s="200"/>
      <c r="D95" s="226"/>
    </row>
    <row r="96" spans="2:4" x14ac:dyDescent="0.35">
      <c r="B96" s="200"/>
      <c r="C96" s="200"/>
      <c r="D96" s="226"/>
    </row>
    <row r="97" spans="2:4" x14ac:dyDescent="0.35">
      <c r="B97" s="200"/>
      <c r="C97" s="200"/>
      <c r="D97" s="226"/>
    </row>
    <row r="98" spans="2:4" x14ac:dyDescent="0.35">
      <c r="B98" s="200"/>
      <c r="C98" s="200"/>
      <c r="D98" s="226"/>
    </row>
    <row r="99" spans="2:4" x14ac:dyDescent="0.35">
      <c r="B99" s="200"/>
      <c r="C99" s="200"/>
      <c r="D99" s="226"/>
    </row>
    <row r="100" spans="2:4" x14ac:dyDescent="0.35">
      <c r="B100" s="200"/>
      <c r="C100" s="200"/>
      <c r="D100" s="226"/>
    </row>
    <row r="101" spans="2:4" x14ac:dyDescent="0.35">
      <c r="B101" s="200"/>
      <c r="C101" s="200"/>
      <c r="D101" s="226"/>
    </row>
    <row r="102" spans="2:4" x14ac:dyDescent="0.35">
      <c r="B102" s="200"/>
      <c r="C102" s="200"/>
      <c r="D102" s="226"/>
    </row>
    <row r="103" spans="2:4" x14ac:dyDescent="0.35">
      <c r="B103" s="200"/>
      <c r="C103" s="200"/>
      <c r="D103" s="226"/>
    </row>
    <row r="104" spans="2:4" x14ac:dyDescent="0.35">
      <c r="B104" s="200"/>
      <c r="C104" s="200"/>
      <c r="D104" s="226"/>
    </row>
    <row r="105" spans="2:4" x14ac:dyDescent="0.35">
      <c r="B105" s="200"/>
      <c r="C105" s="200"/>
      <c r="D105" s="226"/>
    </row>
    <row r="106" spans="2:4" x14ac:dyDescent="0.35">
      <c r="B106" s="200"/>
      <c r="C106" s="200"/>
      <c r="D106" s="226"/>
    </row>
    <row r="107" spans="2:4" x14ac:dyDescent="0.35">
      <c r="B107" s="200"/>
      <c r="C107" s="200"/>
      <c r="D107" s="226"/>
    </row>
    <row r="108" spans="2:4" x14ac:dyDescent="0.35">
      <c r="B108" s="200"/>
      <c r="C108" s="200"/>
      <c r="D108" s="226"/>
    </row>
    <row r="109" spans="2:4" x14ac:dyDescent="0.35">
      <c r="B109" s="200"/>
      <c r="C109" s="200"/>
      <c r="D109" s="226"/>
    </row>
    <row r="110" spans="2:4" x14ac:dyDescent="0.35">
      <c r="B110" s="200"/>
      <c r="C110" s="200"/>
      <c r="D110" s="226"/>
    </row>
    <row r="111" spans="2:4" x14ac:dyDescent="0.35">
      <c r="B111" s="200"/>
      <c r="C111" s="200"/>
      <c r="D111" s="226"/>
    </row>
    <row r="112" spans="2:4" x14ac:dyDescent="0.35">
      <c r="B112" s="200"/>
      <c r="C112" s="200"/>
      <c r="D112" s="226"/>
    </row>
    <row r="113" spans="2:4" x14ac:dyDescent="0.35">
      <c r="B113" s="200"/>
      <c r="C113" s="200"/>
      <c r="D113" s="226"/>
    </row>
    <row r="114" spans="2:4" x14ac:dyDescent="0.35">
      <c r="B114" s="200"/>
      <c r="C114" s="200"/>
      <c r="D114" s="226"/>
    </row>
    <row r="115" spans="2:4" x14ac:dyDescent="0.35">
      <c r="B115" s="200"/>
      <c r="C115" s="200"/>
      <c r="D115" s="226"/>
    </row>
    <row r="116" spans="2:4" x14ac:dyDescent="0.35">
      <c r="B116" s="200"/>
      <c r="C116" s="200"/>
      <c r="D116" s="226"/>
    </row>
    <row r="117" spans="2:4" x14ac:dyDescent="0.35">
      <c r="B117" s="200"/>
      <c r="C117" s="200"/>
      <c r="D117" s="226"/>
    </row>
    <row r="118" spans="2:4" x14ac:dyDescent="0.35">
      <c r="B118" s="200"/>
      <c r="C118" s="200"/>
      <c r="D118" s="226"/>
    </row>
    <row r="119" spans="2:4" x14ac:dyDescent="0.35">
      <c r="B119" s="200"/>
      <c r="C119" s="200"/>
      <c r="D119" s="226"/>
    </row>
    <row r="120" spans="2:4" x14ac:dyDescent="0.35">
      <c r="B120" s="200"/>
      <c r="C120" s="200"/>
      <c r="D120" s="226"/>
    </row>
    <row r="121" spans="2:4" x14ac:dyDescent="0.35">
      <c r="B121" s="200"/>
      <c r="C121" s="200"/>
      <c r="D121" s="226"/>
    </row>
    <row r="122" spans="2:4" x14ac:dyDescent="0.35">
      <c r="B122" s="200"/>
      <c r="C122" s="200"/>
      <c r="D122" s="226"/>
    </row>
    <row r="123" spans="2:4" x14ac:dyDescent="0.3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ColWidth="9.1796875" defaultRowHeight="14.5" x14ac:dyDescent="0.35"/>
  <cols>
    <col min="1" max="1" width="25.81640625" style="177" customWidth="1"/>
    <col min="2" max="2" width="11.453125" style="177" customWidth="1"/>
    <col min="3" max="3" width="9.1796875" style="177"/>
    <col min="4" max="4" width="10.54296875" style="224" bestFit="1" customWidth="1"/>
    <col min="5" max="5" width="9.1796875" style="177"/>
    <col min="6" max="6" width="11.7265625" style="213" customWidth="1"/>
    <col min="7" max="7" width="13.81640625" style="213" customWidth="1"/>
    <col min="8" max="8" width="11.54296875" style="231" bestFit="1" customWidth="1"/>
    <col min="9" max="9" width="11.54296875" style="231" customWidth="1"/>
    <col min="10" max="10" width="11.54296875" style="217" customWidth="1"/>
    <col min="11" max="16384" width="9.1796875" style="177"/>
  </cols>
  <sheetData>
    <row r="1" spans="1:11" s="198" customFormat="1" x14ac:dyDescent="0.35">
      <c r="A1" s="198" t="s">
        <v>261</v>
      </c>
      <c r="D1" s="223"/>
      <c r="F1" s="212"/>
      <c r="G1" s="212"/>
      <c r="H1" s="230"/>
      <c r="I1" s="230"/>
      <c r="J1" s="216"/>
    </row>
    <row r="2" spans="1:11" s="198" customFormat="1" x14ac:dyDescent="0.35">
      <c r="A2" s="198" t="s">
        <v>280</v>
      </c>
      <c r="D2" s="223"/>
      <c r="F2" s="212"/>
      <c r="G2" s="212"/>
      <c r="H2" s="230"/>
      <c r="I2" s="230"/>
      <c r="J2" s="216"/>
    </row>
    <row r="4" spans="1:11" s="198" customFormat="1" x14ac:dyDescent="0.35">
      <c r="B4" s="198" t="s">
        <v>283</v>
      </c>
      <c r="D4" s="223"/>
      <c r="F4" s="212"/>
      <c r="G4" s="212"/>
      <c r="H4" s="230"/>
      <c r="I4" s="230"/>
      <c r="J4" s="216"/>
    </row>
    <row r="5" spans="1:11" ht="15" thickBot="1" x14ac:dyDescent="0.4">
      <c r="B5" s="198" t="s">
        <v>284</v>
      </c>
    </row>
    <row r="6" spans="1:11" x14ac:dyDescent="0.35">
      <c r="B6" s="343" t="s">
        <v>281</v>
      </c>
      <c r="C6" s="344"/>
      <c r="D6" s="344"/>
      <c r="E6" s="211"/>
      <c r="F6" s="345" t="s">
        <v>282</v>
      </c>
      <c r="G6" s="345"/>
      <c r="H6" s="345"/>
      <c r="I6" s="345"/>
      <c r="J6" s="345"/>
      <c r="K6" s="208"/>
    </row>
    <row r="7" spans="1:11" x14ac:dyDescent="0.35">
      <c r="B7" s="341" t="s">
        <v>269</v>
      </c>
      <c r="C7" s="342"/>
      <c r="D7" s="342"/>
      <c r="E7" s="209"/>
      <c r="F7" s="340" t="s">
        <v>269</v>
      </c>
      <c r="G7" s="340"/>
      <c r="H7" s="340"/>
      <c r="I7" s="340"/>
      <c r="J7" s="340"/>
      <c r="K7" s="201"/>
    </row>
    <row r="8" spans="1:11" s="144" customFormat="1" ht="15" thickBot="1" x14ac:dyDescent="0.4">
      <c r="B8" s="346" t="s">
        <v>285</v>
      </c>
      <c r="C8" s="347"/>
      <c r="D8" s="236" t="s">
        <v>272</v>
      </c>
      <c r="E8" s="209"/>
      <c r="F8" s="339" t="s">
        <v>285</v>
      </c>
      <c r="G8" s="339"/>
      <c r="H8" s="232" t="s">
        <v>272</v>
      </c>
      <c r="I8" s="232" t="s">
        <v>287</v>
      </c>
      <c r="J8" s="218" t="s">
        <v>279</v>
      </c>
      <c r="K8" s="237"/>
    </row>
    <row r="9" spans="1:11" ht="15" customHeight="1" thickTop="1" x14ac:dyDescent="0.35">
      <c r="B9" s="199" t="s">
        <v>270</v>
      </c>
      <c r="C9" s="200"/>
      <c r="D9" s="226"/>
      <c r="E9" s="201" t="s">
        <v>270</v>
      </c>
      <c r="F9" s="214"/>
      <c r="G9" s="214"/>
      <c r="H9" s="233" t="s">
        <v>270</v>
      </c>
      <c r="I9" s="233"/>
      <c r="J9" s="219"/>
      <c r="K9" s="201"/>
    </row>
    <row r="10" spans="1:11" ht="15" customHeight="1" x14ac:dyDescent="0.35">
      <c r="B10" s="199" t="s">
        <v>271</v>
      </c>
      <c r="C10" s="200"/>
      <c r="D10" s="226"/>
      <c r="E10" s="201" t="s">
        <v>271</v>
      </c>
      <c r="F10" s="214"/>
      <c r="G10" s="214"/>
      <c r="H10" s="233" t="s">
        <v>271</v>
      </c>
      <c r="I10" s="233"/>
      <c r="J10" s="219"/>
      <c r="K10" s="201"/>
    </row>
    <row r="11" spans="1:11" ht="15" customHeight="1" x14ac:dyDescent="0.3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35">
      <c r="B12" s="199" t="s">
        <v>264</v>
      </c>
      <c r="C12" s="200" t="s">
        <v>263</v>
      </c>
      <c r="D12" s="226">
        <v>0</v>
      </c>
      <c r="E12" s="201"/>
      <c r="F12" s="214" t="s">
        <v>264</v>
      </c>
      <c r="G12" s="214" t="s">
        <v>263</v>
      </c>
      <c r="H12" s="233">
        <v>0</v>
      </c>
      <c r="I12" s="233"/>
      <c r="J12" s="219"/>
      <c r="K12" s="201"/>
    </row>
    <row r="13" spans="1:11" x14ac:dyDescent="0.35">
      <c r="B13" s="199" t="s">
        <v>264</v>
      </c>
      <c r="C13" s="200" t="s">
        <v>263</v>
      </c>
      <c r="D13" s="226">
        <v>0</v>
      </c>
      <c r="E13" s="201"/>
      <c r="F13" s="214" t="s">
        <v>265</v>
      </c>
      <c r="G13" s="214" t="s">
        <v>263</v>
      </c>
      <c r="H13" s="233">
        <v>0</v>
      </c>
      <c r="I13" s="233"/>
      <c r="J13" s="219"/>
      <c r="K13" s="201"/>
    </row>
    <row r="14" spans="1:11" x14ac:dyDescent="0.3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3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3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35">
      <c r="B17" s="199" t="s">
        <v>265</v>
      </c>
      <c r="C17" s="200" t="s">
        <v>263</v>
      </c>
      <c r="D17" s="226">
        <v>0</v>
      </c>
      <c r="E17" s="201"/>
      <c r="F17" s="214" t="s">
        <v>268</v>
      </c>
      <c r="G17" s="214" t="s">
        <v>263</v>
      </c>
      <c r="H17" s="233">
        <v>0</v>
      </c>
      <c r="I17" s="233"/>
      <c r="J17" s="219"/>
      <c r="K17" s="201"/>
    </row>
    <row r="18" spans="2:11" ht="15" customHeight="1" x14ac:dyDescent="0.35">
      <c r="B18" s="199" t="s">
        <v>265</v>
      </c>
      <c r="C18" s="200" t="s">
        <v>263</v>
      </c>
      <c r="D18" s="226">
        <v>0</v>
      </c>
      <c r="E18" s="201"/>
      <c r="F18" s="214"/>
      <c r="G18" s="214"/>
      <c r="H18" s="233"/>
      <c r="I18" s="233"/>
      <c r="J18" s="219"/>
      <c r="K18" s="201"/>
    </row>
    <row r="19" spans="2:11" x14ac:dyDescent="0.3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35">
      <c r="B20" s="199" t="s">
        <v>266</v>
      </c>
      <c r="C20" s="200" t="s">
        <v>263</v>
      </c>
      <c r="D20" s="226">
        <v>0</v>
      </c>
      <c r="E20" s="201"/>
      <c r="F20" s="214"/>
      <c r="G20" s="214"/>
      <c r="H20" s="233"/>
      <c r="I20" s="233"/>
      <c r="J20" s="219"/>
      <c r="K20" s="201"/>
    </row>
    <row r="21" spans="2:11" x14ac:dyDescent="0.35">
      <c r="B21" s="199" t="s">
        <v>266</v>
      </c>
      <c r="C21" s="200" t="s">
        <v>263</v>
      </c>
      <c r="D21" s="226">
        <v>0</v>
      </c>
      <c r="E21" s="201"/>
      <c r="F21" s="214"/>
      <c r="G21" s="214"/>
      <c r="H21" s="233"/>
      <c r="I21" s="233"/>
      <c r="J21" s="219"/>
      <c r="K21" s="201"/>
    </row>
    <row r="22" spans="2:11" x14ac:dyDescent="0.35">
      <c r="B22" s="199" t="s">
        <v>266</v>
      </c>
      <c r="C22" s="200" t="s">
        <v>263</v>
      </c>
      <c r="D22" s="226">
        <v>0</v>
      </c>
      <c r="E22" s="201"/>
      <c r="F22" s="214"/>
      <c r="G22" s="214"/>
      <c r="H22" s="233"/>
      <c r="I22" s="233"/>
      <c r="J22" s="219"/>
      <c r="K22" s="201"/>
    </row>
    <row r="23" spans="2:11" x14ac:dyDescent="0.35">
      <c r="B23" s="199" t="s">
        <v>266</v>
      </c>
      <c r="C23" s="200" t="s">
        <v>263</v>
      </c>
      <c r="D23" s="226">
        <v>1.1268</v>
      </c>
      <c r="E23" s="201"/>
      <c r="F23" s="214"/>
      <c r="G23" s="214"/>
      <c r="H23" s="233"/>
      <c r="I23" s="233"/>
      <c r="J23" s="219"/>
      <c r="K23" s="201"/>
    </row>
    <row r="24" spans="2:11" x14ac:dyDescent="0.35">
      <c r="B24" s="199" t="s">
        <v>267</v>
      </c>
      <c r="C24" s="200" t="s">
        <v>263</v>
      </c>
      <c r="D24" s="226">
        <v>730030.94590000005</v>
      </c>
      <c r="E24" s="201"/>
      <c r="F24" s="214"/>
      <c r="G24" s="214"/>
      <c r="H24" s="233"/>
      <c r="I24" s="233"/>
      <c r="J24" s="219"/>
      <c r="K24" s="201"/>
    </row>
    <row r="25" spans="2:11" x14ac:dyDescent="0.35">
      <c r="B25" s="199" t="s">
        <v>211</v>
      </c>
      <c r="C25" s="200" t="s">
        <v>263</v>
      </c>
      <c r="D25" s="226">
        <v>530.32600000000002</v>
      </c>
      <c r="E25" s="201"/>
      <c r="F25" s="214"/>
      <c r="G25" s="214"/>
      <c r="H25" s="233"/>
      <c r="I25" s="233"/>
      <c r="J25" s="219"/>
      <c r="K25" s="201"/>
    </row>
    <row r="26" spans="2:11" x14ac:dyDescent="0.35">
      <c r="B26" s="199" t="s">
        <v>211</v>
      </c>
      <c r="C26" s="200" t="s">
        <v>263</v>
      </c>
      <c r="D26" s="226">
        <v>3913.6963000000001</v>
      </c>
      <c r="E26" s="201"/>
      <c r="F26" s="214"/>
      <c r="G26" s="214"/>
      <c r="H26" s="233"/>
      <c r="I26" s="233"/>
      <c r="J26" s="219"/>
      <c r="K26" s="201"/>
    </row>
    <row r="27" spans="2:11" x14ac:dyDescent="0.35">
      <c r="B27" s="199" t="s">
        <v>211</v>
      </c>
      <c r="C27" s="200" t="s">
        <v>263</v>
      </c>
      <c r="D27" s="226">
        <v>2842.8613</v>
      </c>
      <c r="E27" s="201"/>
      <c r="F27" s="214"/>
      <c r="G27" s="214"/>
      <c r="H27" s="233"/>
      <c r="I27" s="233"/>
      <c r="J27" s="219"/>
      <c r="K27" s="201"/>
    </row>
    <row r="28" spans="2:11" x14ac:dyDescent="0.35">
      <c r="B28" s="199" t="s">
        <v>211</v>
      </c>
      <c r="C28" s="200" t="s">
        <v>263</v>
      </c>
      <c r="D28" s="226">
        <v>1014.8166</v>
      </c>
      <c r="E28" s="201"/>
      <c r="F28" s="214"/>
      <c r="G28" s="214"/>
      <c r="H28" s="233"/>
      <c r="I28" s="233"/>
      <c r="J28" s="219"/>
      <c r="K28" s="201"/>
    </row>
    <row r="29" spans="2:11" x14ac:dyDescent="0.35">
      <c r="B29" s="199" t="s">
        <v>211</v>
      </c>
      <c r="C29" s="200" t="s">
        <v>263</v>
      </c>
      <c r="D29" s="226">
        <v>778.73800000000006</v>
      </c>
      <c r="E29" s="201"/>
      <c r="F29" s="214"/>
      <c r="G29" s="214"/>
      <c r="H29" s="233"/>
      <c r="I29" s="233"/>
      <c r="J29" s="219"/>
      <c r="K29" s="201"/>
    </row>
    <row r="30" spans="2:11" x14ac:dyDescent="0.35">
      <c r="B30" s="199" t="s">
        <v>211</v>
      </c>
      <c r="C30" s="200" t="s">
        <v>263</v>
      </c>
      <c r="D30" s="226">
        <v>1332.8432</v>
      </c>
      <c r="E30" s="201"/>
      <c r="F30" s="214"/>
      <c r="G30" s="214"/>
      <c r="H30" s="233"/>
      <c r="I30" s="233"/>
      <c r="J30" s="219"/>
      <c r="K30" s="201"/>
    </row>
    <row r="31" spans="2:11" x14ac:dyDescent="0.35">
      <c r="B31" s="199" t="s">
        <v>211</v>
      </c>
      <c r="C31" s="200" t="s">
        <v>263</v>
      </c>
      <c r="D31" s="226">
        <v>516.88149999999996</v>
      </c>
      <c r="E31" s="201"/>
      <c r="F31" s="214"/>
      <c r="G31" s="214"/>
      <c r="H31" s="233"/>
      <c r="I31" s="233"/>
      <c r="J31" s="219"/>
      <c r="K31" s="201"/>
    </row>
    <row r="32" spans="2:11" x14ac:dyDescent="0.35">
      <c r="B32" s="199" t="s">
        <v>211</v>
      </c>
      <c r="C32" s="200" t="s">
        <v>263</v>
      </c>
      <c r="D32" s="226">
        <v>1186.6908000000001</v>
      </c>
      <c r="E32" s="201"/>
      <c r="F32" s="214"/>
      <c r="G32" s="214"/>
      <c r="H32" s="233"/>
      <c r="I32" s="233"/>
      <c r="J32" s="219"/>
      <c r="K32" s="201"/>
    </row>
    <row r="33" spans="2:11" x14ac:dyDescent="0.35">
      <c r="B33" s="199" t="s">
        <v>211</v>
      </c>
      <c r="C33" s="200" t="s">
        <v>263</v>
      </c>
      <c r="D33" s="226">
        <v>2091.6387</v>
      </c>
      <c r="E33" s="201"/>
      <c r="F33" s="214"/>
      <c r="G33" s="214"/>
      <c r="H33" s="233"/>
      <c r="I33" s="233"/>
      <c r="J33" s="219"/>
      <c r="K33" s="201"/>
    </row>
    <row r="34" spans="2:11" x14ac:dyDescent="0.35">
      <c r="B34" s="199" t="s">
        <v>211</v>
      </c>
      <c r="C34" s="200" t="s">
        <v>263</v>
      </c>
      <c r="D34" s="226">
        <v>5208.4462000000003</v>
      </c>
      <c r="E34" s="201"/>
      <c r="F34" s="214"/>
      <c r="G34" s="214"/>
      <c r="H34" s="233"/>
      <c r="I34" s="233"/>
      <c r="J34" s="219"/>
      <c r="K34" s="201"/>
    </row>
    <row r="35" spans="2:11" x14ac:dyDescent="0.35">
      <c r="B35" s="199" t="s">
        <v>211</v>
      </c>
      <c r="C35" s="200" t="s">
        <v>263</v>
      </c>
      <c r="D35" s="226">
        <v>1631.9170999999999</v>
      </c>
      <c r="E35" s="201"/>
      <c r="F35" s="214"/>
      <c r="G35" s="214"/>
      <c r="H35" s="233"/>
      <c r="I35" s="233"/>
      <c r="J35" s="219"/>
      <c r="K35" s="201"/>
    </row>
    <row r="36" spans="2:11" x14ac:dyDescent="0.35">
      <c r="B36" s="199" t="s">
        <v>211</v>
      </c>
      <c r="C36" s="200" t="s">
        <v>263</v>
      </c>
      <c r="D36" s="226">
        <v>6871.9678000000004</v>
      </c>
      <c r="E36" s="201"/>
      <c r="F36" s="214"/>
      <c r="G36" s="214"/>
      <c r="H36" s="233"/>
      <c r="I36" s="233"/>
      <c r="J36" s="219"/>
      <c r="K36" s="201"/>
    </row>
    <row r="37" spans="2:11" x14ac:dyDescent="0.35">
      <c r="B37" s="199" t="s">
        <v>211</v>
      </c>
      <c r="C37" s="200" t="s">
        <v>263</v>
      </c>
      <c r="D37" s="226">
        <v>4820.8257000000003</v>
      </c>
      <c r="E37" s="201"/>
      <c r="F37" s="214"/>
      <c r="G37" s="214"/>
      <c r="H37" s="233"/>
      <c r="I37" s="233"/>
      <c r="J37" s="219"/>
      <c r="K37" s="201"/>
    </row>
    <row r="38" spans="2:11" x14ac:dyDescent="0.35">
      <c r="B38" s="199" t="s">
        <v>211</v>
      </c>
      <c r="C38" s="200" t="s">
        <v>263</v>
      </c>
      <c r="D38" s="226">
        <v>0</v>
      </c>
      <c r="E38" s="201"/>
      <c r="F38" s="214"/>
      <c r="G38" s="214"/>
      <c r="H38" s="233"/>
      <c r="I38" s="233"/>
      <c r="J38" s="219"/>
      <c r="K38" s="201"/>
    </row>
    <row r="39" spans="2:11" x14ac:dyDescent="0.35">
      <c r="B39" s="199" t="s">
        <v>211</v>
      </c>
      <c r="C39" s="200" t="s">
        <v>263</v>
      </c>
      <c r="D39" s="226">
        <v>0</v>
      </c>
      <c r="E39" s="201"/>
      <c r="F39" s="214"/>
      <c r="G39" s="214"/>
      <c r="H39" s="233"/>
      <c r="I39" s="233"/>
      <c r="J39" s="219"/>
      <c r="K39" s="201"/>
    </row>
    <row r="40" spans="2:11" x14ac:dyDescent="0.35">
      <c r="B40" s="199" t="s">
        <v>211</v>
      </c>
      <c r="C40" s="200" t="s">
        <v>263</v>
      </c>
      <c r="D40" s="226">
        <v>0</v>
      </c>
      <c r="E40" s="201"/>
      <c r="F40" s="214"/>
      <c r="G40" s="214"/>
      <c r="H40" s="233"/>
      <c r="I40" s="233"/>
      <c r="J40" s="219"/>
      <c r="K40" s="201"/>
    </row>
    <row r="41" spans="2:11" x14ac:dyDescent="0.35">
      <c r="B41" s="199" t="s">
        <v>211</v>
      </c>
      <c r="C41" s="200" t="s">
        <v>263</v>
      </c>
      <c r="D41" s="226">
        <v>60.378300000000003</v>
      </c>
      <c r="E41" s="201"/>
      <c r="F41" s="214"/>
      <c r="G41" s="214"/>
      <c r="H41" s="233"/>
      <c r="I41" s="233"/>
      <c r="J41" s="219"/>
      <c r="K41" s="201"/>
    </row>
    <row r="42" spans="2:11" x14ac:dyDescent="0.35">
      <c r="B42" s="199" t="s">
        <v>211</v>
      </c>
      <c r="C42" s="200" t="s">
        <v>263</v>
      </c>
      <c r="D42" s="226">
        <v>7267.0291999999999</v>
      </c>
      <c r="E42" s="201"/>
      <c r="F42" s="214"/>
      <c r="G42" s="214"/>
      <c r="H42" s="233"/>
      <c r="I42" s="233"/>
      <c r="J42" s="219"/>
      <c r="K42" s="201"/>
    </row>
    <row r="43" spans="2:11" x14ac:dyDescent="0.35">
      <c r="B43" s="199" t="s">
        <v>211</v>
      </c>
      <c r="C43" s="200" t="s">
        <v>263</v>
      </c>
      <c r="D43" s="226">
        <v>9457.3282999999992</v>
      </c>
      <c r="E43" s="201"/>
      <c r="F43" s="214"/>
      <c r="G43" s="214"/>
      <c r="H43" s="233"/>
      <c r="I43" s="233"/>
      <c r="J43" s="219"/>
      <c r="K43" s="201"/>
    </row>
    <row r="44" spans="2:11" x14ac:dyDescent="0.35">
      <c r="B44" s="199"/>
      <c r="C44" s="200"/>
      <c r="D44" s="226"/>
      <c r="E44" s="201"/>
      <c r="F44" s="214"/>
      <c r="G44" s="214"/>
      <c r="H44" s="233"/>
      <c r="I44" s="233"/>
      <c r="J44" s="219"/>
      <c r="K44" s="201"/>
    </row>
    <row r="45" spans="2:11" x14ac:dyDescent="0.35">
      <c r="B45" s="199" t="s">
        <v>278</v>
      </c>
      <c r="C45" s="200" t="s">
        <v>263</v>
      </c>
      <c r="D45" s="227">
        <v>864930.90700000001</v>
      </c>
      <c r="E45" s="201"/>
      <c r="F45" s="214"/>
      <c r="G45" s="214"/>
      <c r="H45" s="233"/>
      <c r="I45" s="233"/>
      <c r="J45" s="219"/>
      <c r="K45" s="201"/>
    </row>
    <row r="46" spans="2:11" x14ac:dyDescent="0.35">
      <c r="B46" s="205"/>
      <c r="C46" s="206"/>
      <c r="D46" s="228"/>
      <c r="E46" s="207"/>
      <c r="F46" s="221"/>
      <c r="G46" s="221"/>
      <c r="H46" s="234"/>
      <c r="I46" s="234"/>
      <c r="J46" s="222"/>
      <c r="K46" s="207"/>
    </row>
    <row r="47" spans="2:11" x14ac:dyDescent="0.35">
      <c r="B47" s="199" t="s">
        <v>273</v>
      </c>
      <c r="C47" s="200" t="s">
        <v>273</v>
      </c>
      <c r="D47" s="226"/>
      <c r="E47" s="201"/>
      <c r="F47" s="214" t="s">
        <v>273</v>
      </c>
      <c r="G47" s="214" t="s">
        <v>273</v>
      </c>
      <c r="H47" s="233"/>
      <c r="I47" s="233"/>
      <c r="J47" s="219"/>
      <c r="K47" s="201"/>
    </row>
    <row r="48" spans="2:11" x14ac:dyDescent="0.35">
      <c r="B48" s="199" t="s">
        <v>274</v>
      </c>
      <c r="C48" s="200" t="s">
        <v>274</v>
      </c>
      <c r="D48" s="226"/>
      <c r="E48" s="201"/>
      <c r="F48" s="214" t="s">
        <v>274</v>
      </c>
      <c r="G48" s="214" t="s">
        <v>274</v>
      </c>
      <c r="H48" s="233"/>
      <c r="I48" s="233"/>
      <c r="J48" s="219"/>
      <c r="K48" s="201"/>
    </row>
    <row r="49" spans="2:11" x14ac:dyDescent="0.3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35">
      <c r="B50" s="199" t="s">
        <v>264</v>
      </c>
      <c r="C50" s="200" t="s">
        <v>263</v>
      </c>
      <c r="D50" s="226">
        <v>0</v>
      </c>
      <c r="E50" s="201"/>
      <c r="F50" s="214" t="s">
        <v>264</v>
      </c>
      <c r="G50" s="214" t="s">
        <v>263</v>
      </c>
      <c r="H50" s="233">
        <v>3355.8359</v>
      </c>
      <c r="I50" s="233"/>
      <c r="J50" s="219"/>
      <c r="K50" s="201"/>
    </row>
    <row r="51" spans="2:11" x14ac:dyDescent="0.3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3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3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3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35">
      <c r="B55" s="199" t="s">
        <v>265</v>
      </c>
      <c r="C55" s="200" t="s">
        <v>263</v>
      </c>
      <c r="D55" s="226">
        <v>969.43079999999998</v>
      </c>
      <c r="E55" s="201"/>
      <c r="F55" s="214" t="s">
        <v>268</v>
      </c>
      <c r="G55" s="214" t="s">
        <v>263</v>
      </c>
      <c r="H55" s="233">
        <v>0</v>
      </c>
      <c r="I55" s="233"/>
      <c r="J55" s="219"/>
      <c r="K55" s="201"/>
    </row>
    <row r="56" spans="2:11" x14ac:dyDescent="0.35">
      <c r="B56" s="199" t="s">
        <v>265</v>
      </c>
      <c r="C56" s="200" t="s">
        <v>263</v>
      </c>
      <c r="D56" s="226">
        <v>4491.2438000000002</v>
      </c>
      <c r="E56" s="201"/>
      <c r="F56" s="214"/>
      <c r="G56" s="214"/>
      <c r="H56" s="233"/>
      <c r="I56" s="233"/>
      <c r="J56" s="219"/>
      <c r="K56" s="201"/>
    </row>
    <row r="57" spans="2:11" ht="15" thickBot="1" x14ac:dyDescent="0.4">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35">
      <c r="B58" s="199" t="s">
        <v>266</v>
      </c>
      <c r="C58" s="200" t="s">
        <v>263</v>
      </c>
      <c r="D58" s="226">
        <v>0</v>
      </c>
      <c r="E58" s="201"/>
      <c r="F58" s="214"/>
      <c r="G58" s="214"/>
      <c r="H58" s="233"/>
      <c r="I58" s="233"/>
      <c r="J58" s="219"/>
    </row>
    <row r="59" spans="2:11" x14ac:dyDescent="0.35">
      <c r="B59" s="199" t="s">
        <v>266</v>
      </c>
      <c r="C59" s="200" t="s">
        <v>263</v>
      </c>
      <c r="D59" s="226">
        <v>0</v>
      </c>
      <c r="E59" s="201"/>
      <c r="F59" s="214" t="s">
        <v>269</v>
      </c>
      <c r="G59" s="214" t="s">
        <v>72</v>
      </c>
      <c r="H59" s="233" t="s">
        <v>275</v>
      </c>
      <c r="I59" s="233"/>
      <c r="J59" s="219"/>
    </row>
    <row r="60" spans="2:11" x14ac:dyDescent="0.35">
      <c r="B60" s="199" t="s">
        <v>266</v>
      </c>
      <c r="C60" s="200" t="s">
        <v>263</v>
      </c>
      <c r="D60" s="226">
        <v>0</v>
      </c>
      <c r="E60" s="201"/>
      <c r="F60" s="214"/>
      <c r="G60" s="214"/>
      <c r="H60" s="233"/>
      <c r="I60" s="233"/>
      <c r="J60" s="219"/>
    </row>
    <row r="61" spans="2:11" x14ac:dyDescent="0.35">
      <c r="B61" s="199" t="s">
        <v>266</v>
      </c>
      <c r="C61" s="200" t="s">
        <v>263</v>
      </c>
      <c r="D61" s="226">
        <v>0</v>
      </c>
      <c r="E61" s="201"/>
      <c r="F61" s="214" t="s">
        <v>276</v>
      </c>
      <c r="G61" s="214" t="s">
        <v>277</v>
      </c>
      <c r="H61" s="233" t="s">
        <v>263</v>
      </c>
      <c r="I61" s="233"/>
      <c r="J61" s="219"/>
    </row>
    <row r="62" spans="2:11" x14ac:dyDescent="0.35">
      <c r="B62" s="199" t="s">
        <v>267</v>
      </c>
      <c r="C62" s="200" t="s">
        <v>263</v>
      </c>
      <c r="D62" s="226">
        <v>75077.154500000004</v>
      </c>
      <c r="E62" s="201"/>
      <c r="F62" s="214"/>
      <c r="G62" s="214"/>
      <c r="H62" s="233"/>
      <c r="I62" s="233"/>
      <c r="J62" s="219"/>
    </row>
    <row r="63" spans="2:11" x14ac:dyDescent="0.35">
      <c r="B63" s="199" t="s">
        <v>211</v>
      </c>
      <c r="C63" s="200" t="s">
        <v>263</v>
      </c>
      <c r="D63" s="226">
        <v>3471.5511000000001</v>
      </c>
      <c r="E63" s="201"/>
      <c r="F63" s="214"/>
      <c r="G63" s="214"/>
      <c r="H63" s="233"/>
      <c r="I63" s="233"/>
      <c r="J63" s="219"/>
    </row>
    <row r="64" spans="2:11" x14ac:dyDescent="0.35">
      <c r="B64" s="199" t="s">
        <v>211</v>
      </c>
      <c r="C64" s="200" t="s">
        <v>263</v>
      </c>
      <c r="D64" s="226">
        <v>800.52049999999997</v>
      </c>
      <c r="E64" s="201"/>
      <c r="F64" s="214"/>
      <c r="G64" s="214"/>
      <c r="H64" s="233"/>
      <c r="I64" s="233"/>
      <c r="J64" s="219"/>
    </row>
    <row r="65" spans="2:10" x14ac:dyDescent="0.35">
      <c r="B65" s="199" t="s">
        <v>211</v>
      </c>
      <c r="C65" s="200" t="s">
        <v>263</v>
      </c>
      <c r="D65" s="226">
        <v>2378.2730999999999</v>
      </c>
      <c r="E65" s="201"/>
      <c r="F65" s="214"/>
      <c r="G65" s="214"/>
      <c r="H65" s="233"/>
      <c r="I65" s="233"/>
      <c r="J65" s="219"/>
    </row>
    <row r="66" spans="2:10" x14ac:dyDescent="0.35">
      <c r="B66" s="199" t="s">
        <v>211</v>
      </c>
      <c r="C66" s="200" t="s">
        <v>263</v>
      </c>
      <c r="D66" s="226">
        <v>5032.6646000000001</v>
      </c>
      <c r="E66" s="201"/>
      <c r="F66" s="214"/>
      <c r="G66" s="214"/>
      <c r="H66" s="233"/>
      <c r="I66" s="233"/>
      <c r="J66" s="219"/>
    </row>
    <row r="67" spans="2:10" x14ac:dyDescent="0.35">
      <c r="B67" s="199" t="s">
        <v>211</v>
      </c>
      <c r="C67" s="200" t="s">
        <v>263</v>
      </c>
      <c r="D67" s="226">
        <v>2443.7285999999999</v>
      </c>
      <c r="E67" s="201"/>
      <c r="F67" s="214"/>
      <c r="G67" s="214"/>
      <c r="H67" s="233"/>
      <c r="I67" s="233"/>
      <c r="J67" s="219"/>
    </row>
    <row r="68" spans="2:10" x14ac:dyDescent="0.35">
      <c r="B68" s="199" t="s">
        <v>211</v>
      </c>
      <c r="C68" s="200" t="s">
        <v>263</v>
      </c>
      <c r="D68" s="226">
        <v>2738.4059999999999</v>
      </c>
      <c r="E68" s="201"/>
      <c r="F68" s="214"/>
      <c r="G68" s="214"/>
      <c r="H68" s="233"/>
      <c r="I68" s="233"/>
      <c r="J68" s="219"/>
    </row>
    <row r="69" spans="2:10" x14ac:dyDescent="0.35">
      <c r="B69" s="199" t="s">
        <v>211</v>
      </c>
      <c r="C69" s="200" t="s">
        <v>263</v>
      </c>
      <c r="D69" s="226">
        <v>1244.4766999999999</v>
      </c>
      <c r="E69" s="201"/>
      <c r="F69" s="214"/>
      <c r="G69" s="214"/>
      <c r="H69" s="233"/>
      <c r="I69" s="233"/>
      <c r="J69" s="219"/>
    </row>
    <row r="70" spans="2:10" x14ac:dyDescent="0.35">
      <c r="B70" s="199" t="s">
        <v>211</v>
      </c>
      <c r="C70" s="200" t="s">
        <v>263</v>
      </c>
      <c r="D70" s="226">
        <v>1689.0364</v>
      </c>
      <c r="E70" s="201"/>
      <c r="F70" s="214"/>
      <c r="G70" s="214"/>
      <c r="H70" s="233"/>
      <c r="I70" s="233"/>
      <c r="J70" s="219"/>
    </row>
    <row r="71" spans="2:10" x14ac:dyDescent="0.35">
      <c r="B71" s="199" t="s">
        <v>211</v>
      </c>
      <c r="C71" s="200" t="s">
        <v>263</v>
      </c>
      <c r="D71" s="226">
        <v>4631.8999000000003</v>
      </c>
      <c r="E71" s="201"/>
      <c r="F71" s="214"/>
      <c r="G71" s="214"/>
      <c r="H71" s="233"/>
      <c r="I71" s="233"/>
      <c r="J71" s="219"/>
    </row>
    <row r="72" spans="2:10" x14ac:dyDescent="0.35">
      <c r="B72" s="199" t="s">
        <v>211</v>
      </c>
      <c r="C72" s="200" t="s">
        <v>263</v>
      </c>
      <c r="D72" s="226">
        <v>2115.9992999999999</v>
      </c>
      <c r="E72" s="201"/>
      <c r="F72" s="214"/>
      <c r="G72" s="214"/>
      <c r="H72" s="233"/>
      <c r="I72" s="233"/>
      <c r="J72" s="219"/>
    </row>
    <row r="73" spans="2:10" x14ac:dyDescent="0.35">
      <c r="B73" s="199" t="s">
        <v>211</v>
      </c>
      <c r="C73" s="200" t="s">
        <v>263</v>
      </c>
      <c r="D73" s="226">
        <v>3695.4479999999999</v>
      </c>
      <c r="E73" s="201"/>
      <c r="F73" s="214"/>
      <c r="G73" s="214"/>
      <c r="H73" s="233"/>
      <c r="I73" s="233"/>
      <c r="J73" s="219"/>
    </row>
    <row r="74" spans="2:10" x14ac:dyDescent="0.35">
      <c r="B74" s="199" t="s">
        <v>211</v>
      </c>
      <c r="C74" s="200" t="s">
        <v>263</v>
      </c>
      <c r="D74" s="226">
        <v>3832.8202999999999</v>
      </c>
      <c r="E74" s="201"/>
      <c r="F74" s="214"/>
      <c r="G74" s="214"/>
      <c r="H74" s="233"/>
      <c r="I74" s="233"/>
      <c r="J74" s="219"/>
    </row>
    <row r="75" spans="2:10" x14ac:dyDescent="0.35">
      <c r="B75" s="199" t="s">
        <v>211</v>
      </c>
      <c r="C75" s="200" t="s">
        <v>263</v>
      </c>
      <c r="D75" s="226">
        <v>6525.9380000000001</v>
      </c>
      <c r="E75" s="201"/>
      <c r="F75" s="214"/>
      <c r="G75" s="214"/>
      <c r="H75" s="233"/>
      <c r="I75" s="233"/>
      <c r="J75" s="219"/>
    </row>
    <row r="76" spans="2:10" x14ac:dyDescent="0.35">
      <c r="B76" s="199" t="s">
        <v>211</v>
      </c>
      <c r="C76" s="200" t="s">
        <v>263</v>
      </c>
      <c r="D76" s="226">
        <v>0</v>
      </c>
      <c r="E76" s="201"/>
      <c r="F76" s="214"/>
      <c r="G76" s="214"/>
      <c r="H76" s="233"/>
      <c r="I76" s="233"/>
      <c r="J76" s="219"/>
    </row>
    <row r="77" spans="2:10" x14ac:dyDescent="0.35">
      <c r="B77" s="199" t="s">
        <v>211</v>
      </c>
      <c r="C77" s="200" t="s">
        <v>263</v>
      </c>
      <c r="D77" s="226">
        <v>0</v>
      </c>
      <c r="E77" s="201"/>
      <c r="F77" s="214"/>
      <c r="G77" s="214"/>
      <c r="H77" s="233"/>
      <c r="I77" s="233"/>
      <c r="J77" s="219"/>
    </row>
    <row r="78" spans="2:10" x14ac:dyDescent="0.35">
      <c r="B78" s="199" t="s">
        <v>211</v>
      </c>
      <c r="C78" s="200" t="s">
        <v>263</v>
      </c>
      <c r="D78" s="226">
        <v>0</v>
      </c>
      <c r="E78" s="201"/>
      <c r="F78" s="214"/>
      <c r="G78" s="214"/>
      <c r="H78" s="233"/>
      <c r="I78" s="233"/>
      <c r="J78" s="219"/>
    </row>
    <row r="79" spans="2:10" x14ac:dyDescent="0.35">
      <c r="B79" s="199" t="s">
        <v>211</v>
      </c>
      <c r="C79" s="200" t="s">
        <v>263</v>
      </c>
      <c r="D79" s="226">
        <v>52.5762</v>
      </c>
      <c r="E79" s="201"/>
      <c r="F79" s="214"/>
      <c r="G79" s="214"/>
      <c r="H79" s="233"/>
      <c r="I79" s="233"/>
      <c r="J79" s="219"/>
    </row>
    <row r="80" spans="2:10" x14ac:dyDescent="0.35">
      <c r="B80" s="199" t="s">
        <v>211</v>
      </c>
      <c r="C80" s="200" t="s">
        <v>263</v>
      </c>
      <c r="D80" s="226">
        <v>23411.458500000001</v>
      </c>
      <c r="E80" s="201"/>
      <c r="F80" s="214"/>
      <c r="G80" s="214"/>
      <c r="H80" s="233"/>
      <c r="I80" s="233"/>
      <c r="J80" s="219"/>
    </row>
    <row r="81" spans="2:10" x14ac:dyDescent="0.35">
      <c r="B81" s="199" t="s">
        <v>211</v>
      </c>
      <c r="C81" s="200" t="s">
        <v>263</v>
      </c>
      <c r="D81" s="226">
        <v>5345.1895999999997</v>
      </c>
      <c r="E81" s="201"/>
      <c r="F81" s="214"/>
      <c r="G81" s="214"/>
      <c r="H81" s="233"/>
      <c r="I81" s="233"/>
      <c r="J81" s="219"/>
    </row>
    <row r="82" spans="2:10" x14ac:dyDescent="0.35">
      <c r="B82" s="199"/>
      <c r="C82" s="200"/>
      <c r="D82" s="226"/>
      <c r="E82" s="201"/>
      <c r="F82" s="214"/>
      <c r="G82" s="214"/>
      <c r="H82" s="233"/>
      <c r="I82" s="233"/>
      <c r="J82" s="219"/>
    </row>
    <row r="83" spans="2:10" ht="15" thickBot="1" x14ac:dyDescent="0.4">
      <c r="B83" s="202" t="s">
        <v>286</v>
      </c>
      <c r="C83" s="203" t="s">
        <v>263</v>
      </c>
      <c r="D83" s="229">
        <v>865074.83640000003</v>
      </c>
      <c r="E83" s="204"/>
      <c r="F83" s="214"/>
      <c r="G83" s="214"/>
      <c r="H83" s="233"/>
      <c r="I83" s="233"/>
      <c r="J83" s="219"/>
    </row>
    <row r="84" spans="2:10" x14ac:dyDescent="0.35">
      <c r="B84" s="200"/>
      <c r="C84" s="200"/>
      <c r="D84" s="226"/>
    </row>
    <row r="85" spans="2:10" x14ac:dyDescent="0.35">
      <c r="B85" s="200"/>
      <c r="C85" s="200"/>
      <c r="D85" s="226"/>
    </row>
    <row r="86" spans="2:10" x14ac:dyDescent="0.35">
      <c r="B86" s="200"/>
      <c r="C86" s="200"/>
      <c r="D86" s="226"/>
    </row>
    <row r="87" spans="2:10" x14ac:dyDescent="0.35">
      <c r="B87" s="200"/>
      <c r="C87" s="200"/>
      <c r="D87" s="226"/>
    </row>
    <row r="88" spans="2:10" x14ac:dyDescent="0.35">
      <c r="B88" s="200"/>
      <c r="C88" s="200"/>
      <c r="D88" s="226"/>
    </row>
    <row r="89" spans="2:10" x14ac:dyDescent="0.35">
      <c r="B89" s="200"/>
      <c r="C89" s="200"/>
      <c r="D89" s="226"/>
    </row>
    <row r="90" spans="2:10" x14ac:dyDescent="0.35">
      <c r="B90" s="200"/>
      <c r="C90" s="200"/>
      <c r="D90" s="226"/>
    </row>
    <row r="91" spans="2:10" x14ac:dyDescent="0.35">
      <c r="B91" s="200"/>
      <c r="C91" s="200"/>
      <c r="D91" s="226"/>
    </row>
    <row r="92" spans="2:10" x14ac:dyDescent="0.35">
      <c r="B92" s="200"/>
      <c r="C92" s="200"/>
      <c r="D92" s="226"/>
    </row>
    <row r="93" spans="2:10" x14ac:dyDescent="0.35">
      <c r="B93" s="200"/>
      <c r="C93" s="200"/>
      <c r="D93" s="226"/>
    </row>
    <row r="94" spans="2:10" x14ac:dyDescent="0.35">
      <c r="B94" s="200"/>
      <c r="C94" s="200"/>
      <c r="D94" s="226"/>
    </row>
    <row r="95" spans="2:10" x14ac:dyDescent="0.35">
      <c r="B95" s="200"/>
      <c r="C95" s="200"/>
      <c r="D95" s="226"/>
    </row>
    <row r="96" spans="2:10" x14ac:dyDescent="0.35">
      <c r="B96" s="200"/>
      <c r="C96" s="200"/>
      <c r="D96" s="226"/>
    </row>
    <row r="97" spans="2:4" x14ac:dyDescent="0.35">
      <c r="B97" s="200"/>
      <c r="C97" s="200"/>
      <c r="D97" s="226"/>
    </row>
    <row r="98" spans="2:4" x14ac:dyDescent="0.35">
      <c r="B98" s="200"/>
      <c r="C98" s="200"/>
      <c r="D98" s="226"/>
    </row>
    <row r="99" spans="2:4" x14ac:dyDescent="0.35">
      <c r="B99" s="200"/>
      <c r="C99" s="200"/>
      <c r="D99" s="226"/>
    </row>
    <row r="100" spans="2:4" x14ac:dyDescent="0.35">
      <c r="B100" s="200"/>
      <c r="C100" s="200"/>
      <c r="D100" s="226"/>
    </row>
    <row r="101" spans="2:4" x14ac:dyDescent="0.35">
      <c r="B101" s="200"/>
      <c r="C101" s="200"/>
      <c r="D101" s="226"/>
    </row>
    <row r="102" spans="2:4" x14ac:dyDescent="0.35">
      <c r="B102" s="200"/>
      <c r="C102" s="200"/>
      <c r="D102" s="226"/>
    </row>
    <row r="103" spans="2:4" x14ac:dyDescent="0.35">
      <c r="B103" s="200"/>
      <c r="C103" s="200"/>
      <c r="D103" s="226"/>
    </row>
    <row r="104" spans="2:4" x14ac:dyDescent="0.35">
      <c r="B104" s="200"/>
      <c r="C104" s="200"/>
      <c r="D104" s="226"/>
    </row>
    <row r="105" spans="2:4" x14ac:dyDescent="0.35">
      <c r="B105" s="200"/>
      <c r="C105" s="200"/>
      <c r="D105" s="226"/>
    </row>
    <row r="106" spans="2:4" x14ac:dyDescent="0.35">
      <c r="B106" s="200"/>
      <c r="C106" s="200"/>
      <c r="D106" s="226"/>
    </row>
    <row r="107" spans="2:4" x14ac:dyDescent="0.35">
      <c r="B107" s="200"/>
      <c r="C107" s="200"/>
      <c r="D107" s="226"/>
    </row>
    <row r="108" spans="2:4" x14ac:dyDescent="0.35">
      <c r="B108" s="200"/>
      <c r="C108" s="200"/>
      <c r="D108" s="226"/>
    </row>
    <row r="109" spans="2:4" x14ac:dyDescent="0.35">
      <c r="B109" s="200"/>
      <c r="C109" s="200"/>
      <c r="D109" s="226"/>
    </row>
    <row r="110" spans="2:4" x14ac:dyDescent="0.35">
      <c r="B110" s="200"/>
      <c r="C110" s="200"/>
      <c r="D110" s="226"/>
    </row>
    <row r="111" spans="2:4" x14ac:dyDescent="0.35">
      <c r="B111" s="200"/>
      <c r="C111" s="200"/>
      <c r="D111" s="226"/>
    </row>
    <row r="112" spans="2:4" x14ac:dyDescent="0.35">
      <c r="B112" s="200"/>
      <c r="C112" s="200"/>
      <c r="D112" s="226"/>
    </row>
    <row r="113" spans="2:4" x14ac:dyDescent="0.35">
      <c r="B113" s="200"/>
      <c r="C113" s="200"/>
      <c r="D113" s="226"/>
    </row>
    <row r="114" spans="2:4" x14ac:dyDescent="0.35">
      <c r="B114" s="200"/>
      <c r="C114" s="200"/>
      <c r="D114" s="226"/>
    </row>
    <row r="115" spans="2:4" x14ac:dyDescent="0.35">
      <c r="B115" s="200"/>
      <c r="C115" s="200"/>
      <c r="D115" s="226"/>
    </row>
    <row r="116" spans="2:4" x14ac:dyDescent="0.35">
      <c r="B116" s="200"/>
      <c r="C116" s="200"/>
      <c r="D116" s="226"/>
    </row>
    <row r="117" spans="2:4" x14ac:dyDescent="0.35">
      <c r="B117" s="200"/>
      <c r="C117" s="200"/>
      <c r="D117" s="226"/>
    </row>
    <row r="118" spans="2:4" x14ac:dyDescent="0.35">
      <c r="B118" s="200"/>
      <c r="C118" s="200"/>
      <c r="D118" s="226"/>
    </row>
    <row r="119" spans="2:4" x14ac:dyDescent="0.35">
      <c r="B119" s="200"/>
      <c r="C119" s="200"/>
      <c r="D119" s="226"/>
    </row>
    <row r="120" spans="2:4" x14ac:dyDescent="0.35">
      <c r="B120" s="200"/>
      <c r="C120" s="200"/>
      <c r="D120" s="226"/>
    </row>
    <row r="121" spans="2:4" x14ac:dyDescent="0.35">
      <c r="B121" s="200"/>
      <c r="C121" s="200"/>
      <c r="D121" s="226"/>
    </row>
    <row r="122" spans="2:4" x14ac:dyDescent="0.35">
      <c r="B122" s="200"/>
      <c r="C122" s="200"/>
      <c r="D122" s="226"/>
    </row>
    <row r="123" spans="2:4" x14ac:dyDescent="0.35">
      <c r="B123" s="200"/>
      <c r="C123" s="200"/>
      <c r="D123" s="226"/>
    </row>
    <row r="124" spans="2:4" x14ac:dyDescent="0.35">
      <c r="B124" s="200"/>
      <c r="C124" s="200"/>
      <c r="D124" s="226"/>
    </row>
    <row r="125" spans="2:4" x14ac:dyDescent="0.35">
      <c r="B125" s="200"/>
      <c r="C125" s="200"/>
      <c r="D125" s="226"/>
    </row>
    <row r="126" spans="2:4" x14ac:dyDescent="0.35">
      <c r="B126" s="200"/>
      <c r="C126" s="200"/>
      <c r="D126" s="226"/>
    </row>
    <row r="127" spans="2:4" x14ac:dyDescent="0.35">
      <c r="B127" s="200"/>
      <c r="C127" s="200"/>
      <c r="D127" s="226"/>
    </row>
    <row r="128" spans="2:4" x14ac:dyDescent="0.35">
      <c r="B128" s="200"/>
      <c r="C128" s="200"/>
      <c r="D128" s="226"/>
    </row>
    <row r="129" spans="2:4" x14ac:dyDescent="0.35">
      <c r="B129" s="200"/>
      <c r="C129" s="200"/>
      <c r="D129" s="226"/>
    </row>
    <row r="130" spans="2:4" x14ac:dyDescent="0.35">
      <c r="B130" s="200"/>
      <c r="C130" s="200"/>
      <c r="D130" s="226"/>
    </row>
    <row r="131" spans="2:4" x14ac:dyDescent="0.35">
      <c r="B131" s="200"/>
      <c r="C131" s="200"/>
      <c r="D131" s="226"/>
    </row>
    <row r="132" spans="2:4" x14ac:dyDescent="0.35">
      <c r="B132" s="200"/>
      <c r="C132" s="200"/>
      <c r="D132" s="226"/>
    </row>
    <row r="133" spans="2:4" x14ac:dyDescent="0.35">
      <c r="B133" s="200"/>
      <c r="C133" s="200"/>
      <c r="D133" s="226"/>
    </row>
    <row r="134" spans="2:4" x14ac:dyDescent="0.35">
      <c r="B134" s="200"/>
      <c r="C134" s="200"/>
      <c r="D134" s="226"/>
    </row>
    <row r="135" spans="2:4" x14ac:dyDescent="0.35">
      <c r="B135" s="200"/>
      <c r="C135" s="200"/>
      <c r="D135" s="226"/>
    </row>
    <row r="136" spans="2:4" x14ac:dyDescent="0.35">
      <c r="B136" s="200"/>
      <c r="C136" s="200"/>
      <c r="D136" s="226"/>
    </row>
    <row r="137" spans="2:4" x14ac:dyDescent="0.35">
      <c r="B137" s="200"/>
      <c r="C137" s="200"/>
      <c r="D137" s="226"/>
    </row>
    <row r="138" spans="2:4" x14ac:dyDescent="0.35">
      <c r="B138" s="200"/>
      <c r="C138" s="200"/>
      <c r="D138" s="226"/>
    </row>
    <row r="139" spans="2:4" x14ac:dyDescent="0.35">
      <c r="B139" s="200"/>
      <c r="C139" s="200"/>
      <c r="D139" s="226"/>
    </row>
    <row r="140" spans="2:4" x14ac:dyDescent="0.35">
      <c r="B140" s="200"/>
      <c r="C140" s="200"/>
      <c r="D140" s="226"/>
    </row>
    <row r="141" spans="2:4" x14ac:dyDescent="0.35">
      <c r="B141" s="200"/>
      <c r="C141" s="200"/>
      <c r="D141" s="226"/>
    </row>
    <row r="142" spans="2:4" x14ac:dyDescent="0.35">
      <c r="B142" s="200"/>
      <c r="C142" s="200"/>
      <c r="D142" s="226"/>
    </row>
    <row r="143" spans="2:4" x14ac:dyDescent="0.35">
      <c r="B143" s="200"/>
      <c r="C143" s="200"/>
      <c r="D143" s="226"/>
    </row>
    <row r="144" spans="2:4" x14ac:dyDescent="0.35">
      <c r="B144" s="200"/>
      <c r="C144" s="200"/>
      <c r="D144" s="226"/>
    </row>
    <row r="145" spans="2:4" x14ac:dyDescent="0.35">
      <c r="B145" s="200"/>
      <c r="C145" s="200"/>
      <c r="D145" s="226"/>
    </row>
    <row r="146" spans="2:4" x14ac:dyDescent="0.35">
      <c r="B146" s="200"/>
      <c r="C146" s="200"/>
      <c r="D146" s="226"/>
    </row>
    <row r="147" spans="2:4" x14ac:dyDescent="0.35">
      <c r="B147" s="200"/>
      <c r="C147" s="200"/>
      <c r="D147" s="226"/>
    </row>
    <row r="148" spans="2:4" x14ac:dyDescent="0.3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RscEstv2</vt:lpstr>
      <vt:lpstr>Scalling Calcs</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2026-10-29T15:01:18Z</dcterms:modified>
</cp:coreProperties>
</file>